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Schools accountancy\Outturn; Closure of Accounts\Outturn 24-25\Templates\"/>
    </mc:Choice>
  </mc:AlternateContent>
  <xr:revisionPtr revIDLastSave="0" documentId="13_ncr:1_{8CBA4812-FC51-47B7-9138-F6E589AB22C3}" xr6:coauthVersionLast="47" xr6:coauthVersionMax="47" xr10:uidLastSave="{00000000-0000-0000-0000-000000000000}"/>
  <workbookProtection workbookAlgorithmName="SHA-512" workbookHashValue="/xm/61zZVFKEwDiBaG7u3Cr4I6Kuc86O30LOEjuZqu3s0c6rZ/ZOLnK3TjhlEvQm0VEEif67PY16mHsgPdwr3Q==" workbookSaltValue="vieEFK3mh0/p8v0MOHRKmQ==" workbookSpinCount="100000" lockStructure="1"/>
  <bookViews>
    <workbookView xWindow="-108" yWindow="-108" windowWidth="23256" windowHeight="12456" tabRatio="954" activeTab="1" xr2:uid="{00000000-000D-0000-FFFF-FFFF00000000}"/>
  </bookViews>
  <sheets>
    <sheet name="Template Tabs" sheetId="75" r:id="rId1"/>
    <sheet name="1) Instructions" sheetId="74" r:id="rId2"/>
    <sheet name="2a) YE Income &amp; Expenditure" sheetId="1" r:id="rId3"/>
    <sheet name="Sch. System spend-to-date" sheetId="16" r:id="rId4"/>
    <sheet name="Central Account Pre Accruals" sheetId="32" r:id="rId5"/>
    <sheet name="2b) Q4 Budget monitoring report" sheetId="62" r:id="rId6"/>
    <sheet name="3a) Reconciliation" sheetId="6" r:id="rId7"/>
    <sheet name=" Bank Statement 31 Mar 2025" sheetId="29" r:id="rId8"/>
    <sheet name="Bank Rec as at 31 Mar 2025" sheetId="54" r:id="rId9"/>
    <sheet name="Unpresented Items" sheetId="30" r:id="rId10"/>
    <sheet name="3b) List of Accruals" sheetId="63" r:id="rId11"/>
    <sheet name="Central Account Post Accrual" sheetId="66" r:id="rId12"/>
    <sheet name="4) VAT Reconciliation" sheetId="79" r:id="rId13"/>
    <sheet name="Schools Quarterly VAT Total" sheetId="81" state="hidden" r:id="rId14"/>
    <sheet name="VAT Report for year end" sheetId="80" r:id="rId15"/>
    <sheet name="Lookup" sheetId="64" state="hidden" r:id="rId16"/>
    <sheet name="Schools Data" sheetId="3" state="hidden" r:id="rId17"/>
    <sheet name="2024-25 Budgets" sheetId="77" state="hidden" r:id="rId18"/>
    <sheet name="CFR 2023-24" sheetId="78" state="hidden" r:id="rId19"/>
  </sheets>
  <definedNames>
    <definedName name="___v2" localSheetId="13" hidden="1">#REF!</definedName>
    <definedName name="___v2" hidden="1">#REF!</definedName>
    <definedName name="__1__123Graph_LBL_ACHART_1" hidden="1">#REF!</definedName>
    <definedName name="__123Graph_ADUMMY" hidden="1">#REF!</definedName>
    <definedName name="__123Graph_AMAIN" hidden="1">#REF!</definedName>
    <definedName name="__123Graph_AMONTHLY" hidden="1">#REF!</definedName>
    <definedName name="__123Graph_AMONTHLY2" hidden="1">#REF!</definedName>
    <definedName name="__123Graph_BDUMMY" hidden="1">#REF!</definedName>
    <definedName name="__123Graph_BMAIN" hidden="1">#REF!</definedName>
    <definedName name="__123Graph_BMONTHLY" hidden="1">#REF!</definedName>
    <definedName name="__123Graph_BMONTHLY2" hidden="1">#REF!</definedName>
    <definedName name="__123Graph_CDUMMY" hidden="1">#REF!</definedName>
    <definedName name="__123Graph_CMONTHLY" hidden="1">#REF!</definedName>
    <definedName name="__123Graph_CMONTHLY2" hidden="1">#REF!</definedName>
    <definedName name="__123Graph_DMONTHLY2" hidden="1">#REF!</definedName>
    <definedName name="__123Graph_EMONTHLY2" hidden="1">#REF!</definedName>
    <definedName name="__123Graph_FMONTHLY2" hidden="1">#REF!</definedName>
    <definedName name="__123Graph_XMAIN" hidden="1">#REF!</definedName>
    <definedName name="__123Graph_XMONTHLY" hidden="1">#REF!</definedName>
    <definedName name="__123Graph_XMONTHLY2" hidden="1">#REF!</definedName>
    <definedName name="__v2" localSheetId="13" hidden="1">#REF!</definedName>
    <definedName name="__v2" hidden="1">#REF!</definedName>
    <definedName name="_1__123Graph_LBL_ACHART_1" hidden="1">#REF!</definedName>
    <definedName name="_xlnm._FilterDatabase" localSheetId="1" hidden="1">'1) Instructions'!$D$5:$K$5</definedName>
    <definedName name="_xlnm._FilterDatabase" localSheetId="18" hidden="1">'CFR 2023-24'!$A$3:$CO$91</definedName>
    <definedName name="_Key1" localSheetId="8" hidden="1">#REF!</definedName>
    <definedName name="_Key1" localSheetId="13" hidden="1">#REF!</definedName>
    <definedName name="_Key1" hidden="1">#REF!</definedName>
    <definedName name="_Order1" hidden="1">255</definedName>
    <definedName name="_Order2" hidden="1">0</definedName>
    <definedName name="_Sort" localSheetId="13" hidden="1">#REF!</definedName>
    <definedName name="_Sort" hidden="1">#REF!</definedName>
    <definedName name="_v2" localSheetId="13" hidden="1">#REF!</definedName>
    <definedName name="_v2" hidden="1">#REF!</definedName>
    <definedName name="Access_Button" hidden="1">"BeneOUTb_database_List"</definedName>
    <definedName name="AccessDatabase" hidden="1">"N:\USERS\BENCHMARKING\Benefits Admin\BeneOUTb.mdb"</definedName>
    <definedName name="_xlnm.Print_Area" localSheetId="10">'3b) List of Accruals'!$A$1:$O$94</definedName>
    <definedName name="SAPBEXdnldView" hidden="1">"BCEJYAJ6X8YV681YS90CP9DMD"</definedName>
    <definedName name="SAPBEXsysID" hidden="1">"BWP"</definedName>
    <definedName name="SCH">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8" i="77" l="1"/>
  <c r="E68" i="77"/>
  <c r="F68" i="77"/>
  <c r="G68" i="77"/>
  <c r="H68" i="77"/>
  <c r="I68" i="77"/>
  <c r="J68" i="77"/>
  <c r="K68" i="77"/>
  <c r="L68" i="77"/>
  <c r="M68" i="77"/>
  <c r="N68" i="77"/>
  <c r="O68" i="77"/>
  <c r="P68" i="77"/>
  <c r="Q68" i="77"/>
  <c r="R68" i="77"/>
  <c r="S68" i="77"/>
  <c r="T68" i="77"/>
  <c r="U68" i="77"/>
  <c r="V68" i="77"/>
  <c r="W68" i="77"/>
  <c r="X68" i="77"/>
  <c r="Y68" i="77"/>
  <c r="Z68" i="77"/>
  <c r="AA68" i="77"/>
  <c r="AB68" i="77"/>
  <c r="AC68" i="77"/>
  <c r="AD68" i="77"/>
  <c r="AE68" i="77"/>
  <c r="AF68" i="77"/>
  <c r="AG68" i="77"/>
  <c r="AH68" i="77"/>
  <c r="AI68" i="77"/>
  <c r="AJ68" i="77"/>
  <c r="AK68" i="77"/>
  <c r="AL68" i="77"/>
  <c r="AM68" i="77"/>
  <c r="AN68" i="77"/>
  <c r="AO68" i="77"/>
  <c r="AP68" i="77"/>
  <c r="AQ68" i="77"/>
  <c r="AR68" i="77"/>
  <c r="AS68" i="77"/>
  <c r="AT68" i="77"/>
  <c r="AU68" i="77"/>
  <c r="AV68" i="77"/>
  <c r="AW68" i="77"/>
  <c r="AX68" i="77"/>
  <c r="AY68" i="77"/>
  <c r="AZ68" i="77"/>
  <c r="BA68" i="77"/>
  <c r="BB68" i="77"/>
  <c r="BC68" i="77"/>
  <c r="BD68" i="77"/>
  <c r="BE68" i="77"/>
  <c r="BF68" i="77"/>
  <c r="BG68" i="77"/>
  <c r="BH68" i="77"/>
  <c r="BI68" i="77"/>
  <c r="BJ68" i="77"/>
  <c r="BK68" i="77"/>
  <c r="BL68" i="77"/>
  <c r="BM68" i="77"/>
  <c r="BN68" i="77"/>
  <c r="BO68" i="77"/>
  <c r="BP68" i="77"/>
  <c r="BQ68" i="77"/>
  <c r="BR68" i="77"/>
  <c r="BS68" i="77"/>
  <c r="BT68" i="77"/>
  <c r="BU68" i="77"/>
  <c r="BV68" i="77"/>
  <c r="BW68" i="77"/>
  <c r="BX68" i="77"/>
  <c r="BY68" i="77"/>
  <c r="BZ68" i="77"/>
  <c r="CA68" i="77"/>
  <c r="CB68" i="77"/>
  <c r="CC68" i="77"/>
  <c r="CD68" i="77"/>
  <c r="CE68" i="77"/>
  <c r="CF68" i="77"/>
  <c r="CG68" i="77"/>
  <c r="CH68" i="77"/>
  <c r="CI68" i="77"/>
  <c r="CJ68" i="77"/>
  <c r="CK68" i="77"/>
  <c r="CL68" i="77"/>
  <c r="CM68" i="77"/>
  <c r="CN68" i="77"/>
  <c r="CO68" i="77"/>
  <c r="CP68" i="77"/>
  <c r="CQ68" i="77"/>
  <c r="C68" i="77"/>
  <c r="C67" i="77"/>
  <c r="D67" i="77"/>
  <c r="E67" i="77"/>
  <c r="F67" i="77"/>
  <c r="G67" i="77"/>
  <c r="H67" i="77"/>
  <c r="I67" i="77"/>
  <c r="J67" i="77"/>
  <c r="K67" i="77"/>
  <c r="L67" i="77"/>
  <c r="M67" i="77"/>
  <c r="N67" i="77"/>
  <c r="O67" i="77"/>
  <c r="P67" i="77"/>
  <c r="Q67" i="77"/>
  <c r="R67" i="77"/>
  <c r="S67" i="77"/>
  <c r="T67" i="77"/>
  <c r="U67" i="77"/>
  <c r="V67" i="77"/>
  <c r="W67" i="77"/>
  <c r="X67" i="77"/>
  <c r="Y67" i="77"/>
  <c r="Z67" i="77"/>
  <c r="AA67" i="77"/>
  <c r="AB67" i="77"/>
  <c r="AC67" i="77"/>
  <c r="AD67" i="77"/>
  <c r="AE67" i="77"/>
  <c r="AF67" i="77"/>
  <c r="AG67" i="77"/>
  <c r="AH67" i="77"/>
  <c r="AI67" i="77"/>
  <c r="AJ67" i="77"/>
  <c r="AK67" i="77"/>
  <c r="AL67" i="77"/>
  <c r="AM67" i="77"/>
  <c r="AN67" i="77"/>
  <c r="AO67" i="77"/>
  <c r="AP67" i="77"/>
  <c r="AQ67" i="77"/>
  <c r="AR67" i="77"/>
  <c r="AS67" i="77"/>
  <c r="AT67" i="77"/>
  <c r="AU67" i="77"/>
  <c r="AV67" i="77"/>
  <c r="AW67" i="77"/>
  <c r="AX67" i="77"/>
  <c r="AY67" i="77"/>
  <c r="AZ67" i="77"/>
  <c r="BA67" i="77"/>
  <c r="BB67" i="77"/>
  <c r="BC67" i="77"/>
  <c r="BD67" i="77"/>
  <c r="BE67" i="77"/>
  <c r="BF67" i="77"/>
  <c r="BG67" i="77"/>
  <c r="BH67" i="77"/>
  <c r="BI67" i="77"/>
  <c r="BJ67" i="77"/>
  <c r="BK67" i="77"/>
  <c r="BL67" i="77"/>
  <c r="BM67" i="77"/>
  <c r="BN67" i="77"/>
  <c r="BO67" i="77"/>
  <c r="BP67" i="77"/>
  <c r="BQ67" i="77"/>
  <c r="BR67" i="77"/>
  <c r="BS67" i="77"/>
  <c r="BT67" i="77"/>
  <c r="BU67" i="77"/>
  <c r="BV67" i="77"/>
  <c r="BW67" i="77"/>
  <c r="BX67" i="77"/>
  <c r="BY67" i="77"/>
  <c r="BZ67" i="77"/>
  <c r="CA67" i="77"/>
  <c r="CB67" i="77"/>
  <c r="CC67" i="77"/>
  <c r="CD67" i="77"/>
  <c r="CE67" i="77"/>
  <c r="CF67" i="77"/>
  <c r="CG67" i="77"/>
  <c r="CH67" i="77"/>
  <c r="CI67" i="77"/>
  <c r="CJ67" i="77"/>
  <c r="CK67" i="77"/>
  <c r="CL67" i="77"/>
  <c r="CM67" i="77"/>
  <c r="CN67" i="77"/>
  <c r="CO67" i="77"/>
  <c r="CP67" i="77"/>
  <c r="CQ67" i="77"/>
  <c r="BR4" i="78"/>
  <c r="G9" i="79" a="1"/>
  <c r="G9" i="79" s="1"/>
  <c r="E9" i="79"/>
  <c r="F30" i="79"/>
  <c r="G29" i="79"/>
  <c r="G14" i="79"/>
  <c r="H13" i="79"/>
  <c r="H12" i="79"/>
  <c r="E109" i="1" l="1"/>
  <c r="F109" i="1" s="1"/>
  <c r="E110" i="1"/>
  <c r="F110" i="1" s="1"/>
  <c r="H110" i="62" s="1"/>
  <c r="E67" i="1"/>
  <c r="F67" i="1" s="1"/>
  <c r="H68" i="62" s="1"/>
  <c r="E60" i="1"/>
  <c r="F60" i="1" s="1"/>
  <c r="H61" i="62" s="1"/>
  <c r="F13" i="62" a="1"/>
  <c r="F13" i="62" s="1"/>
  <c r="BO91" i="78"/>
  <c r="AG91" i="78"/>
  <c r="K91" i="78"/>
  <c r="CD90" i="78"/>
  <c r="CE90" i="78" s="1"/>
  <c r="CC90" i="78"/>
  <c r="BX90" i="78"/>
  <c r="BR90" i="78"/>
  <c r="BP90" i="78"/>
  <c r="BS90" i="78" s="1"/>
  <c r="BO90" i="78"/>
  <c r="AG90" i="78"/>
  <c r="BQ90" i="78" s="1"/>
  <c r="CK89" i="78"/>
  <c r="CJ89" i="78"/>
  <c r="CI89" i="78"/>
  <c r="CC89" i="78"/>
  <c r="BX89" i="78"/>
  <c r="CD89" i="78" s="1"/>
  <c r="CE89" i="78" s="1"/>
  <c r="BR89" i="78"/>
  <c r="BO89" i="78"/>
  <c r="BP89" i="78" s="1"/>
  <c r="BS89" i="78" s="1"/>
  <c r="AG89" i="78"/>
  <c r="BQ89" i="78" s="1"/>
  <c r="CJ88" i="78"/>
  <c r="CI88" i="78"/>
  <c r="CC88" i="78"/>
  <c r="BX88" i="78"/>
  <c r="BR88" i="78"/>
  <c r="BO88" i="78"/>
  <c r="AG88" i="78"/>
  <c r="BQ88" i="78" s="1"/>
  <c r="CJ87" i="78"/>
  <c r="CN87" i="78" s="1"/>
  <c r="CI87" i="78"/>
  <c r="CC87" i="78"/>
  <c r="BX87" i="78"/>
  <c r="CD87" i="78" s="1"/>
  <c r="CE87" i="78" s="1"/>
  <c r="BR87" i="78"/>
  <c r="BO87" i="78"/>
  <c r="AG87" i="78"/>
  <c r="CJ86" i="78"/>
  <c r="CI86" i="78"/>
  <c r="CK86" i="78" s="1"/>
  <c r="CC86" i="78"/>
  <c r="BX86" i="78"/>
  <c r="CD86" i="78" s="1"/>
  <c r="CE86" i="78" s="1"/>
  <c r="CN86" i="78" s="1"/>
  <c r="BS86" i="78"/>
  <c r="BR86" i="78"/>
  <c r="BQ86" i="78"/>
  <c r="BP86" i="78"/>
  <c r="BO86" i="78"/>
  <c r="AG86" i="78"/>
  <c r="CJ85" i="78"/>
  <c r="CI85" i="78"/>
  <c r="CK85" i="78" s="1"/>
  <c r="CE85" i="78"/>
  <c r="CN85" i="78" s="1"/>
  <c r="CD85" i="78"/>
  <c r="CC85" i="78"/>
  <c r="BX85" i="78"/>
  <c r="BR85" i="78"/>
  <c r="BQ85" i="78"/>
  <c r="BP85" i="78"/>
  <c r="BS85" i="78" s="1"/>
  <c r="CM85" i="78" s="1"/>
  <c r="BO85" i="78"/>
  <c r="AG85" i="78"/>
  <c r="CM84" i="78"/>
  <c r="CK84" i="78"/>
  <c r="CJ84" i="78"/>
  <c r="CI84" i="78"/>
  <c r="CD84" i="78"/>
  <c r="CE84" i="78" s="1"/>
  <c r="CN84" i="78" s="1"/>
  <c r="CC84" i="78"/>
  <c r="BX84" i="78"/>
  <c r="BR84" i="78"/>
  <c r="BQ84" i="78"/>
  <c r="BP84" i="78"/>
  <c r="BS84" i="78" s="1"/>
  <c r="CF84" i="78" s="1"/>
  <c r="BO84" i="78"/>
  <c r="AG84" i="78"/>
  <c r="CK83" i="78"/>
  <c r="CJ83" i="78"/>
  <c r="CI83" i="78"/>
  <c r="CC83" i="78"/>
  <c r="CD83" i="78" s="1"/>
  <c r="CE83" i="78" s="1"/>
  <c r="BX83" i="78"/>
  <c r="BR83" i="78"/>
  <c r="BO83" i="78"/>
  <c r="AG83" i="78"/>
  <c r="BQ83" i="78" s="1"/>
  <c r="CJ82" i="78"/>
  <c r="CN82" i="78" s="1"/>
  <c r="CI82" i="78"/>
  <c r="CC82" i="78"/>
  <c r="BX82" i="78"/>
  <c r="CD82" i="78" s="1"/>
  <c r="CE82" i="78" s="1"/>
  <c r="BR82" i="78"/>
  <c r="BO82" i="78"/>
  <c r="AG82" i="78"/>
  <c r="CJ81" i="78"/>
  <c r="CI81" i="78"/>
  <c r="CC81" i="78"/>
  <c r="BX81" i="78"/>
  <c r="CD81" i="78" s="1"/>
  <c r="CE81" i="78" s="1"/>
  <c r="CN81" i="78" s="1"/>
  <c r="BS81" i="78"/>
  <c r="CF81" i="78" s="1"/>
  <c r="BR81" i="78"/>
  <c r="BQ81" i="78"/>
  <c r="BO81" i="78"/>
  <c r="AG81" i="78"/>
  <c r="BP81" i="78" s="1"/>
  <c r="CJ80" i="78"/>
  <c r="CI80" i="78"/>
  <c r="CE80" i="78"/>
  <c r="CN80" i="78" s="1"/>
  <c r="CD80" i="78"/>
  <c r="CC80" i="78"/>
  <c r="BX80" i="78"/>
  <c r="BR80" i="78"/>
  <c r="BQ80" i="78"/>
  <c r="BO80" i="78"/>
  <c r="AG80" i="78"/>
  <c r="BP80" i="78" s="1"/>
  <c r="BS80" i="78" s="1"/>
  <c r="CF80" i="78" s="1"/>
  <c r="CE79" i="78"/>
  <c r="CD79" i="78"/>
  <c r="CC79" i="78"/>
  <c r="BX79" i="78"/>
  <c r="BR79" i="78"/>
  <c r="BQ79" i="78"/>
  <c r="BP79" i="78"/>
  <c r="BS79" i="78" s="1"/>
  <c r="CF79" i="78" s="1"/>
  <c r="BO79" i="78"/>
  <c r="AG79" i="78"/>
  <c r="CM78" i="78"/>
  <c r="CK78" i="78"/>
  <c r="CJ78" i="78"/>
  <c r="CI78" i="78"/>
  <c r="CD78" i="78"/>
  <c r="CE78" i="78" s="1"/>
  <c r="CN78" i="78" s="1"/>
  <c r="CC78" i="78"/>
  <c r="BX78" i="78"/>
  <c r="BR78" i="78"/>
  <c r="BQ78" i="78"/>
  <c r="BP78" i="78"/>
  <c r="BS78" i="78" s="1"/>
  <c r="CF78" i="78" s="1"/>
  <c r="BO78" i="78"/>
  <c r="AG78" i="78"/>
  <c r="CK77" i="78"/>
  <c r="CJ77" i="78"/>
  <c r="CI77" i="78"/>
  <c r="CC77" i="78"/>
  <c r="CD77" i="78" s="1"/>
  <c r="CE77" i="78" s="1"/>
  <c r="BX77" i="78"/>
  <c r="BR77" i="78"/>
  <c r="BO77" i="78"/>
  <c r="AG77" i="78"/>
  <c r="BQ77" i="78" s="1"/>
  <c r="CJ76" i="78"/>
  <c r="CN76" i="78" s="1"/>
  <c r="CI76" i="78"/>
  <c r="CC76" i="78"/>
  <c r="BX76" i="78"/>
  <c r="CD76" i="78" s="1"/>
  <c r="CE76" i="78" s="1"/>
  <c r="BR76" i="78"/>
  <c r="BO76" i="78"/>
  <c r="AG76" i="78"/>
  <c r="CJ75" i="78"/>
  <c r="CI75" i="78"/>
  <c r="CC75" i="78"/>
  <c r="BX75" i="78"/>
  <c r="CD75" i="78" s="1"/>
  <c r="CE75" i="78" s="1"/>
  <c r="CN75" i="78" s="1"/>
  <c r="BS75" i="78"/>
  <c r="CF75" i="78" s="1"/>
  <c r="BR75" i="78"/>
  <c r="BQ75" i="78"/>
  <c r="BO75" i="78"/>
  <c r="AG75" i="78"/>
  <c r="BP75" i="78" s="1"/>
  <c r="CJ74" i="78"/>
  <c r="CI74" i="78"/>
  <c r="CF74" i="78"/>
  <c r="CE74" i="78"/>
  <c r="CN74" i="78" s="1"/>
  <c r="CD74" i="78"/>
  <c r="CC74" i="78"/>
  <c r="BX74" i="78"/>
  <c r="BR74" i="78"/>
  <c r="BQ74" i="78"/>
  <c r="BO74" i="78"/>
  <c r="AG74" i="78"/>
  <c r="BP74" i="78" s="1"/>
  <c r="BS74" i="78" s="1"/>
  <c r="CE73" i="78"/>
  <c r="CD73" i="78"/>
  <c r="CC73" i="78"/>
  <c r="BX73" i="78"/>
  <c r="BR73" i="78"/>
  <c r="BQ73" i="78"/>
  <c r="BP73" i="78"/>
  <c r="BS73" i="78" s="1"/>
  <c r="CF73" i="78" s="1"/>
  <c r="BO73" i="78"/>
  <c r="AG73" i="78"/>
  <c r="CN72" i="78"/>
  <c r="CK72" i="78"/>
  <c r="CJ72" i="78"/>
  <c r="CI72" i="78"/>
  <c r="CD72" i="78"/>
  <c r="CE72" i="78" s="1"/>
  <c r="CC72" i="78"/>
  <c r="BX72" i="78"/>
  <c r="BR72" i="78"/>
  <c r="BQ72" i="78"/>
  <c r="BP72" i="78"/>
  <c r="BS72" i="78" s="1"/>
  <c r="CF72" i="78" s="1"/>
  <c r="BO72" i="78"/>
  <c r="AG72" i="78"/>
  <c r="CK71" i="78"/>
  <c r="CJ71" i="78"/>
  <c r="CI71" i="78"/>
  <c r="CC71" i="78"/>
  <c r="CD71" i="78" s="1"/>
  <c r="CE71" i="78" s="1"/>
  <c r="BX71" i="78"/>
  <c r="BR71" i="78"/>
  <c r="BO71" i="78"/>
  <c r="AG71" i="78"/>
  <c r="BQ71" i="78" s="1"/>
  <c r="CK70" i="78"/>
  <c r="CJ70" i="78"/>
  <c r="CI70" i="78"/>
  <c r="CC70" i="78"/>
  <c r="BX70" i="78"/>
  <c r="CD70" i="78" s="1"/>
  <c r="CE70" i="78" s="1"/>
  <c r="BR70" i="78"/>
  <c r="BO70" i="78"/>
  <c r="AG70" i="78"/>
  <c r="CC69" i="78"/>
  <c r="BX69" i="78"/>
  <c r="CD69" i="78" s="1"/>
  <c r="CE69" i="78" s="1"/>
  <c r="BR69" i="78"/>
  <c r="BO69" i="78"/>
  <c r="AG69" i="78"/>
  <c r="CK68" i="78"/>
  <c r="CJ68" i="78"/>
  <c r="CI68" i="78"/>
  <c r="CC68" i="78"/>
  <c r="BX68" i="78"/>
  <c r="CD68" i="78" s="1"/>
  <c r="CE68" i="78" s="1"/>
  <c r="CN68" i="78" s="1"/>
  <c r="BR68" i="78"/>
  <c r="BQ68" i="78"/>
  <c r="BO68" i="78"/>
  <c r="BP68" i="78" s="1"/>
  <c r="BS68" i="78" s="1"/>
  <c r="AG68" i="78"/>
  <c r="CN67" i="78"/>
  <c r="CJ67" i="78"/>
  <c r="CI67" i="78"/>
  <c r="CK67" i="78" s="1"/>
  <c r="CE67" i="78"/>
  <c r="CD67" i="78"/>
  <c r="CC67" i="78"/>
  <c r="BX67" i="78"/>
  <c r="BR67" i="78"/>
  <c r="BQ67" i="78"/>
  <c r="BP67" i="78"/>
  <c r="BS67" i="78" s="1"/>
  <c r="CM67" i="78" s="1"/>
  <c r="BO67" i="78"/>
  <c r="AG67" i="78"/>
  <c r="CN66" i="78"/>
  <c r="CM66" i="78"/>
  <c r="CK66" i="78"/>
  <c r="CJ66" i="78"/>
  <c r="CI66" i="78"/>
  <c r="CD66" i="78"/>
  <c r="CE66" i="78" s="1"/>
  <c r="CC66" i="78"/>
  <c r="BX66" i="78"/>
  <c r="BR66" i="78"/>
  <c r="BQ66" i="78"/>
  <c r="BP66" i="78"/>
  <c r="BS66" i="78" s="1"/>
  <c r="BO66" i="78"/>
  <c r="AG66" i="78"/>
  <c r="CK65" i="78"/>
  <c r="CJ65" i="78"/>
  <c r="CI65" i="78"/>
  <c r="CD65" i="78"/>
  <c r="CE65" i="78" s="1"/>
  <c r="CC65" i="78"/>
  <c r="BX65" i="78"/>
  <c r="BR65" i="78"/>
  <c r="BO65" i="78"/>
  <c r="AG65" i="78"/>
  <c r="BQ65" i="78" s="1"/>
  <c r="CC64" i="78"/>
  <c r="BX64" i="78"/>
  <c r="CD64" i="78" s="1"/>
  <c r="CE64" i="78" s="1"/>
  <c r="BR64" i="78"/>
  <c r="BO64" i="78"/>
  <c r="AG64" i="78"/>
  <c r="CJ63" i="78"/>
  <c r="CN63" i="78" s="1"/>
  <c r="CI63" i="78"/>
  <c r="CC63" i="78"/>
  <c r="BX63" i="78"/>
  <c r="CD63" i="78" s="1"/>
  <c r="CE63" i="78" s="1"/>
  <c r="BR63" i="78"/>
  <c r="BO63" i="78"/>
  <c r="AG63" i="78"/>
  <c r="CJ62" i="78"/>
  <c r="CI62" i="78"/>
  <c r="CC62" i="78"/>
  <c r="BX62" i="78"/>
  <c r="CD62" i="78" s="1"/>
  <c r="CE62" i="78" s="1"/>
  <c r="CN62" i="78" s="1"/>
  <c r="BR62" i="78"/>
  <c r="BQ62" i="78"/>
  <c r="BO62" i="78"/>
  <c r="AG62" i="78"/>
  <c r="BP62" i="78" s="1"/>
  <c r="BS62" i="78" s="1"/>
  <c r="CF62" i="78" s="1"/>
  <c r="CJ61" i="78"/>
  <c r="CI61" i="78"/>
  <c r="CK61" i="78" s="1"/>
  <c r="CE61" i="78"/>
  <c r="CN61" i="78" s="1"/>
  <c r="CD61" i="78"/>
  <c r="CC61" i="78"/>
  <c r="BX61" i="78"/>
  <c r="BR61" i="78"/>
  <c r="BQ61" i="78"/>
  <c r="BP61" i="78"/>
  <c r="BS61" i="78" s="1"/>
  <c r="CM61" i="78" s="1"/>
  <c r="BO61" i="78"/>
  <c r="AG61" i="78"/>
  <c r="CN60" i="78"/>
  <c r="CK60" i="78"/>
  <c r="CJ60" i="78"/>
  <c r="CI60" i="78"/>
  <c r="CD60" i="78"/>
  <c r="CE60" i="78" s="1"/>
  <c r="CC60" i="78"/>
  <c r="BX60" i="78"/>
  <c r="BR60" i="78"/>
  <c r="BQ60" i="78"/>
  <c r="BP60" i="78"/>
  <c r="BS60" i="78" s="1"/>
  <c r="CF60" i="78" s="1"/>
  <c r="BO60" i="78"/>
  <c r="AG60" i="78"/>
  <c r="CK59" i="78"/>
  <c r="CJ59" i="78"/>
  <c r="CI59" i="78"/>
  <c r="CC59" i="78"/>
  <c r="CD59" i="78" s="1"/>
  <c r="CE59" i="78" s="1"/>
  <c r="BX59" i="78"/>
  <c r="BR59" i="78"/>
  <c r="BO59" i="78"/>
  <c r="AG59" i="78"/>
  <c r="BQ59" i="78" s="1"/>
  <c r="CK58" i="78"/>
  <c r="CJ58" i="78"/>
  <c r="CI58" i="78"/>
  <c r="CC58" i="78"/>
  <c r="BX58" i="78"/>
  <c r="CD58" i="78" s="1"/>
  <c r="CE58" i="78" s="1"/>
  <c r="BR58" i="78"/>
  <c r="BO58" i="78"/>
  <c r="AG58" i="78"/>
  <c r="CJ57" i="78"/>
  <c r="CI57" i="78"/>
  <c r="CC57" i="78"/>
  <c r="BX57" i="78"/>
  <c r="CD57" i="78" s="1"/>
  <c r="CE57" i="78" s="1"/>
  <c r="BR57" i="78"/>
  <c r="BO57" i="78"/>
  <c r="AG57" i="78"/>
  <c r="BQ57" i="78" s="1"/>
  <c r="CJ56" i="78"/>
  <c r="CI56" i="78"/>
  <c r="CF56" i="78"/>
  <c r="CE56" i="78"/>
  <c r="CN56" i="78" s="1"/>
  <c r="CD56" i="78"/>
  <c r="CC56" i="78"/>
  <c r="BX56" i="78"/>
  <c r="BR56" i="78"/>
  <c r="BQ56" i="78"/>
  <c r="BO56" i="78"/>
  <c r="AG56" i="78"/>
  <c r="BP56" i="78" s="1"/>
  <c r="BS56" i="78" s="1"/>
  <c r="CE55" i="78"/>
  <c r="CD55" i="78"/>
  <c r="CC55" i="78"/>
  <c r="BX55" i="78"/>
  <c r="BR55" i="78"/>
  <c r="BQ55" i="78"/>
  <c r="BP55" i="78"/>
  <c r="BS55" i="78" s="1"/>
  <c r="CF55" i="78" s="1"/>
  <c r="BO55" i="78"/>
  <c r="AG55" i="78"/>
  <c r="CE54" i="78"/>
  <c r="CD54" i="78"/>
  <c r="CC54" i="78"/>
  <c r="BX54" i="78"/>
  <c r="BR54" i="78"/>
  <c r="BP54" i="78"/>
  <c r="BS54" i="78" s="1"/>
  <c r="BO54" i="78"/>
  <c r="AG54" i="78"/>
  <c r="BQ54" i="78" s="1"/>
  <c r="CK53" i="78"/>
  <c r="CJ53" i="78"/>
  <c r="CI53" i="78"/>
  <c r="CC53" i="78"/>
  <c r="BX53" i="78"/>
  <c r="BR53" i="78"/>
  <c r="BO53" i="78"/>
  <c r="BP53" i="78" s="1"/>
  <c r="BS53" i="78" s="1"/>
  <c r="AG53" i="78"/>
  <c r="BQ53" i="78" s="1"/>
  <c r="CJ52" i="78"/>
  <c r="CI52" i="78"/>
  <c r="CC52" i="78"/>
  <c r="BX52" i="78"/>
  <c r="CD52" i="78" s="1"/>
  <c r="CE52" i="78" s="1"/>
  <c r="BR52" i="78"/>
  <c r="BO52" i="78"/>
  <c r="AG52" i="78"/>
  <c r="CJ51" i="78"/>
  <c r="CI51" i="78"/>
  <c r="CC51" i="78"/>
  <c r="BX51" i="78"/>
  <c r="CD51" i="78" s="1"/>
  <c r="CE51" i="78" s="1"/>
  <c r="BR51" i="78"/>
  <c r="BO51" i="78"/>
  <c r="AG51" i="78"/>
  <c r="CF50" i="78"/>
  <c r="CE50" i="78"/>
  <c r="CD50" i="78"/>
  <c r="CC50" i="78"/>
  <c r="BX50" i="78"/>
  <c r="BR50" i="78"/>
  <c r="BQ50" i="78"/>
  <c r="BO50" i="78"/>
  <c r="AG50" i="78"/>
  <c r="BP50" i="78" s="1"/>
  <c r="BS50" i="78" s="1"/>
  <c r="CK49" i="78"/>
  <c r="CJ49" i="78"/>
  <c r="CI49" i="78"/>
  <c r="CE49" i="78"/>
  <c r="CN49" i="78" s="1"/>
  <c r="CD49" i="78"/>
  <c r="CC49" i="78"/>
  <c r="BX49" i="78"/>
  <c r="BR49" i="78"/>
  <c r="BQ49" i="78"/>
  <c r="BP49" i="78"/>
  <c r="BS49" i="78" s="1"/>
  <c r="BO49" i="78"/>
  <c r="AG49" i="78"/>
  <c r="CK48" i="78"/>
  <c r="CJ48" i="78"/>
  <c r="CN48" i="78" s="1"/>
  <c r="CI48" i="78"/>
  <c r="CE48" i="78"/>
  <c r="CD48" i="78"/>
  <c r="CC48" i="78"/>
  <c r="BX48" i="78"/>
  <c r="BR48" i="78"/>
  <c r="BP48" i="78"/>
  <c r="BS48" i="78" s="1"/>
  <c r="CM48" i="78" s="1"/>
  <c r="BO48" i="78"/>
  <c r="AG48" i="78"/>
  <c r="BQ48" i="78" s="1"/>
  <c r="CK47" i="78"/>
  <c r="CJ47" i="78"/>
  <c r="CI47" i="78"/>
  <c r="CC47" i="78"/>
  <c r="BX47" i="78"/>
  <c r="BR47" i="78"/>
  <c r="BO47" i="78"/>
  <c r="BP47" i="78" s="1"/>
  <c r="BS47" i="78" s="1"/>
  <c r="AG47" i="78"/>
  <c r="BQ47" i="78" s="1"/>
  <c r="CJ46" i="78"/>
  <c r="CI46" i="78"/>
  <c r="CC46" i="78"/>
  <c r="BX46" i="78"/>
  <c r="CD46" i="78" s="1"/>
  <c r="CE46" i="78" s="1"/>
  <c r="BR46" i="78"/>
  <c r="BO46" i="78"/>
  <c r="AG46" i="78"/>
  <c r="CJ45" i="78"/>
  <c r="CI45" i="78"/>
  <c r="CC45" i="78"/>
  <c r="BX45" i="78"/>
  <c r="CD45" i="78" s="1"/>
  <c r="CE45" i="78" s="1"/>
  <c r="BR45" i="78"/>
  <c r="BO45" i="78"/>
  <c r="AG45" i="78"/>
  <c r="CF44" i="78"/>
  <c r="CE44" i="78"/>
  <c r="CD44" i="78"/>
  <c r="CC44" i="78"/>
  <c r="BX44" i="78"/>
  <c r="BR44" i="78"/>
  <c r="BQ44" i="78"/>
  <c r="BO44" i="78"/>
  <c r="AG44" i="78"/>
  <c r="BP44" i="78" s="1"/>
  <c r="BS44" i="78" s="1"/>
  <c r="CE43" i="78"/>
  <c r="CD43" i="78"/>
  <c r="CC43" i="78"/>
  <c r="BX43" i="78"/>
  <c r="BR43" i="78"/>
  <c r="BQ43" i="78"/>
  <c r="BP43" i="78"/>
  <c r="BS43" i="78" s="1"/>
  <c r="CF43" i="78" s="1"/>
  <c r="BO43" i="78"/>
  <c r="AG43" i="78"/>
  <c r="CM42" i="78"/>
  <c r="CK42" i="78"/>
  <c r="CJ42" i="78"/>
  <c r="CI42" i="78"/>
  <c r="CD42" i="78"/>
  <c r="CE42" i="78" s="1"/>
  <c r="CN42" i="78" s="1"/>
  <c r="CC42" i="78"/>
  <c r="BX42" i="78"/>
  <c r="BR42" i="78"/>
  <c r="BQ42" i="78"/>
  <c r="BP42" i="78"/>
  <c r="BS42" i="78" s="1"/>
  <c r="BO42" i="78"/>
  <c r="AG42" i="78"/>
  <c r="CC41" i="78"/>
  <c r="BX41" i="78"/>
  <c r="BR41" i="78"/>
  <c r="BO41" i="78"/>
  <c r="BP41" i="78" s="1"/>
  <c r="BS41" i="78" s="1"/>
  <c r="AG41" i="78"/>
  <c r="BQ41" i="78" s="1"/>
  <c r="CJ40" i="78"/>
  <c r="CI40" i="78"/>
  <c r="CC40" i="78"/>
  <c r="BX40" i="78"/>
  <c r="CD40" i="78" s="1"/>
  <c r="CE40" i="78" s="1"/>
  <c r="BR40" i="78"/>
  <c r="BO40" i="78"/>
  <c r="AG40" i="78"/>
  <c r="CJ39" i="78"/>
  <c r="CI39" i="78"/>
  <c r="CC39" i="78"/>
  <c r="BX39" i="78"/>
  <c r="CD39" i="78" s="1"/>
  <c r="CE39" i="78" s="1"/>
  <c r="BR39" i="78"/>
  <c r="BO39" i="78"/>
  <c r="AG39" i="78"/>
  <c r="CJ38" i="78"/>
  <c r="CI38" i="78"/>
  <c r="CK38" i="78" s="1"/>
  <c r="CO38" i="78" s="1"/>
  <c r="CF38" i="78"/>
  <c r="CC38" i="78"/>
  <c r="BX38" i="78"/>
  <c r="CD38" i="78" s="1"/>
  <c r="CE38" i="78" s="1"/>
  <c r="CN38" i="78" s="1"/>
  <c r="BS38" i="78"/>
  <c r="CM38" i="78" s="1"/>
  <c r="BR38" i="78"/>
  <c r="BQ38" i="78"/>
  <c r="BP38" i="78"/>
  <c r="BO38" i="78"/>
  <c r="AG38" i="78"/>
  <c r="CN37" i="78"/>
  <c r="CJ37" i="78"/>
  <c r="CI37" i="78"/>
  <c r="CK37" i="78" s="1"/>
  <c r="CE37" i="78"/>
  <c r="CD37" i="78"/>
  <c r="CC37" i="78"/>
  <c r="BX37" i="78"/>
  <c r="BR37" i="78"/>
  <c r="BQ37" i="78"/>
  <c r="BP37" i="78"/>
  <c r="BS37" i="78" s="1"/>
  <c r="CM37" i="78" s="1"/>
  <c r="BO37" i="78"/>
  <c r="AG37" i="78"/>
  <c r="CN36" i="78"/>
  <c r="CM36" i="78"/>
  <c r="CK36" i="78"/>
  <c r="CO36" i="78" s="1"/>
  <c r="CJ36" i="78"/>
  <c r="CI36" i="78"/>
  <c r="CD36" i="78"/>
  <c r="CE36" i="78" s="1"/>
  <c r="CC36" i="78"/>
  <c r="BX36" i="78"/>
  <c r="BR36" i="78"/>
  <c r="BQ36" i="78"/>
  <c r="BP36" i="78"/>
  <c r="BS36" i="78" s="1"/>
  <c r="CF36" i="78" s="1"/>
  <c r="BO36" i="78"/>
  <c r="AG36" i="78"/>
  <c r="CK35" i="78"/>
  <c r="CJ35" i="78"/>
  <c r="CI35" i="78"/>
  <c r="CC35" i="78"/>
  <c r="CD35" i="78" s="1"/>
  <c r="CE35" i="78" s="1"/>
  <c r="BX35" i="78"/>
  <c r="BR35" i="78"/>
  <c r="BO35" i="78"/>
  <c r="AG35" i="78"/>
  <c r="BQ35" i="78" s="1"/>
  <c r="CJ34" i="78"/>
  <c r="CI34" i="78"/>
  <c r="CC34" i="78"/>
  <c r="BX34" i="78"/>
  <c r="CD34" i="78" s="1"/>
  <c r="CE34" i="78" s="1"/>
  <c r="BR34" i="78"/>
  <c r="BO34" i="78"/>
  <c r="AG34" i="78"/>
  <c r="CJ33" i="78"/>
  <c r="CI33" i="78"/>
  <c r="CC33" i="78"/>
  <c r="BX33" i="78"/>
  <c r="CD33" i="78" s="1"/>
  <c r="CE33" i="78" s="1"/>
  <c r="CN33" i="78" s="1"/>
  <c r="BR33" i="78"/>
  <c r="BQ33" i="78"/>
  <c r="BO33" i="78"/>
  <c r="AG33" i="78"/>
  <c r="BP33" i="78" s="1"/>
  <c r="BS33" i="78" s="1"/>
  <c r="CF33" i="78" s="1"/>
  <c r="CJ32" i="78"/>
  <c r="CI32" i="78"/>
  <c r="CF32" i="78"/>
  <c r="CE32" i="78"/>
  <c r="CN32" i="78" s="1"/>
  <c r="CD32" i="78"/>
  <c r="CC32" i="78"/>
  <c r="BX32" i="78"/>
  <c r="BR32" i="78"/>
  <c r="BQ32" i="78"/>
  <c r="BO32" i="78"/>
  <c r="AG32" i="78"/>
  <c r="BP32" i="78" s="1"/>
  <c r="BS32" i="78" s="1"/>
  <c r="CK31" i="78"/>
  <c r="CJ31" i="78"/>
  <c r="CI31" i="78"/>
  <c r="CE31" i="78"/>
  <c r="CN31" i="78" s="1"/>
  <c r="CD31" i="78"/>
  <c r="CC31" i="78"/>
  <c r="BX31" i="78"/>
  <c r="BR31" i="78"/>
  <c r="BQ31" i="78"/>
  <c r="BP31" i="78"/>
  <c r="BS31" i="78" s="1"/>
  <c r="BO31" i="78"/>
  <c r="AG31" i="78"/>
  <c r="CK30" i="78"/>
  <c r="CJ30" i="78"/>
  <c r="CN30" i="78" s="1"/>
  <c r="CI30" i="78"/>
  <c r="CE30" i="78"/>
  <c r="CD30" i="78"/>
  <c r="CC30" i="78"/>
  <c r="BX30" i="78"/>
  <c r="BR30" i="78"/>
  <c r="BP30" i="78"/>
  <c r="BS30" i="78" s="1"/>
  <c r="CM30" i="78" s="1"/>
  <c r="BO30" i="78"/>
  <c r="AG30" i="78"/>
  <c r="BQ30" i="78" s="1"/>
  <c r="CK29" i="78"/>
  <c r="CJ29" i="78"/>
  <c r="CI29" i="78"/>
  <c r="CC29" i="78"/>
  <c r="BX29" i="78"/>
  <c r="BR29" i="78"/>
  <c r="BO29" i="78"/>
  <c r="BP29" i="78" s="1"/>
  <c r="BS29" i="78" s="1"/>
  <c r="AG29" i="78"/>
  <c r="BQ29" i="78" s="1"/>
  <c r="CJ28" i="78"/>
  <c r="CI28" i="78"/>
  <c r="CC28" i="78"/>
  <c r="BX28" i="78"/>
  <c r="CD28" i="78" s="1"/>
  <c r="CE28" i="78" s="1"/>
  <c r="BR28" i="78"/>
  <c r="BO28" i="78"/>
  <c r="AG28" i="78"/>
  <c r="CJ27" i="78"/>
  <c r="CI27" i="78"/>
  <c r="CC27" i="78"/>
  <c r="BX27" i="78"/>
  <c r="CD27" i="78" s="1"/>
  <c r="CE27" i="78" s="1"/>
  <c r="BR27" i="78"/>
  <c r="BO27" i="78"/>
  <c r="AG27" i="78"/>
  <c r="CJ26" i="78"/>
  <c r="CI26" i="78"/>
  <c r="CK26" i="78" s="1"/>
  <c r="CF26" i="78"/>
  <c r="CO26" i="78" s="1"/>
  <c r="CC26" i="78"/>
  <c r="BX26" i="78"/>
  <c r="CD26" i="78" s="1"/>
  <c r="CE26" i="78" s="1"/>
  <c r="CN26" i="78" s="1"/>
  <c r="BS26" i="78"/>
  <c r="CM26" i="78" s="1"/>
  <c r="BR26" i="78"/>
  <c r="BQ26" i="78"/>
  <c r="BP26" i="78"/>
  <c r="BO26" i="78"/>
  <c r="AG26" i="78"/>
  <c r="CE25" i="78"/>
  <c r="CD25" i="78"/>
  <c r="CC25" i="78"/>
  <c r="BX25" i="78"/>
  <c r="BR25" i="78"/>
  <c r="BQ25" i="78"/>
  <c r="BP25" i="78"/>
  <c r="BS25" i="78" s="1"/>
  <c r="BO25" i="78"/>
  <c r="AG25" i="78"/>
  <c r="CK24" i="78"/>
  <c r="CJ24" i="78"/>
  <c r="CI24" i="78"/>
  <c r="CE24" i="78"/>
  <c r="CD24" i="78"/>
  <c r="CC24" i="78"/>
  <c r="BX24" i="78"/>
  <c r="BR24" i="78"/>
  <c r="BP24" i="78"/>
  <c r="BS24" i="78" s="1"/>
  <c r="CM24" i="78" s="1"/>
  <c r="BO24" i="78"/>
  <c r="AG24" i="78"/>
  <c r="BQ24" i="78" s="1"/>
  <c r="CD23" i="78"/>
  <c r="CE23" i="78" s="1"/>
  <c r="CC23" i="78"/>
  <c r="BX23" i="78"/>
  <c r="BR23" i="78"/>
  <c r="BO23" i="78"/>
  <c r="AG23" i="78"/>
  <c r="CK22" i="78"/>
  <c r="CJ22" i="78"/>
  <c r="CI22" i="78"/>
  <c r="CC22" i="78"/>
  <c r="BX22" i="78"/>
  <c r="CD22" i="78" s="1"/>
  <c r="CE22" i="78" s="1"/>
  <c r="BR22" i="78"/>
  <c r="BO22" i="78"/>
  <c r="AG22" i="78"/>
  <c r="CJ21" i="78"/>
  <c r="CI21" i="78"/>
  <c r="CC21" i="78"/>
  <c r="BX21" i="78"/>
  <c r="CD21" i="78" s="1"/>
  <c r="CE21" i="78" s="1"/>
  <c r="CN21" i="78" s="1"/>
  <c r="BS21" i="78"/>
  <c r="CF21" i="78" s="1"/>
  <c r="BR21" i="78"/>
  <c r="BQ21" i="78"/>
  <c r="BO21" i="78"/>
  <c r="AG21" i="78"/>
  <c r="BP21" i="78" s="1"/>
  <c r="CJ20" i="78"/>
  <c r="CI20" i="78"/>
  <c r="CE20" i="78"/>
  <c r="CN20" i="78" s="1"/>
  <c r="CD20" i="78"/>
  <c r="CC20" i="78"/>
  <c r="BX20" i="78"/>
  <c r="BR20" i="78"/>
  <c r="BQ20" i="78"/>
  <c r="BO20" i="78"/>
  <c r="AG20" i="78"/>
  <c r="BP20" i="78" s="1"/>
  <c r="BS20" i="78" s="1"/>
  <c r="CF20" i="78" s="1"/>
  <c r="CN19" i="78"/>
  <c r="CK19" i="78"/>
  <c r="CJ19" i="78"/>
  <c r="CI19" i="78"/>
  <c r="CE19" i="78"/>
  <c r="CD19" i="78"/>
  <c r="CC19" i="78"/>
  <c r="BX19" i="78"/>
  <c r="BR19" i="78"/>
  <c r="BQ19" i="78"/>
  <c r="BP19" i="78"/>
  <c r="BS19" i="78" s="1"/>
  <c r="CF19" i="78" s="1"/>
  <c r="CO19" i="78" s="1"/>
  <c r="BO19" i="78"/>
  <c r="AG19" i="78"/>
  <c r="CK18" i="78"/>
  <c r="CJ18" i="78"/>
  <c r="CI18" i="78"/>
  <c r="CC18" i="78"/>
  <c r="CD18" i="78" s="1"/>
  <c r="CE18" i="78" s="1"/>
  <c r="CN18" i="78" s="1"/>
  <c r="BX18" i="78"/>
  <c r="BR18" i="78"/>
  <c r="BP18" i="78"/>
  <c r="BS18" i="78" s="1"/>
  <c r="CM18" i="78" s="1"/>
  <c r="BO18" i="78"/>
  <c r="AG18" i="78"/>
  <c r="BQ18" i="78" s="1"/>
  <c r="CJ17" i="78"/>
  <c r="CI17" i="78"/>
  <c r="CC17" i="78"/>
  <c r="BX17" i="78"/>
  <c r="BR17" i="78"/>
  <c r="BO17" i="78"/>
  <c r="AG17" i="78"/>
  <c r="BQ17" i="78" s="1"/>
  <c r="CJ16" i="78"/>
  <c r="CI16" i="78"/>
  <c r="CC16" i="78"/>
  <c r="BX16" i="78"/>
  <c r="CD16" i="78" s="1"/>
  <c r="CE16" i="78" s="1"/>
  <c r="BR16" i="78"/>
  <c r="BO16" i="78"/>
  <c r="AG16" i="78"/>
  <c r="CJ15" i="78"/>
  <c r="CN15" i="78" s="1"/>
  <c r="CI15" i="78"/>
  <c r="CC15" i="78"/>
  <c r="BX15" i="78"/>
  <c r="CD15" i="78" s="1"/>
  <c r="CE15" i="78" s="1"/>
  <c r="BR15" i="78"/>
  <c r="BO15" i="78"/>
  <c r="AG15" i="78"/>
  <c r="CE14" i="78"/>
  <c r="CF14" i="78" s="1"/>
  <c r="CD14" i="78"/>
  <c r="CC14" i="78"/>
  <c r="BX14" i="78"/>
  <c r="BR14" i="78"/>
  <c r="BQ14" i="78"/>
  <c r="BO14" i="78"/>
  <c r="AG14" i="78"/>
  <c r="BP14" i="78" s="1"/>
  <c r="BS14" i="78" s="1"/>
  <c r="CN13" i="78"/>
  <c r="CM13" i="78"/>
  <c r="CK13" i="78"/>
  <c r="CJ13" i="78"/>
  <c r="CI13" i="78"/>
  <c r="CE13" i="78"/>
  <c r="CD13" i="78"/>
  <c r="CC13" i="78"/>
  <c r="BX13" i="78"/>
  <c r="BR13" i="78"/>
  <c r="BQ13" i="78"/>
  <c r="BP13" i="78"/>
  <c r="BS13" i="78" s="1"/>
  <c r="BO13" i="78"/>
  <c r="AG13" i="78"/>
  <c r="CC12" i="78"/>
  <c r="CD12" i="78" s="1"/>
  <c r="CE12" i="78" s="1"/>
  <c r="BX12" i="78"/>
  <c r="BR12" i="78"/>
  <c r="BO12" i="78"/>
  <c r="BQ12" i="78" s="1"/>
  <c r="AG12" i="78"/>
  <c r="CJ11" i="78"/>
  <c r="CI11" i="78"/>
  <c r="CD11" i="78"/>
  <c r="CE11" i="78" s="1"/>
  <c r="CC11" i="78"/>
  <c r="BX11" i="78"/>
  <c r="BR11" i="78"/>
  <c r="BO11" i="78"/>
  <c r="AG11" i="78"/>
  <c r="CC10" i="78"/>
  <c r="BX10" i="78"/>
  <c r="CD10" i="78" s="1"/>
  <c r="CE10" i="78" s="1"/>
  <c r="BR10" i="78"/>
  <c r="BO10" i="78"/>
  <c r="AG10" i="78"/>
  <c r="CJ9" i="78"/>
  <c r="CI9" i="78"/>
  <c r="CC9" i="78"/>
  <c r="BX9" i="78"/>
  <c r="CD9" i="78" s="1"/>
  <c r="CE9" i="78" s="1"/>
  <c r="BR9" i="78"/>
  <c r="BO9" i="78"/>
  <c r="AG9" i="78"/>
  <c r="CJ8" i="78"/>
  <c r="CI8" i="78"/>
  <c r="CC8" i="78"/>
  <c r="BX8" i="78"/>
  <c r="CD8" i="78" s="1"/>
  <c r="CE8" i="78" s="1"/>
  <c r="BS8" i="78"/>
  <c r="BR8" i="78"/>
  <c r="BQ8" i="78"/>
  <c r="BP8" i="78"/>
  <c r="BO8" i="78"/>
  <c r="AG8" i="78"/>
  <c r="CJ7" i="78"/>
  <c r="CI7" i="78"/>
  <c r="CK7" i="78" s="1"/>
  <c r="CD7" i="78"/>
  <c r="CE7" i="78" s="1"/>
  <c r="CN7" i="78" s="1"/>
  <c r="CC7" i="78"/>
  <c r="BX7" i="78"/>
  <c r="BR7" i="78"/>
  <c r="BQ7" i="78"/>
  <c r="BP7" i="78"/>
  <c r="BS7" i="78" s="1"/>
  <c r="CF7" i="78" s="1"/>
  <c r="BO7" i="78"/>
  <c r="AG7" i="78"/>
  <c r="CN6" i="78"/>
  <c r="CK6" i="78"/>
  <c r="CJ6" i="78"/>
  <c r="CI6" i="78"/>
  <c r="CD6" i="78"/>
  <c r="CE6" i="78" s="1"/>
  <c r="CC6" i="78"/>
  <c r="BX6" i="78"/>
  <c r="BR6" i="78"/>
  <c r="BQ6" i="78"/>
  <c r="BP6" i="78"/>
  <c r="BS6" i="78" s="1"/>
  <c r="CF6" i="78" s="1"/>
  <c r="BO6" i="78"/>
  <c r="AG6" i="78"/>
  <c r="CJ5" i="78"/>
  <c r="CI5" i="78"/>
  <c r="CC5" i="78"/>
  <c r="CD5" i="78" s="1"/>
  <c r="CE5" i="78" s="1"/>
  <c r="BX5" i="78"/>
  <c r="BR5" i="78"/>
  <c r="BO5" i="78"/>
  <c r="AG5" i="78"/>
  <c r="CK4" i="78"/>
  <c r="CJ4" i="78"/>
  <c r="CI4" i="78"/>
  <c r="CC4" i="78"/>
  <c r="BX4" i="78"/>
  <c r="CD4" i="78" s="1"/>
  <c r="CE4" i="78" s="1"/>
  <c r="BP4" i="78"/>
  <c r="BS4" i="78" s="1"/>
  <c r="CF4" i="78" s="1"/>
  <c r="BO4" i="78"/>
  <c r="AG4" i="78"/>
  <c r="CA89" i="77"/>
  <c r="CQ85" i="77"/>
  <c r="CP85" i="77"/>
  <c r="CO85" i="77"/>
  <c r="CN85" i="77"/>
  <c r="CL85" i="77"/>
  <c r="CK85" i="77"/>
  <c r="CJ85" i="77"/>
  <c r="CI85" i="77"/>
  <c r="CH85" i="77"/>
  <c r="CG85" i="77"/>
  <c r="CF85" i="77"/>
  <c r="CE85" i="77"/>
  <c r="CD85" i="77"/>
  <c r="CC85" i="77"/>
  <c r="BZ85" i="77"/>
  <c r="BY85" i="77"/>
  <c r="BX85" i="77"/>
  <c r="BW85" i="77"/>
  <c r="BV85" i="77"/>
  <c r="BU85" i="77"/>
  <c r="BT85" i="77"/>
  <c r="BS85" i="77"/>
  <c r="BR85" i="77"/>
  <c r="BQ85" i="77"/>
  <c r="BP85" i="77"/>
  <c r="BO85" i="77"/>
  <c r="BN85" i="77"/>
  <c r="BM85" i="77"/>
  <c r="BL85" i="77"/>
  <c r="BK85" i="77"/>
  <c r="BJ85" i="77"/>
  <c r="BI85" i="77"/>
  <c r="BH85" i="77"/>
  <c r="BG85" i="77"/>
  <c r="BF85" i="77"/>
  <c r="BE85" i="77"/>
  <c r="BD85" i="77"/>
  <c r="BC85" i="77"/>
  <c r="BB85" i="77"/>
  <c r="BA85" i="77"/>
  <c r="AZ85" i="77"/>
  <c r="AY85" i="77"/>
  <c r="AX85" i="77"/>
  <c r="AW85" i="77"/>
  <c r="AV85" i="77"/>
  <c r="AU85" i="77"/>
  <c r="AT85" i="77"/>
  <c r="AS85" i="77"/>
  <c r="AR85" i="77"/>
  <c r="AQ85" i="77"/>
  <c r="AP85" i="77"/>
  <c r="AO85" i="77"/>
  <c r="AN85" i="77"/>
  <c r="AM85" i="77"/>
  <c r="AL85" i="77"/>
  <c r="AK85" i="77"/>
  <c r="AJ85" i="77"/>
  <c r="AI85" i="77"/>
  <c r="AH85" i="77"/>
  <c r="AG85" i="77"/>
  <c r="AF85" i="77"/>
  <c r="AE85" i="77"/>
  <c r="AD85" i="77"/>
  <c r="AC85" i="77"/>
  <c r="AB85" i="77"/>
  <c r="AA85" i="77"/>
  <c r="Z85" i="77"/>
  <c r="Y85" i="77"/>
  <c r="X85" i="77"/>
  <c r="W85" i="77"/>
  <c r="V85" i="77"/>
  <c r="U85" i="77"/>
  <c r="T85" i="77"/>
  <c r="S85" i="77"/>
  <c r="R85" i="77"/>
  <c r="Q85" i="77"/>
  <c r="P85" i="77"/>
  <c r="O85" i="77"/>
  <c r="N85" i="77"/>
  <c r="M85" i="77"/>
  <c r="L85" i="77"/>
  <c r="K85" i="77"/>
  <c r="J85" i="77"/>
  <c r="I85" i="77"/>
  <c r="H85" i="77"/>
  <c r="G85" i="77"/>
  <c r="F85" i="77"/>
  <c r="E85" i="77"/>
  <c r="D85" i="77"/>
  <c r="C85" i="77"/>
  <c r="CQ78" i="77"/>
  <c r="CP78" i="77"/>
  <c r="CO78" i="77"/>
  <c r="CN78" i="77"/>
  <c r="CL78" i="77"/>
  <c r="CK78" i="77"/>
  <c r="CJ78" i="77"/>
  <c r="CI78" i="77"/>
  <c r="CH78" i="77"/>
  <c r="CG78" i="77"/>
  <c r="CF78" i="77"/>
  <c r="CE78" i="77"/>
  <c r="CD78" i="77"/>
  <c r="CC78" i="77"/>
  <c r="CB78" i="77"/>
  <c r="CB87" i="77" s="1"/>
  <c r="CB89" i="77" s="1"/>
  <c r="CA78" i="77"/>
  <c r="BZ78" i="77"/>
  <c r="BY78" i="77"/>
  <c r="BX78" i="77"/>
  <c r="BW78" i="77"/>
  <c r="BV78" i="77"/>
  <c r="BU78" i="77"/>
  <c r="BT78" i="77"/>
  <c r="BS78" i="77"/>
  <c r="BR78" i="77"/>
  <c r="BQ78" i="77"/>
  <c r="BP78" i="77"/>
  <c r="BO78" i="77"/>
  <c r="BN78" i="77"/>
  <c r="BM78" i="77"/>
  <c r="BL78" i="77"/>
  <c r="BK78" i="77"/>
  <c r="BJ78" i="77"/>
  <c r="BI78" i="77"/>
  <c r="BH78" i="77"/>
  <c r="BG78" i="77"/>
  <c r="BF78" i="77"/>
  <c r="BE78" i="77"/>
  <c r="BD78" i="77"/>
  <c r="BC78" i="77"/>
  <c r="BB78" i="77"/>
  <c r="BA78" i="77"/>
  <c r="AZ78" i="77"/>
  <c r="AY78" i="77"/>
  <c r="AX78" i="77"/>
  <c r="AW78" i="77"/>
  <c r="AV78" i="77"/>
  <c r="AU78" i="77"/>
  <c r="AT78" i="77"/>
  <c r="AS78" i="77"/>
  <c r="AR78" i="77"/>
  <c r="AQ78" i="77"/>
  <c r="AP78" i="77"/>
  <c r="AO78" i="77"/>
  <c r="AN78" i="77"/>
  <c r="AM78" i="77"/>
  <c r="AL78" i="77"/>
  <c r="AK78" i="77"/>
  <c r="AJ78" i="77"/>
  <c r="AJ87" i="77" s="1"/>
  <c r="AJ89" i="77" s="1"/>
  <c r="AI78" i="77"/>
  <c r="AH78" i="77"/>
  <c r="AG78" i="77"/>
  <c r="AF78" i="77"/>
  <c r="AE78" i="77"/>
  <c r="AD78" i="77"/>
  <c r="AC78" i="77"/>
  <c r="AB78" i="77"/>
  <c r="AA78" i="77"/>
  <c r="Z78" i="77"/>
  <c r="Y78" i="77"/>
  <c r="X78" i="77"/>
  <c r="W78" i="77"/>
  <c r="V78" i="77"/>
  <c r="U78" i="77"/>
  <c r="T78" i="77"/>
  <c r="S78" i="77"/>
  <c r="R78" i="77"/>
  <c r="Q78" i="77"/>
  <c r="P78" i="77"/>
  <c r="O78" i="77"/>
  <c r="N78" i="77"/>
  <c r="M78" i="77"/>
  <c r="L78" i="77"/>
  <c r="K78" i="77"/>
  <c r="J78" i="77"/>
  <c r="I78" i="77"/>
  <c r="H78" i="77"/>
  <c r="G78" i="77"/>
  <c r="F78" i="77"/>
  <c r="E78" i="77"/>
  <c r="D78" i="77"/>
  <c r="C78" i="77"/>
  <c r="CQ65" i="77"/>
  <c r="CP65" i="77"/>
  <c r="CO65" i="77"/>
  <c r="CN65" i="77"/>
  <c r="CL65" i="77"/>
  <c r="CK65" i="77"/>
  <c r="CJ65" i="77"/>
  <c r="CI65" i="77"/>
  <c r="CH65" i="77"/>
  <c r="CG65" i="77"/>
  <c r="CF65" i="77"/>
  <c r="CE65" i="77"/>
  <c r="CD65" i="77"/>
  <c r="CC65" i="77"/>
  <c r="CB65" i="77"/>
  <c r="CA65" i="77"/>
  <c r="BZ65" i="77"/>
  <c r="BY65" i="77"/>
  <c r="BX65" i="77"/>
  <c r="BW65" i="77"/>
  <c r="BV65" i="77"/>
  <c r="BU65" i="77"/>
  <c r="BT65" i="77"/>
  <c r="BS65" i="77"/>
  <c r="BR65" i="77"/>
  <c r="BQ65" i="77"/>
  <c r="BP65" i="77"/>
  <c r="BO65" i="77"/>
  <c r="BN65" i="77"/>
  <c r="BM65" i="77"/>
  <c r="BL65" i="77"/>
  <c r="BK65" i="77"/>
  <c r="BJ65" i="77"/>
  <c r="BI65" i="77"/>
  <c r="BH65" i="77"/>
  <c r="BG65" i="77"/>
  <c r="BF65" i="77"/>
  <c r="BE65" i="77"/>
  <c r="BD65" i="77"/>
  <c r="BC65" i="77"/>
  <c r="BB65" i="77"/>
  <c r="BA65" i="77"/>
  <c r="AZ65" i="77"/>
  <c r="AY65" i="77"/>
  <c r="AX65" i="77"/>
  <c r="AW65" i="77"/>
  <c r="AV65" i="77"/>
  <c r="AU65" i="77"/>
  <c r="AT65" i="77"/>
  <c r="AS65" i="77"/>
  <c r="AR65" i="77"/>
  <c r="AQ65" i="77"/>
  <c r="AP65" i="77"/>
  <c r="AO65" i="77"/>
  <c r="AN65" i="77"/>
  <c r="AM65" i="77"/>
  <c r="AL65" i="77"/>
  <c r="AK65" i="77"/>
  <c r="AJ65" i="77"/>
  <c r="AI65" i="77"/>
  <c r="AH65" i="77"/>
  <c r="AG65" i="77"/>
  <c r="AF65" i="77"/>
  <c r="AE65" i="77"/>
  <c r="AD65" i="77"/>
  <c r="AC65" i="77"/>
  <c r="AB65" i="77"/>
  <c r="AA65" i="77"/>
  <c r="Z65" i="77"/>
  <c r="Y65" i="77"/>
  <c r="X65" i="77"/>
  <c r="W65" i="77"/>
  <c r="V65" i="77"/>
  <c r="U65" i="77"/>
  <c r="T65" i="77"/>
  <c r="S65" i="77"/>
  <c r="R65" i="77"/>
  <c r="Q65" i="77"/>
  <c r="P65" i="77"/>
  <c r="O65" i="77"/>
  <c r="N65" i="77"/>
  <c r="M65" i="77"/>
  <c r="L65" i="77"/>
  <c r="K65" i="77"/>
  <c r="J65" i="77"/>
  <c r="I65" i="77"/>
  <c r="H65" i="77"/>
  <c r="G65" i="77"/>
  <c r="F65" i="77"/>
  <c r="E65" i="77"/>
  <c r="D65" i="77"/>
  <c r="C65" i="77"/>
  <c r="CQ29" i="77"/>
  <c r="CP29" i="77"/>
  <c r="CO29" i="77"/>
  <c r="CN29" i="77"/>
  <c r="CL29" i="77"/>
  <c r="CK29" i="77"/>
  <c r="CJ29" i="77"/>
  <c r="CI29" i="77"/>
  <c r="CH29" i="77"/>
  <c r="CG29" i="77"/>
  <c r="CF29" i="77"/>
  <c r="CE29" i="77"/>
  <c r="CD29" i="77"/>
  <c r="CC29" i="77"/>
  <c r="CB29" i="77"/>
  <c r="CA29" i="77"/>
  <c r="BZ29" i="77"/>
  <c r="BY29" i="77"/>
  <c r="BX29" i="77"/>
  <c r="BW29" i="77"/>
  <c r="BV29" i="77"/>
  <c r="BU29" i="77"/>
  <c r="BT29" i="77"/>
  <c r="BS29" i="77"/>
  <c r="BR29" i="77"/>
  <c r="BQ29" i="77"/>
  <c r="BP29" i="77"/>
  <c r="BO29" i="77"/>
  <c r="BN29" i="77"/>
  <c r="BM29" i="77"/>
  <c r="BL29" i="77"/>
  <c r="BK29" i="77"/>
  <c r="BJ29" i="77"/>
  <c r="BI29" i="77"/>
  <c r="BH29" i="77"/>
  <c r="BG29" i="77"/>
  <c r="BF29" i="77"/>
  <c r="BE29" i="77"/>
  <c r="BD29" i="77"/>
  <c r="BC29" i="77"/>
  <c r="BB29" i="77"/>
  <c r="BA29" i="77"/>
  <c r="AZ29" i="77"/>
  <c r="AY29" i="77"/>
  <c r="AX29" i="77"/>
  <c r="AW29" i="77"/>
  <c r="AV29" i="77"/>
  <c r="AU29" i="77"/>
  <c r="AT29" i="77"/>
  <c r="AS29" i="77"/>
  <c r="AR29" i="77"/>
  <c r="AQ29" i="77"/>
  <c r="AP29" i="77"/>
  <c r="AO29" i="77"/>
  <c r="AN29" i="77"/>
  <c r="AM29" i="77"/>
  <c r="AL29" i="77"/>
  <c r="AK29" i="77"/>
  <c r="AJ29" i="77"/>
  <c r="AI29" i="77"/>
  <c r="AH29" i="77"/>
  <c r="AG29" i="77"/>
  <c r="AF29" i="77"/>
  <c r="AE29" i="77"/>
  <c r="AD29" i="77"/>
  <c r="AC29" i="77"/>
  <c r="AB29" i="77"/>
  <c r="AA29" i="77"/>
  <c r="Z29" i="77"/>
  <c r="Y29" i="77"/>
  <c r="X29" i="77"/>
  <c r="W29" i="77"/>
  <c r="V29" i="77"/>
  <c r="U29" i="77"/>
  <c r="T29" i="77"/>
  <c r="S29" i="77"/>
  <c r="R29" i="77"/>
  <c r="Q29" i="77"/>
  <c r="P29" i="77"/>
  <c r="O29" i="77"/>
  <c r="N29" i="77"/>
  <c r="M29" i="77"/>
  <c r="L29" i="77"/>
  <c r="K29" i="77"/>
  <c r="J29" i="77"/>
  <c r="I29" i="77"/>
  <c r="H29" i="77"/>
  <c r="G29" i="77"/>
  <c r="F29" i="77"/>
  <c r="E29" i="77"/>
  <c r="D29" i="77"/>
  <c r="C29" i="77"/>
  <c r="C70" i="77" s="1"/>
  <c r="C72" i="77" s="1"/>
  <c r="E70" i="77" l="1"/>
  <c r="E72" i="77" s="1"/>
  <c r="E91" i="77" s="1"/>
  <c r="AC70" i="77"/>
  <c r="AC72" i="77" s="1"/>
  <c r="AC91" i="77" s="1"/>
  <c r="BA70" i="77"/>
  <c r="BA72" i="77" s="1"/>
  <c r="BA91" i="77" s="1"/>
  <c r="BM70" i="77"/>
  <c r="BM72" i="77" s="1"/>
  <c r="BM91" i="77" s="1"/>
  <c r="CK70" i="77"/>
  <c r="CK72" i="77" s="1"/>
  <c r="CK91" i="77" s="1"/>
  <c r="M87" i="77"/>
  <c r="M89" i="77" s="1"/>
  <c r="AK87" i="77"/>
  <c r="AK89" i="77" s="1"/>
  <c r="Q70" i="77"/>
  <c r="Q72" i="77" s="1"/>
  <c r="Q91" i="77" s="1"/>
  <c r="AO70" i="77"/>
  <c r="AO72" i="77" s="1"/>
  <c r="AO91" i="77" s="1"/>
  <c r="BY70" i="77"/>
  <c r="BY72" i="77" s="1"/>
  <c r="BY91" i="77" s="1"/>
  <c r="Y70" i="77"/>
  <c r="Y72" i="77" s="1"/>
  <c r="Y91" i="77" s="1"/>
  <c r="AT87" i="77"/>
  <c r="AT89" i="77" s="1"/>
  <c r="AH87" i="77"/>
  <c r="AH89" i="77" s="1"/>
  <c r="J87" i="77"/>
  <c r="J89" i="77" s="1"/>
  <c r="AV87" i="77"/>
  <c r="AV89" i="77" s="1"/>
  <c r="AO87" i="77"/>
  <c r="AO89" i="77" s="1"/>
  <c r="CN87" i="77"/>
  <c r="CN89" i="77" s="1"/>
  <c r="CG87" i="77"/>
  <c r="CG89" i="77" s="1"/>
  <c r="M70" i="77"/>
  <c r="M72" i="77" s="1"/>
  <c r="M91" i="77" s="1"/>
  <c r="AK70" i="77"/>
  <c r="AK72" i="77" s="1"/>
  <c r="AK91" i="77" s="1"/>
  <c r="AW70" i="77"/>
  <c r="AW72" i="77" s="1"/>
  <c r="AW91" i="77" s="1"/>
  <c r="BI70" i="77"/>
  <c r="BI72" i="77" s="1"/>
  <c r="BI91" i="77" s="1"/>
  <c r="BU70" i="77"/>
  <c r="BU72" i="77" s="1"/>
  <c r="BU91" i="77" s="1"/>
  <c r="CG70" i="77"/>
  <c r="CG72" i="77" s="1"/>
  <c r="CG91" i="77" s="1"/>
  <c r="BT87" i="77"/>
  <c r="BT89" i="77" s="1"/>
  <c r="Q87" i="77"/>
  <c r="Q89" i="77" s="1"/>
  <c r="BA87" i="77"/>
  <c r="BA89" i="77" s="1"/>
  <c r="BY87" i="77"/>
  <c r="BY89" i="77" s="1"/>
  <c r="AD70" i="77"/>
  <c r="AD72" i="77" s="1"/>
  <c r="AD91" i="77" s="1"/>
  <c r="AW87" i="77"/>
  <c r="AW89" i="77" s="1"/>
  <c r="C91" i="77"/>
  <c r="O70" i="77"/>
  <c r="O72" i="77" s="1"/>
  <c r="O91" i="77" s="1"/>
  <c r="AA70" i="77"/>
  <c r="AA72" i="77" s="1"/>
  <c r="AA91" i="77" s="1"/>
  <c r="AM70" i="77"/>
  <c r="AM72" i="77" s="1"/>
  <c r="AM91" i="77" s="1"/>
  <c r="AY70" i="77"/>
  <c r="AY72" i="77" s="1"/>
  <c r="AY91" i="77" s="1"/>
  <c r="BK70" i="77"/>
  <c r="BK72" i="77" s="1"/>
  <c r="BK91" i="77" s="1"/>
  <c r="BW70" i="77"/>
  <c r="BW72" i="77" s="1"/>
  <c r="BW91" i="77" s="1"/>
  <c r="CI70" i="77"/>
  <c r="CI72" i="77" s="1"/>
  <c r="CI91" i="77" s="1"/>
  <c r="S70" i="77"/>
  <c r="S72" i="77" s="1"/>
  <c r="S91" i="77" s="1"/>
  <c r="AE70" i="77"/>
  <c r="AE72" i="77" s="1"/>
  <c r="AE91" i="77" s="1"/>
  <c r="BC70" i="77"/>
  <c r="BC72" i="77" s="1"/>
  <c r="BC91" i="77" s="1"/>
  <c r="BO70" i="77"/>
  <c r="BO72" i="77" s="1"/>
  <c r="BO91" i="77" s="1"/>
  <c r="CN70" i="77"/>
  <c r="CN72" i="77" s="1"/>
  <c r="E87" i="77"/>
  <c r="E89" i="77" s="1"/>
  <c r="D70" i="77"/>
  <c r="D72" i="77" s="1"/>
  <c r="D91" i="77" s="1"/>
  <c r="P70" i="77"/>
  <c r="P72" i="77" s="1"/>
  <c r="P91" i="77" s="1"/>
  <c r="AB70" i="77"/>
  <c r="AB72" i="77" s="1"/>
  <c r="AB91" i="77" s="1"/>
  <c r="AN70" i="77"/>
  <c r="AN72" i="77" s="1"/>
  <c r="AN91" i="77" s="1"/>
  <c r="AZ70" i="77"/>
  <c r="AZ72" i="77" s="1"/>
  <c r="AZ91" i="77" s="1"/>
  <c r="BL70" i="77"/>
  <c r="BL72" i="77" s="1"/>
  <c r="BL91" i="77" s="1"/>
  <c r="BX70" i="77"/>
  <c r="BX72" i="77" s="1"/>
  <c r="BX91" i="77" s="1"/>
  <c r="CJ70" i="77"/>
  <c r="CJ72" i="77" s="1"/>
  <c r="CJ91" i="77" s="1"/>
  <c r="AC87" i="77"/>
  <c r="AC89" i="77" s="1"/>
  <c r="BM87" i="77"/>
  <c r="BM89" i="77" s="1"/>
  <c r="BN70" i="77"/>
  <c r="BN72" i="77" s="1"/>
  <c r="BN91" i="77" s="1"/>
  <c r="BU87" i="77"/>
  <c r="BU89" i="77" s="1"/>
  <c r="L87" i="77"/>
  <c r="L89" i="77" s="1"/>
  <c r="AQ70" i="77"/>
  <c r="AQ72" i="77" s="1"/>
  <c r="AQ91" i="77" s="1"/>
  <c r="X87" i="77"/>
  <c r="X89" i="77" s="1"/>
  <c r="BH87" i="77"/>
  <c r="BH89" i="77" s="1"/>
  <c r="Y87" i="77"/>
  <c r="Y89" i="77" s="1"/>
  <c r="BI87" i="77"/>
  <c r="BI89" i="77" s="1"/>
  <c r="F70" i="77"/>
  <c r="F72" i="77" s="1"/>
  <c r="F91" i="77" s="1"/>
  <c r="BB70" i="77"/>
  <c r="BB72" i="77" s="1"/>
  <c r="BB91" i="77" s="1"/>
  <c r="BZ70" i="77"/>
  <c r="BZ72" i="77" s="1"/>
  <c r="BZ91" i="77" s="1"/>
  <c r="V87" i="77"/>
  <c r="V89" i="77" s="1"/>
  <c r="BF87" i="77"/>
  <c r="BF89" i="77" s="1"/>
  <c r="CA70" i="77"/>
  <c r="CA72" i="77" s="1"/>
  <c r="CA91" i="77" s="1"/>
  <c r="Z87" i="77"/>
  <c r="Z89" i="77" s="1"/>
  <c r="AX87" i="77"/>
  <c r="AX89" i="77" s="1"/>
  <c r="BV87" i="77"/>
  <c r="BV89" i="77" s="1"/>
  <c r="C87" i="77"/>
  <c r="C89" i="77" s="1"/>
  <c r="AM87" i="77"/>
  <c r="AM89" i="77" s="1"/>
  <c r="BK87" i="77"/>
  <c r="BK89" i="77" s="1"/>
  <c r="CI87" i="77"/>
  <c r="CI89" i="77" s="1"/>
  <c r="D87" i="77"/>
  <c r="D89" i="77" s="1"/>
  <c r="P87" i="77"/>
  <c r="P89" i="77" s="1"/>
  <c r="AB87" i="77"/>
  <c r="AB89" i="77" s="1"/>
  <c r="AN87" i="77"/>
  <c r="AN89" i="77" s="1"/>
  <c r="AZ87" i="77"/>
  <c r="AZ89" i="77" s="1"/>
  <c r="BL87" i="77"/>
  <c r="BL89" i="77" s="1"/>
  <c r="BX87" i="77"/>
  <c r="BX89" i="77" s="1"/>
  <c r="CJ87" i="77"/>
  <c r="CJ89" i="77" s="1"/>
  <c r="R70" i="77"/>
  <c r="R72" i="77" s="1"/>
  <c r="R91" i="77" s="1"/>
  <c r="AP70" i="77"/>
  <c r="AP72" i="77" s="1"/>
  <c r="AP91" i="77" s="1"/>
  <c r="CL70" i="77"/>
  <c r="CL72" i="77" s="1"/>
  <c r="CL91" i="77" s="1"/>
  <c r="BR87" i="77"/>
  <c r="BR89" i="77" s="1"/>
  <c r="G70" i="77"/>
  <c r="G72" i="77" s="1"/>
  <c r="G91" i="77" s="1"/>
  <c r="N87" i="77"/>
  <c r="N89" i="77" s="1"/>
  <c r="AL87" i="77"/>
  <c r="AL89" i="77" s="1"/>
  <c r="BJ87" i="77"/>
  <c r="BJ89" i="77" s="1"/>
  <c r="CH87" i="77"/>
  <c r="CH89" i="77" s="1"/>
  <c r="O87" i="77"/>
  <c r="O89" i="77" s="1"/>
  <c r="AA87" i="77"/>
  <c r="AA89" i="77" s="1"/>
  <c r="AY87" i="77"/>
  <c r="AY89" i="77" s="1"/>
  <c r="BW87" i="77"/>
  <c r="BW89" i="77" s="1"/>
  <c r="CK87" i="77"/>
  <c r="CK89" i="77" s="1"/>
  <c r="CE87" i="77"/>
  <c r="CE89" i="77" s="1"/>
  <c r="H70" i="77"/>
  <c r="H72" i="77" s="1"/>
  <c r="H91" i="77" s="1"/>
  <c r="T70" i="77"/>
  <c r="T72" i="77" s="1"/>
  <c r="T91" i="77" s="1"/>
  <c r="AF70" i="77"/>
  <c r="AF72" i="77" s="1"/>
  <c r="AF91" i="77" s="1"/>
  <c r="AR70" i="77"/>
  <c r="AR72" i="77" s="1"/>
  <c r="AR91" i="77" s="1"/>
  <c r="BD70" i="77"/>
  <c r="BD72" i="77" s="1"/>
  <c r="BD91" i="77" s="1"/>
  <c r="BP70" i="77"/>
  <c r="BP72" i="77" s="1"/>
  <c r="BP91" i="77" s="1"/>
  <c r="CB70" i="77"/>
  <c r="CB72" i="77" s="1"/>
  <c r="CB91" i="77" s="1"/>
  <c r="CO70" i="77"/>
  <c r="CO72" i="77" s="1"/>
  <c r="L70" i="77"/>
  <c r="L72" i="77" s="1"/>
  <c r="L91" i="77" s="1"/>
  <c r="X70" i="77"/>
  <c r="X72" i="77" s="1"/>
  <c r="X91" i="77" s="1"/>
  <c r="AJ70" i="77"/>
  <c r="AJ72" i="77" s="1"/>
  <c r="AJ91" i="77" s="1"/>
  <c r="AV70" i="77"/>
  <c r="AV72" i="77" s="1"/>
  <c r="AV91" i="77" s="1"/>
  <c r="BH70" i="77"/>
  <c r="BH72" i="77" s="1"/>
  <c r="BH91" i="77" s="1"/>
  <c r="BT70" i="77"/>
  <c r="BT72" i="77" s="1"/>
  <c r="BT91" i="77" s="1"/>
  <c r="CF70" i="77"/>
  <c r="CF72" i="77" s="1"/>
  <c r="CF91" i="77" s="1"/>
  <c r="I87" i="77"/>
  <c r="I89" i="77" s="1"/>
  <c r="U87" i="77"/>
  <c r="U89" i="77" s="1"/>
  <c r="AG87" i="77"/>
  <c r="AG89" i="77" s="1"/>
  <c r="AS87" i="77"/>
  <c r="AS89" i="77" s="1"/>
  <c r="BE87" i="77"/>
  <c r="BE89" i="77" s="1"/>
  <c r="BQ87" i="77"/>
  <c r="BQ89" i="77" s="1"/>
  <c r="CC87" i="77"/>
  <c r="CC89" i="77" s="1"/>
  <c r="CP87" i="77"/>
  <c r="CP89" i="77" s="1"/>
  <c r="CD87" i="77"/>
  <c r="CD89" i="77" s="1"/>
  <c r="CQ87" i="77"/>
  <c r="CQ89" i="77" s="1"/>
  <c r="G87" i="77"/>
  <c r="G89" i="77" s="1"/>
  <c r="S87" i="77"/>
  <c r="S89" i="77" s="1"/>
  <c r="AE87" i="77"/>
  <c r="AE89" i="77" s="1"/>
  <c r="AQ87" i="77"/>
  <c r="AQ89" i="77" s="1"/>
  <c r="BC87" i="77"/>
  <c r="BC89" i="77" s="1"/>
  <c r="H87" i="77"/>
  <c r="H89" i="77" s="1"/>
  <c r="AF87" i="77"/>
  <c r="AF89" i="77" s="1"/>
  <c r="BD87" i="77"/>
  <c r="BD89" i="77" s="1"/>
  <c r="I70" i="77"/>
  <c r="I72" i="77" s="1"/>
  <c r="I91" i="77" s="1"/>
  <c r="AG70" i="77"/>
  <c r="AG72" i="77" s="1"/>
  <c r="AG91" i="77" s="1"/>
  <c r="BE70" i="77"/>
  <c r="BE72" i="77" s="1"/>
  <c r="BE91" i="77" s="1"/>
  <c r="CC70" i="77"/>
  <c r="CC72" i="77" s="1"/>
  <c r="CC91" i="77" s="1"/>
  <c r="J70" i="77"/>
  <c r="J72" i="77" s="1"/>
  <c r="J91" i="77" s="1"/>
  <c r="AH70" i="77"/>
  <c r="AH72" i="77" s="1"/>
  <c r="AH91" i="77" s="1"/>
  <c r="BF70" i="77"/>
  <c r="BF72" i="77" s="1"/>
  <c r="BF91" i="77" s="1"/>
  <c r="CD70" i="77"/>
  <c r="CD72" i="77" s="1"/>
  <c r="CD91" i="77" s="1"/>
  <c r="N70" i="77"/>
  <c r="N72" i="77" s="1"/>
  <c r="N91" i="77" s="1"/>
  <c r="AL70" i="77"/>
  <c r="AL72" i="77" s="1"/>
  <c r="AL91" i="77" s="1"/>
  <c r="BJ70" i="77"/>
  <c r="BJ72" i="77" s="1"/>
  <c r="BJ91" i="77" s="1"/>
  <c r="CH70" i="77"/>
  <c r="CH72" i="77" s="1"/>
  <c r="CH91" i="77" s="1"/>
  <c r="W87" i="77"/>
  <c r="W89" i="77" s="1"/>
  <c r="AU87" i="77"/>
  <c r="AU89" i="77" s="1"/>
  <c r="BG87" i="77"/>
  <c r="BG89" i="77" s="1"/>
  <c r="K70" i="77"/>
  <c r="K72" i="77" s="1"/>
  <c r="K91" i="77" s="1"/>
  <c r="W70" i="77"/>
  <c r="W72" i="77" s="1"/>
  <c r="W91" i="77" s="1"/>
  <c r="AI70" i="77"/>
  <c r="AI72" i="77" s="1"/>
  <c r="AI91" i="77" s="1"/>
  <c r="AU70" i="77"/>
  <c r="AU72" i="77" s="1"/>
  <c r="AU91" i="77" s="1"/>
  <c r="BG70" i="77"/>
  <c r="BG72" i="77" s="1"/>
  <c r="BG91" i="77" s="1"/>
  <c r="BS70" i="77"/>
  <c r="BS72" i="77" s="1"/>
  <c r="BS91" i="77" s="1"/>
  <c r="CE70" i="77"/>
  <c r="CE72" i="77" s="1"/>
  <c r="CE91" i="77" s="1"/>
  <c r="CF87" i="77"/>
  <c r="CF89" i="77" s="1"/>
  <c r="CL87" i="77"/>
  <c r="CL89" i="77" s="1"/>
  <c r="BO87" i="77"/>
  <c r="BO89" i="77" s="1"/>
  <c r="T87" i="77"/>
  <c r="T89" i="77" s="1"/>
  <c r="AR87" i="77"/>
  <c r="AR89" i="77" s="1"/>
  <c r="BP87" i="77"/>
  <c r="BP89" i="77" s="1"/>
  <c r="U70" i="77"/>
  <c r="U72" i="77" s="1"/>
  <c r="U91" i="77" s="1"/>
  <c r="AS70" i="77"/>
  <c r="AS72" i="77" s="1"/>
  <c r="AS91" i="77" s="1"/>
  <c r="BQ70" i="77"/>
  <c r="BQ72" i="77" s="1"/>
  <c r="BQ91" i="77" s="1"/>
  <c r="CP70" i="77"/>
  <c r="CP72" i="77" s="1"/>
  <c r="V70" i="77"/>
  <c r="V72" i="77" s="1"/>
  <c r="V91" i="77" s="1"/>
  <c r="AT70" i="77"/>
  <c r="AT72" i="77" s="1"/>
  <c r="AT91" i="77" s="1"/>
  <c r="BR70" i="77"/>
  <c r="BR72" i="77" s="1"/>
  <c r="BR91" i="77" s="1"/>
  <c r="CQ70" i="77"/>
  <c r="CQ72" i="77" s="1"/>
  <c r="Z70" i="77"/>
  <c r="Z72" i="77" s="1"/>
  <c r="Z91" i="77" s="1"/>
  <c r="AX70" i="77"/>
  <c r="AX72" i="77" s="1"/>
  <c r="AX91" i="77" s="1"/>
  <c r="BV70" i="77"/>
  <c r="BV72" i="77" s="1"/>
  <c r="BV91" i="77" s="1"/>
  <c r="K87" i="77"/>
  <c r="K89" i="77" s="1"/>
  <c r="AI87" i="77"/>
  <c r="AI89" i="77" s="1"/>
  <c r="BS87" i="77"/>
  <c r="BS89" i="77" s="1"/>
  <c r="F87" i="77"/>
  <c r="F89" i="77" s="1"/>
  <c r="R87" i="77"/>
  <c r="R89" i="77" s="1"/>
  <c r="AD87" i="77"/>
  <c r="AD89" i="77" s="1"/>
  <c r="AP87" i="77"/>
  <c r="AP89" i="77" s="1"/>
  <c r="BB87" i="77"/>
  <c r="BB89" i="77" s="1"/>
  <c r="BN87" i="77"/>
  <c r="BN89" i="77" s="1"/>
  <c r="BZ87" i="77"/>
  <c r="BZ89" i="77" s="1"/>
  <c r="CN8" i="78"/>
  <c r="CF8" i="78"/>
  <c r="CF41" i="78"/>
  <c r="CF47" i="78"/>
  <c r="CO47" i="78" s="1"/>
  <c r="CM47" i="78"/>
  <c r="CF29" i="78"/>
  <c r="CO29" i="78" s="1"/>
  <c r="CM29" i="78"/>
  <c r="CM53" i="78"/>
  <c r="CF89" i="78"/>
  <c r="CM89" i="78"/>
  <c r="CM68" i="78"/>
  <c r="CF68" i="78"/>
  <c r="CO68" i="78" s="1"/>
  <c r="CM4" i="78"/>
  <c r="CM9" i="78"/>
  <c r="CK9" i="78"/>
  <c r="CO9" i="78" s="1"/>
  <c r="CO22" i="78"/>
  <c r="BQ28" i="78"/>
  <c r="BP28" i="78"/>
  <c r="BS28" i="78" s="1"/>
  <c r="CF28" i="78" s="1"/>
  <c r="BQ46" i="78"/>
  <c r="BP46" i="78"/>
  <c r="BS46" i="78" s="1"/>
  <c r="CF46" i="78" s="1"/>
  <c r="BQ52" i="78"/>
  <c r="BP52" i="78"/>
  <c r="BS52" i="78" s="1"/>
  <c r="CF52" i="78" s="1"/>
  <c r="CO77" i="78"/>
  <c r="CO85" i="78"/>
  <c r="CN4" i="78"/>
  <c r="CM7" i="78"/>
  <c r="CM8" i="78"/>
  <c r="CN9" i="78"/>
  <c r="BQ23" i="78"/>
  <c r="CN40" i="78"/>
  <c r="CN58" i="78"/>
  <c r="BQ63" i="78"/>
  <c r="BP63" i="78"/>
  <c r="BS63" i="78" s="1"/>
  <c r="CF63" i="78" s="1"/>
  <c r="CF66" i="78"/>
  <c r="CO66" i="78" s="1"/>
  <c r="BQ69" i="78"/>
  <c r="BP69" i="78"/>
  <c r="BS69" i="78" s="1"/>
  <c r="CF69" i="78" s="1"/>
  <c r="CN70" i="78"/>
  <c r="BQ87" i="78"/>
  <c r="BP87" i="78"/>
  <c r="BS87" i="78" s="1"/>
  <c r="CF87" i="78" s="1"/>
  <c r="CN29" i="78"/>
  <c r="CM33" i="78"/>
  <c r="CK33" i="78"/>
  <c r="CO33" i="78" s="1"/>
  <c r="CN47" i="78"/>
  <c r="CN88" i="78"/>
  <c r="BQ5" i="78"/>
  <c r="BP5" i="78"/>
  <c r="BS5" i="78" s="1"/>
  <c r="CF5" i="78" s="1"/>
  <c r="CM21" i="78"/>
  <c r="CK21" i="78"/>
  <c r="CO21" i="78" s="1"/>
  <c r="CK82" i="78"/>
  <c r="CN11" i="78"/>
  <c r="CF13" i="78"/>
  <c r="CO13" i="78" s="1"/>
  <c r="CN24" i="78"/>
  <c r="BQ27" i="78"/>
  <c r="BP27" i="78"/>
  <c r="BS27" i="78" s="1"/>
  <c r="CF27" i="78" s="1"/>
  <c r="CM32" i="78"/>
  <c r="CK32" i="78"/>
  <c r="CO32" i="78" s="1"/>
  <c r="BQ34" i="78"/>
  <c r="BP34" i="78"/>
  <c r="BS34" i="78" s="1"/>
  <c r="CF34" i="78" s="1"/>
  <c r="BQ45" i="78"/>
  <c r="BP45" i="78"/>
  <c r="BS45" i="78" s="1"/>
  <c r="CF45" i="78" s="1"/>
  <c r="BQ51" i="78"/>
  <c r="BP51" i="78"/>
  <c r="BS51" i="78" s="1"/>
  <c r="CF51" i="78" s="1"/>
  <c r="CO4" i="78"/>
  <c r="CK17" i="78"/>
  <c r="CO30" i="78"/>
  <c r="CO48" i="78"/>
  <c r="CK76" i="78"/>
  <c r="CF90" i="78"/>
  <c r="BQ4" i="78"/>
  <c r="BQ9" i="78"/>
  <c r="BP9" i="78"/>
  <c r="BS9" i="78" s="1"/>
  <c r="CF9" i="78" s="1"/>
  <c r="CK11" i="78"/>
  <c r="CM19" i="78"/>
  <c r="CM20" i="78"/>
  <c r="CK20" i="78"/>
  <c r="CO20" i="78" s="1"/>
  <c r="BQ22" i="78"/>
  <c r="BP22" i="78"/>
  <c r="BS22" i="78" s="1"/>
  <c r="CF22" i="78" s="1"/>
  <c r="CM28" i="78"/>
  <c r="CK39" i="78"/>
  <c r="CO39" i="78" s="1"/>
  <c r="CM52" i="78"/>
  <c r="CM57" i="78"/>
  <c r="CK57" i="78"/>
  <c r="CO57" i="78" s="1"/>
  <c r="CO58" i="78"/>
  <c r="BQ10" i="78"/>
  <c r="BP10" i="78"/>
  <c r="BS10" i="78" s="1"/>
  <c r="CF10" i="78" s="1"/>
  <c r="CN16" i="78"/>
  <c r="CN28" i="78"/>
  <c r="CN39" i="78"/>
  <c r="CD41" i="78"/>
  <c r="CE41" i="78" s="1"/>
  <c r="CO42" i="78"/>
  <c r="CN46" i="78"/>
  <c r="CN52" i="78"/>
  <c r="CN57" i="78"/>
  <c r="CM75" i="78"/>
  <c r="CK75" i="78"/>
  <c r="CO75" i="78" s="1"/>
  <c r="CM81" i="78"/>
  <c r="CK87" i="78"/>
  <c r="BQ15" i="78"/>
  <c r="BP15" i="78"/>
  <c r="BS15" i="78" s="1"/>
  <c r="CF15" i="78" s="1"/>
  <c r="CF18" i="78"/>
  <c r="CO18" i="78" s="1"/>
  <c r="CF30" i="78"/>
  <c r="CM31" i="78"/>
  <c r="CF31" i="78"/>
  <c r="CO31" i="78" s="1"/>
  <c r="CN35" i="78"/>
  <c r="CF37" i="78"/>
  <c r="CO37" i="78" s="1"/>
  <c r="BQ40" i="78"/>
  <c r="BP40" i="78"/>
  <c r="BS40" i="78" s="1"/>
  <c r="CF40" i="78" s="1"/>
  <c r="CF48" i="78"/>
  <c r="CM49" i="78"/>
  <c r="CF49" i="78"/>
  <c r="CO49" i="78" s="1"/>
  <c r="CF54" i="78"/>
  <c r="BQ58" i="78"/>
  <c r="BP58" i="78"/>
  <c r="BS58" i="78" s="1"/>
  <c r="CF58" i="78" s="1"/>
  <c r="CM63" i="78"/>
  <c r="CK63" i="78"/>
  <c r="CO63" i="78" s="1"/>
  <c r="BQ70" i="78"/>
  <c r="BP70" i="78"/>
  <c r="BS70" i="78" s="1"/>
  <c r="CF70" i="78" s="1"/>
  <c r="CO70" i="78" s="1"/>
  <c r="CM86" i="78"/>
  <c r="CF86" i="78"/>
  <c r="CO86" i="78" s="1"/>
  <c r="CO87" i="77"/>
  <c r="CO89" i="77" s="1"/>
  <c r="BP12" i="78"/>
  <c r="BS12" i="78" s="1"/>
  <c r="CF12" i="78" s="1"/>
  <c r="CM56" i="78"/>
  <c r="CK56" i="78"/>
  <c r="CO56" i="78" s="1"/>
  <c r="CM74" i="78"/>
  <c r="CK74" i="78"/>
  <c r="CO74" i="78" s="1"/>
  <c r="BQ76" i="78"/>
  <c r="BP76" i="78"/>
  <c r="BS76" i="78" s="1"/>
  <c r="CF76" i="78" s="1"/>
  <c r="BQ82" i="78"/>
  <c r="BP82" i="78"/>
  <c r="BS82" i="78" s="1"/>
  <c r="CF82" i="78" s="1"/>
  <c r="CM5" i="78"/>
  <c r="BQ11" i="78"/>
  <c r="BP11" i="78"/>
  <c r="BS11" i="78" s="1"/>
  <c r="CM15" i="78"/>
  <c r="CK15" i="78"/>
  <c r="CO15" i="78" s="1"/>
  <c r="BP17" i="78"/>
  <c r="BS17" i="78" s="1"/>
  <c r="CF24" i="78"/>
  <c r="CO24" i="78" s="1"/>
  <c r="CF25" i="78"/>
  <c r="CM34" i="78"/>
  <c r="CM59" i="78"/>
  <c r="BQ64" i="78"/>
  <c r="BP64" i="78"/>
  <c r="BS64" i="78" s="1"/>
  <c r="CF64" i="78" s="1"/>
  <c r="CN65" i="78"/>
  <c r="CF67" i="78"/>
  <c r="CM80" i="78"/>
  <c r="CK80" i="78"/>
  <c r="CO80" i="78" s="1"/>
  <c r="CN5" i="78"/>
  <c r="CO6" i="78"/>
  <c r="CM22" i="78"/>
  <c r="CM27" i="78"/>
  <c r="CK27" i="78"/>
  <c r="CN34" i="78"/>
  <c r="CF42" i="78"/>
  <c r="CM45" i="78"/>
  <c r="CK45" i="78"/>
  <c r="CK51" i="78"/>
  <c r="CO51" i="78" s="1"/>
  <c r="CN59" i="78"/>
  <c r="CO60" i="78"/>
  <c r="CF61" i="78"/>
  <c r="CM62" i="78"/>
  <c r="CO67" i="78"/>
  <c r="CN71" i="78"/>
  <c r="CO72" i="78"/>
  <c r="CM77" i="78"/>
  <c r="CN89" i="78"/>
  <c r="CK5" i="78"/>
  <c r="CO5" i="78" s="1"/>
  <c r="CM6" i="78"/>
  <c r="CO7" i="78"/>
  <c r="BQ16" i="78"/>
  <c r="BP16" i="78"/>
  <c r="BS16" i="78" s="1"/>
  <c r="CF16" i="78" s="1"/>
  <c r="CD17" i="78"/>
  <c r="CE17" i="78" s="1"/>
  <c r="CN17" i="78" s="1"/>
  <c r="CN22" i="78"/>
  <c r="CN27" i="78"/>
  <c r="CD29" i="78"/>
  <c r="CE29" i="78" s="1"/>
  <c r="CK34" i="78"/>
  <c r="BQ39" i="78"/>
  <c r="BP39" i="78"/>
  <c r="BS39" i="78" s="1"/>
  <c r="CF39" i="78" s="1"/>
  <c r="CN45" i="78"/>
  <c r="CD47" i="78"/>
  <c r="CE47" i="78" s="1"/>
  <c r="CN51" i="78"/>
  <c r="CD53" i="78"/>
  <c r="CE53" i="78" s="1"/>
  <c r="CF53" i="78" s="1"/>
  <c r="CO53" i="78" s="1"/>
  <c r="CO59" i="78"/>
  <c r="CM60" i="78"/>
  <c r="CO61" i="78"/>
  <c r="CO71" i="78"/>
  <c r="CM72" i="78"/>
  <c r="CN77" i="78"/>
  <c r="CO78" i="78"/>
  <c r="CN83" i="78"/>
  <c r="CO84" i="78"/>
  <c r="CF85" i="78"/>
  <c r="CD88" i="78"/>
  <c r="CE88" i="78" s="1"/>
  <c r="CO89" i="78"/>
  <c r="CK16" i="78"/>
  <c r="CO16" i="78" s="1"/>
  <c r="BP23" i="78"/>
  <c r="BS23" i="78" s="1"/>
  <c r="CF23" i="78" s="1"/>
  <c r="CK28" i="78"/>
  <c r="CO28" i="78" s="1"/>
  <c r="BP35" i="78"/>
  <c r="BS35" i="78" s="1"/>
  <c r="CF35" i="78" s="1"/>
  <c r="CO35" i="78" s="1"/>
  <c r="CK40" i="78"/>
  <c r="CK46" i="78"/>
  <c r="CK52" i="78"/>
  <c r="CO52" i="78" s="1"/>
  <c r="BP59" i="78"/>
  <c r="BS59" i="78" s="1"/>
  <c r="CF59" i="78" s="1"/>
  <c r="BP65" i="78"/>
  <c r="BS65" i="78" s="1"/>
  <c r="BP71" i="78"/>
  <c r="BS71" i="78" s="1"/>
  <c r="CF71" i="78" s="1"/>
  <c r="BP77" i="78"/>
  <c r="BS77" i="78" s="1"/>
  <c r="CF77" i="78" s="1"/>
  <c r="BP83" i="78"/>
  <c r="BS83" i="78" s="1"/>
  <c r="CK88" i="78"/>
  <c r="CK81" i="78"/>
  <c r="CO81" i="78" s="1"/>
  <c r="BP88" i="78"/>
  <c r="BS88" i="78" s="1"/>
  <c r="CF88" i="78" s="1"/>
  <c r="CK8" i="78"/>
  <c r="CO8" i="78" s="1"/>
  <c r="BP57" i="78"/>
  <c r="BS57" i="78" s="1"/>
  <c r="CF57" i="78" s="1"/>
  <c r="CK62" i="78"/>
  <c r="CO62" i="78" s="1"/>
  <c r="CO88" i="78" l="1"/>
  <c r="CF83" i="78"/>
  <c r="CO83" i="78" s="1"/>
  <c r="CM83" i="78"/>
  <c r="CM46" i="78"/>
  <c r="CF65" i="78"/>
  <c r="CO65" i="78" s="1"/>
  <c r="CM65" i="78"/>
  <c r="CM51" i="78"/>
  <c r="CM71" i="78"/>
  <c r="CO45" i="78"/>
  <c r="CF11" i="78"/>
  <c r="CO11" i="78" s="1"/>
  <c r="CM11" i="78"/>
  <c r="CM39" i="78"/>
  <c r="CM88" i="78"/>
  <c r="CM16" i="78"/>
  <c r="CM35" i="78"/>
  <c r="CO46" i="78"/>
  <c r="CO34" i="78"/>
  <c r="CO87" i="78"/>
  <c r="CO76" i="78"/>
  <c r="CO40" i="78"/>
  <c r="CN53" i="78"/>
  <c r="CM87" i="78"/>
  <c r="CM82" i="78"/>
  <c r="CM40" i="78"/>
  <c r="CO27" i="78"/>
  <c r="CM76" i="78"/>
  <c r="CF17" i="78"/>
  <c r="CO17" i="78" s="1"/>
  <c r="CM17" i="78"/>
  <c r="CM70" i="78"/>
  <c r="CO82" i="78"/>
  <c r="CM58" i="78"/>
  <c r="E114" i="1" l="1"/>
  <c r="F114" i="1" s="1"/>
  <c r="H114" i="62" s="1"/>
  <c r="E111" i="1"/>
  <c r="F111" i="1" s="1"/>
  <c r="H111" i="62" s="1"/>
  <c r="E112" i="1"/>
  <c r="F112" i="1" s="1"/>
  <c r="H112" i="62" s="1"/>
  <c r="E113" i="1"/>
  <c r="F113" i="1" s="1"/>
  <c r="H113" i="62" s="1"/>
  <c r="E115" i="1"/>
  <c r="F115" i="1" s="1"/>
  <c r="H115" i="62" s="1"/>
  <c r="E62" i="1"/>
  <c r="F62" i="1" s="1"/>
  <c r="H63" i="62" s="1"/>
  <c r="E63" i="1"/>
  <c r="F63" i="1" s="1"/>
  <c r="H64" i="62" s="1"/>
  <c r="E64" i="1"/>
  <c r="F64" i="1" s="1"/>
  <c r="H65" i="62" s="1"/>
  <c r="E65" i="1"/>
  <c r="F65" i="1" s="1"/>
  <c r="H66" i="62" s="1"/>
  <c r="E66" i="1"/>
  <c r="F66" i="1" s="1"/>
  <c r="H67" i="62" s="1"/>
  <c r="E68" i="1"/>
  <c r="F68" i="1" s="1"/>
  <c r="D116" i="1"/>
  <c r="F13" i="1" a="1"/>
  <c r="F13" i="1" s="1"/>
  <c r="I17" i="54"/>
  <c r="D7" i="74"/>
  <c r="D13" i="62" a="1"/>
  <c r="D13" i="62" s="1"/>
  <c r="D13" i="1" a="1"/>
  <c r="D13" i="1" s="1"/>
  <c r="L82" i="63"/>
  <c r="L81" i="63"/>
  <c r="L80" i="63"/>
  <c r="L79" i="63"/>
  <c r="L78" i="63"/>
  <c r="L77" i="63"/>
  <c r="L76" i="63"/>
  <c r="L75" i="63"/>
  <c r="L74" i="63"/>
  <c r="L73" i="63"/>
  <c r="L72" i="63"/>
  <c r="L71" i="63"/>
  <c r="L70" i="63"/>
  <c r="L69" i="63"/>
  <c r="L68" i="63"/>
  <c r="L67" i="63"/>
  <c r="L66" i="63"/>
  <c r="L65" i="63"/>
  <c r="L64" i="63"/>
  <c r="L63" i="63"/>
  <c r="L62" i="63"/>
  <c r="L61" i="63"/>
  <c r="L60" i="63"/>
  <c r="L59" i="63"/>
  <c r="L58" i="63"/>
  <c r="L57" i="63"/>
  <c r="L56" i="63"/>
  <c r="L55" i="63"/>
  <c r="L54" i="63"/>
  <c r="L53" i="63"/>
  <c r="L52" i="63"/>
  <c r="L51" i="63"/>
  <c r="L50" i="63"/>
  <c r="L49" i="63"/>
  <c r="L48" i="63"/>
  <c r="L47" i="63"/>
  <c r="L46" i="63"/>
  <c r="L45" i="63"/>
  <c r="L44" i="63"/>
  <c r="L43" i="63"/>
  <c r="L42" i="63"/>
  <c r="L41" i="63"/>
  <c r="L40" i="63"/>
  <c r="L39" i="63"/>
  <c r="L38" i="63"/>
  <c r="L37" i="63"/>
  <c r="L36" i="63"/>
  <c r="L35" i="63"/>
  <c r="L34" i="63"/>
  <c r="L33" i="63"/>
  <c r="L32" i="63"/>
  <c r="L31" i="63"/>
  <c r="L30" i="63"/>
  <c r="L29" i="63"/>
  <c r="L28" i="63"/>
  <c r="L27" i="63"/>
  <c r="L26" i="63"/>
  <c r="L25" i="63"/>
  <c r="L24" i="63"/>
  <c r="L22" i="63"/>
  <c r="L21" i="63"/>
  <c r="L23" i="63"/>
  <c r="A138" i="1" l="1" a="1"/>
  <c r="A138" i="1" s="1"/>
  <c r="F125" i="1" a="1"/>
  <c r="F125" i="1" s="1"/>
  <c r="F122" i="1" a="1"/>
  <c r="F122" i="1" s="1"/>
  <c r="A1" i="63" a="1"/>
  <c r="A1" i="63" s="1"/>
  <c r="B3" i="63" a="1"/>
  <c r="B3" i="63" s="1"/>
  <c r="B4" i="63" a="1"/>
  <c r="B4" i="63" s="1"/>
  <c r="B3" i="6" l="1" a="1"/>
  <c r="B3" i="6" s="1"/>
  <c r="C5" i="6" a="1"/>
  <c r="C5" i="6" s="1"/>
  <c r="E13" i="1" a="1"/>
  <c r="E13" i="1" s="1"/>
  <c r="D19" i="6" l="1"/>
  <c r="O82" i="63" l="1"/>
  <c r="N82" i="63"/>
  <c r="O81" i="63"/>
  <c r="N81" i="63"/>
  <c r="O80" i="63"/>
  <c r="N80" i="63"/>
  <c r="O79" i="63"/>
  <c r="N79" i="63"/>
  <c r="O78" i="63"/>
  <c r="N78" i="63"/>
  <c r="O77" i="63"/>
  <c r="N77" i="63"/>
  <c r="O76" i="63"/>
  <c r="N76" i="63"/>
  <c r="O75" i="63"/>
  <c r="N75" i="63"/>
  <c r="O74" i="63"/>
  <c r="N74" i="63"/>
  <c r="O73" i="63"/>
  <c r="N73" i="63"/>
  <c r="O72" i="63"/>
  <c r="N72" i="63"/>
  <c r="O71" i="63"/>
  <c r="N71" i="63"/>
  <c r="O70" i="63"/>
  <c r="N70" i="63"/>
  <c r="O69" i="63"/>
  <c r="N69" i="63"/>
  <c r="O68" i="63"/>
  <c r="N68" i="63"/>
  <c r="O67" i="63"/>
  <c r="N67" i="63"/>
  <c r="O66" i="63"/>
  <c r="N66" i="63"/>
  <c r="O65" i="63"/>
  <c r="N65" i="63"/>
  <c r="O64" i="63"/>
  <c r="N64" i="63"/>
  <c r="O63" i="63"/>
  <c r="N63" i="63"/>
  <c r="O62" i="63"/>
  <c r="N62" i="63"/>
  <c r="O61" i="63"/>
  <c r="N61" i="63"/>
  <c r="O60" i="63"/>
  <c r="N60" i="63"/>
  <c r="O59" i="63"/>
  <c r="N59" i="63"/>
  <c r="O58" i="63"/>
  <c r="N58" i="63"/>
  <c r="O57" i="63"/>
  <c r="N57" i="63"/>
  <c r="O56" i="63"/>
  <c r="N56" i="63"/>
  <c r="O55" i="63"/>
  <c r="N55" i="63"/>
  <c r="O54" i="63"/>
  <c r="N54" i="63"/>
  <c r="O53" i="63"/>
  <c r="N53" i="63"/>
  <c r="O52" i="63"/>
  <c r="N52" i="63"/>
  <c r="O51" i="63"/>
  <c r="N51" i="63"/>
  <c r="O50" i="63"/>
  <c r="N50" i="63"/>
  <c r="O49" i="63"/>
  <c r="N49" i="63"/>
  <c r="O48" i="63"/>
  <c r="N48" i="63"/>
  <c r="O47" i="63"/>
  <c r="N47" i="63"/>
  <c r="O46" i="63"/>
  <c r="N46" i="63"/>
  <c r="O45" i="63"/>
  <c r="N45" i="63"/>
  <c r="O44" i="63"/>
  <c r="N44" i="63"/>
  <c r="O43" i="63"/>
  <c r="N43" i="63"/>
  <c r="O42" i="63"/>
  <c r="N42" i="63"/>
  <c r="O41" i="63"/>
  <c r="N41" i="63"/>
  <c r="O40" i="63"/>
  <c r="N40" i="63"/>
  <c r="O39" i="63"/>
  <c r="N39" i="63"/>
  <c r="O38" i="63"/>
  <c r="N38" i="63"/>
  <c r="O37" i="63"/>
  <c r="N37" i="63"/>
  <c r="O36" i="63"/>
  <c r="N36" i="63"/>
  <c r="O35" i="63"/>
  <c r="N35" i="63"/>
  <c r="O34" i="63"/>
  <c r="N34" i="63"/>
  <c r="O33" i="63"/>
  <c r="N33" i="63"/>
  <c r="O32" i="63"/>
  <c r="N32" i="63"/>
  <c r="O31" i="63"/>
  <c r="N31" i="63"/>
  <c r="O30" i="63"/>
  <c r="N30" i="63"/>
  <c r="O29" i="63"/>
  <c r="N29" i="63"/>
  <c r="O28" i="63"/>
  <c r="N28" i="63"/>
  <c r="O27" i="63"/>
  <c r="N27" i="63"/>
  <c r="O26" i="63"/>
  <c r="N26" i="63"/>
  <c r="O25" i="63"/>
  <c r="N25" i="63"/>
  <c r="O24" i="63"/>
  <c r="N24" i="63"/>
  <c r="O23" i="63"/>
  <c r="N23" i="63"/>
  <c r="O22" i="63"/>
  <c r="N22" i="63"/>
  <c r="O21" i="63"/>
  <c r="N21" i="63"/>
  <c r="M27" i="63"/>
  <c r="M82" i="63"/>
  <c r="M81" i="63"/>
  <c r="M80" i="63"/>
  <c r="M79" i="63"/>
  <c r="M78" i="63"/>
  <c r="M77" i="63"/>
  <c r="M76" i="63"/>
  <c r="M75" i="63"/>
  <c r="M74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4" i="63"/>
  <c r="M33" i="63"/>
  <c r="M32" i="63"/>
  <c r="M31" i="63"/>
  <c r="M30" i="63"/>
  <c r="M29" i="63"/>
  <c r="M28" i="63"/>
  <c r="M26" i="63"/>
  <c r="M25" i="63"/>
  <c r="M24" i="63"/>
  <c r="M23" i="63"/>
  <c r="M22" i="63"/>
  <c r="M21" i="63"/>
  <c r="P21" i="63" l="1"/>
  <c r="P27" i="63"/>
  <c r="L20" i="63"/>
  <c r="D9" i="1" l="1" a="1"/>
  <c r="D9" i="1" s="1"/>
  <c r="C9" i="62" s="1"/>
  <c r="D7" i="1" a="1"/>
  <c r="D7" i="1" s="1"/>
  <c r="C7" i="62" s="1"/>
  <c r="D6" i="1" a="1"/>
  <c r="D6" i="1" s="1"/>
  <c r="C6" i="62" s="1"/>
  <c r="D3" i="1" a="1"/>
  <c r="D3" i="1" s="1"/>
  <c r="E7" i="79" s="1"/>
  <c r="C8" i="6" l="1"/>
  <c r="B8" i="63"/>
  <c r="C3" i="62"/>
  <c r="E82" i="62" l="1"/>
  <c r="P82" i="63"/>
  <c r="P81" i="63"/>
  <c r="P80" i="63"/>
  <c r="P79" i="63"/>
  <c r="P78" i="63"/>
  <c r="P76" i="63"/>
  <c r="P75" i="63"/>
  <c r="P74" i="63"/>
  <c r="P73" i="63"/>
  <c r="P72" i="63"/>
  <c r="P70" i="63"/>
  <c r="P69" i="63"/>
  <c r="P68" i="63"/>
  <c r="P67" i="63"/>
  <c r="P66" i="63"/>
  <c r="P64" i="63"/>
  <c r="P63" i="63"/>
  <c r="P62" i="63"/>
  <c r="P61" i="63"/>
  <c r="P60" i="63"/>
  <c r="P58" i="63"/>
  <c r="P57" i="63"/>
  <c r="P56" i="63"/>
  <c r="P55" i="63"/>
  <c r="P54" i="63"/>
  <c r="P52" i="63"/>
  <c r="P51" i="63"/>
  <c r="P50" i="63"/>
  <c r="P49" i="63"/>
  <c r="P48" i="63"/>
  <c r="P46" i="63"/>
  <c r="P45" i="63"/>
  <c r="P44" i="63"/>
  <c r="P43" i="63"/>
  <c r="P42" i="63"/>
  <c r="P40" i="63"/>
  <c r="P39" i="63"/>
  <c r="P38" i="63"/>
  <c r="P37" i="63"/>
  <c r="P36" i="63"/>
  <c r="P34" i="63"/>
  <c r="P33" i="63"/>
  <c r="P32" i="63"/>
  <c r="P31" i="63"/>
  <c r="P30" i="63"/>
  <c r="P26" i="63"/>
  <c r="P22" i="63"/>
  <c r="I11" i="74"/>
  <c r="D9" i="74"/>
  <c r="D8" i="74"/>
  <c r="D5" i="1" l="1" a="1"/>
  <c r="D5" i="1" s="1"/>
  <c r="G4" i="54" a="1"/>
  <c r="G4" i="54" s="1"/>
  <c r="D2" i="1" a="1"/>
  <c r="D2" i="1" s="1"/>
  <c r="E6" i="79" s="1"/>
  <c r="D4" i="1" a="1"/>
  <c r="D4" i="1" s="1"/>
  <c r="B9" i="63" s="1"/>
  <c r="P29" i="63"/>
  <c r="P35" i="63"/>
  <c r="P41" i="63"/>
  <c r="P47" i="63"/>
  <c r="P53" i="63"/>
  <c r="P59" i="63"/>
  <c r="P23" i="63"/>
  <c r="P28" i="63"/>
  <c r="P24" i="63"/>
  <c r="P25" i="63"/>
  <c r="P65" i="63"/>
  <c r="P71" i="63"/>
  <c r="P77" i="63"/>
  <c r="N20" i="63"/>
  <c r="D26" i="6" s="1"/>
  <c r="O20" i="63"/>
  <c r="D34" i="6" s="1"/>
  <c r="M20" i="63"/>
  <c r="D33" i="6" s="1"/>
  <c r="D25" i="6"/>
  <c r="C5" i="62" l="1"/>
  <c r="E8" i="79"/>
  <c r="B10" i="63"/>
  <c r="C10" i="6"/>
  <c r="D28" i="6"/>
  <c r="C4" i="62"/>
  <c r="C9" i="6"/>
  <c r="B7" i="63"/>
  <c r="C7" i="6"/>
  <c r="C2" i="62"/>
  <c r="E43" i="1"/>
  <c r="E41" i="1"/>
  <c r="F41" i="1" s="1"/>
  <c r="H42" i="62" s="1"/>
  <c r="E19" i="79" l="1" a="1"/>
  <c r="E19" i="79" s="1"/>
  <c r="G19" i="79" s="1"/>
  <c r="E28" i="79" a="1"/>
  <c r="E28" i="79" s="1"/>
  <c r="G28" i="79" s="1"/>
  <c r="E21" i="79" a="1"/>
  <c r="E21" i="79" s="1"/>
  <c r="G21" i="79" s="1"/>
  <c r="E18" i="79" a="1"/>
  <c r="E18" i="79" s="1"/>
  <c r="E20" i="79" a="1"/>
  <c r="E20" i="79" s="1"/>
  <c r="G20" i="79" s="1"/>
  <c r="E22" i="79" a="1"/>
  <c r="E22" i="79" s="1"/>
  <c r="G22" i="79" s="1"/>
  <c r="E23" i="79" a="1"/>
  <c r="E23" i="79" s="1"/>
  <c r="G23" i="79" s="1"/>
  <c r="E24" i="79" a="1"/>
  <c r="E24" i="79" s="1"/>
  <c r="G24" i="79" s="1"/>
  <c r="E25" i="79" a="1"/>
  <c r="E25" i="79" s="1"/>
  <c r="G25" i="79" s="1"/>
  <c r="E26" i="79" a="1"/>
  <c r="E26" i="79" s="1"/>
  <c r="G26" i="79" s="1"/>
  <c r="E27" i="79" a="1"/>
  <c r="E27" i="79" s="1"/>
  <c r="G27" i="79" s="1"/>
  <c r="D88" i="62"/>
  <c r="D89" i="62"/>
  <c r="F88" i="1" s="1"/>
  <c r="D43" i="6" s="1"/>
  <c r="D68" i="62"/>
  <c r="F68" i="62" s="1"/>
  <c r="D101" i="62"/>
  <c r="D75" i="62"/>
  <c r="F75" i="62" s="1"/>
  <c r="D62" i="62"/>
  <c r="F62" i="62" s="1"/>
  <c r="D50" i="62"/>
  <c r="F50" i="62" s="1"/>
  <c r="D20" i="62"/>
  <c r="F20" i="62" s="1"/>
  <c r="D32" i="62"/>
  <c r="F32" i="62" s="1"/>
  <c r="C114" i="62"/>
  <c r="D51" i="62"/>
  <c r="F51" i="62" s="1"/>
  <c r="D115" i="62"/>
  <c r="D74" i="62"/>
  <c r="F74" i="62" s="1"/>
  <c r="D61" i="62"/>
  <c r="D49" i="62"/>
  <c r="F49" i="62" s="1"/>
  <c r="D21" i="62"/>
  <c r="D33" i="62"/>
  <c r="F33" i="62" s="1"/>
  <c r="C115" i="62"/>
  <c r="D63" i="62"/>
  <c r="D114" i="62"/>
  <c r="D73" i="62"/>
  <c r="F73" i="62" s="1"/>
  <c r="D60" i="62"/>
  <c r="F60" i="62" s="1"/>
  <c r="D48" i="62"/>
  <c r="F48" i="62" s="1"/>
  <c r="D22" i="62"/>
  <c r="F22" i="62" s="1"/>
  <c r="D34" i="62"/>
  <c r="F34" i="62" s="1"/>
  <c r="C110" i="62"/>
  <c r="D19" i="62"/>
  <c r="F19" i="62" s="1"/>
  <c r="D113" i="62"/>
  <c r="D72" i="62"/>
  <c r="F72" i="62" s="1"/>
  <c r="D59" i="62"/>
  <c r="F59" i="62" s="1"/>
  <c r="D47" i="62"/>
  <c r="F47" i="62" s="1"/>
  <c r="D23" i="62"/>
  <c r="F23" i="62" s="1"/>
  <c r="D35" i="62"/>
  <c r="F35" i="62" s="1"/>
  <c r="C112" i="62"/>
  <c r="D31" i="62"/>
  <c r="D112" i="62"/>
  <c r="D71" i="62"/>
  <c r="F71" i="62" s="1"/>
  <c r="D58" i="62"/>
  <c r="F58" i="62" s="1"/>
  <c r="D46" i="62"/>
  <c r="F46" i="62" s="1"/>
  <c r="D24" i="62"/>
  <c r="F24" i="62" s="1"/>
  <c r="D36" i="62"/>
  <c r="F36" i="62" s="1"/>
  <c r="D30" i="62"/>
  <c r="F30" i="62" s="1"/>
  <c r="D111" i="62"/>
  <c r="D70" i="62"/>
  <c r="F70" i="62" s="1"/>
  <c r="D57" i="62"/>
  <c r="F57" i="62" s="1"/>
  <c r="D45" i="62"/>
  <c r="F45" i="62" s="1"/>
  <c r="D25" i="62"/>
  <c r="F25" i="62" s="1"/>
  <c r="D16" i="62"/>
  <c r="D18" i="62"/>
  <c r="F18" i="62" s="1"/>
  <c r="C113" i="62"/>
  <c r="D110" i="62"/>
  <c r="D81" i="62"/>
  <c r="F81" i="62" s="1"/>
  <c r="D69" i="62"/>
  <c r="F69" i="62" s="1"/>
  <c r="D56" i="62"/>
  <c r="F56" i="62" s="1"/>
  <c r="D44" i="62"/>
  <c r="F44" i="62" s="1"/>
  <c r="D26" i="62"/>
  <c r="F26" i="62" s="1"/>
  <c r="D52" i="62"/>
  <c r="F52" i="62" s="1"/>
  <c r="D109" i="62"/>
  <c r="D80" i="62"/>
  <c r="F80" i="62" s="1"/>
  <c r="D67" i="62"/>
  <c r="D55" i="62"/>
  <c r="F55" i="62" s="1"/>
  <c r="D43" i="62"/>
  <c r="F43" i="62" s="1"/>
  <c r="D27" i="62"/>
  <c r="F27" i="62" s="1"/>
  <c r="D77" i="62"/>
  <c r="F77" i="62" s="1"/>
  <c r="D102" i="62"/>
  <c r="D108" i="62"/>
  <c r="D79" i="62"/>
  <c r="F79" i="62" s="1"/>
  <c r="D66" i="62"/>
  <c r="D54" i="62"/>
  <c r="F54" i="62" s="1"/>
  <c r="D42" i="62"/>
  <c r="F42" i="62" s="1"/>
  <c r="D28" i="62"/>
  <c r="F28" i="62" s="1"/>
  <c r="C122" i="62"/>
  <c r="D64" i="62"/>
  <c r="D76" i="62"/>
  <c r="F76" i="62" s="1"/>
  <c r="D107" i="62"/>
  <c r="D78" i="62"/>
  <c r="F78" i="62" s="1"/>
  <c r="D65" i="62"/>
  <c r="D53" i="62"/>
  <c r="F53" i="62" s="1"/>
  <c r="D17" i="62"/>
  <c r="F17" i="62" s="1"/>
  <c r="D29" i="62"/>
  <c r="F29" i="62" s="1"/>
  <c r="C111" i="62"/>
  <c r="D103" i="62"/>
  <c r="C61" i="62"/>
  <c r="C109" i="62"/>
  <c r="C108" i="62"/>
  <c r="C107" i="62"/>
  <c r="C103" i="62"/>
  <c r="C102" i="62"/>
  <c r="C101" i="62"/>
  <c r="C89" i="62"/>
  <c r="C88" i="62"/>
  <c r="C94" i="62"/>
  <c r="C93" i="62"/>
  <c r="C43" i="62"/>
  <c r="C55" i="62"/>
  <c r="C69" i="62"/>
  <c r="C81" i="62"/>
  <c r="C26" i="62"/>
  <c r="C44" i="62"/>
  <c r="C56" i="62"/>
  <c r="C70" i="62"/>
  <c r="C42" i="62"/>
  <c r="C27" i="62"/>
  <c r="C73" i="62"/>
  <c r="C48" i="62"/>
  <c r="C45" i="62"/>
  <c r="C57" i="62"/>
  <c r="C71" i="62"/>
  <c r="C36" i="62"/>
  <c r="C28" i="62"/>
  <c r="C47" i="62"/>
  <c r="C31" i="62"/>
  <c r="C46" i="62"/>
  <c r="C58" i="62"/>
  <c r="C72" i="62"/>
  <c r="C17" i="62"/>
  <c r="C29" i="62"/>
  <c r="C59" i="62"/>
  <c r="C19" i="62"/>
  <c r="C49" i="62"/>
  <c r="C62" i="62"/>
  <c r="C75" i="62"/>
  <c r="C20" i="62"/>
  <c r="C32" i="62"/>
  <c r="C50" i="62"/>
  <c r="C63" i="62"/>
  <c r="C76" i="62"/>
  <c r="C21" i="62"/>
  <c r="C33" i="62"/>
  <c r="C51" i="62"/>
  <c r="C64" i="62"/>
  <c r="C77" i="62"/>
  <c r="C22" i="62"/>
  <c r="C34" i="62"/>
  <c r="C52" i="62"/>
  <c r="C65" i="62"/>
  <c r="C78" i="62"/>
  <c r="C23" i="62"/>
  <c r="C35" i="62"/>
  <c r="C18" i="62"/>
  <c r="C74" i="62"/>
  <c r="C60" i="62"/>
  <c r="C53" i="62"/>
  <c r="C66" i="62"/>
  <c r="C79" i="62"/>
  <c r="C24" i="62"/>
  <c r="C16" i="62"/>
  <c r="C54" i="62"/>
  <c r="C67" i="62"/>
  <c r="C80" i="62"/>
  <c r="C25" i="62"/>
  <c r="C30" i="62"/>
  <c r="F21" i="62"/>
  <c r="F88" i="62" l="1"/>
  <c r="F87" i="1"/>
  <c r="D42" i="6" s="1"/>
  <c r="F16" i="62"/>
  <c r="D93" i="62"/>
  <c r="F31" i="62"/>
  <c r="D94" i="62"/>
  <c r="G18" i="79"/>
  <c r="G30" i="79" s="1"/>
  <c r="E32" i="79" s="1"/>
  <c r="E30" i="79"/>
  <c r="F110" i="62"/>
  <c r="J110" i="62"/>
  <c r="J68" i="62"/>
  <c r="F89" i="62"/>
  <c r="F61" i="62"/>
  <c r="J61" i="62"/>
  <c r="C104" i="62"/>
  <c r="J115" i="62"/>
  <c r="F115" i="62"/>
  <c r="F113" i="62"/>
  <c r="J113" i="62"/>
  <c r="J114" i="62"/>
  <c r="F114" i="62"/>
  <c r="F111" i="62"/>
  <c r="J111" i="62"/>
  <c r="J112" i="62"/>
  <c r="F112" i="62"/>
  <c r="J66" i="62"/>
  <c r="F66" i="62"/>
  <c r="J63" i="62"/>
  <c r="F63" i="62"/>
  <c r="J65" i="62"/>
  <c r="F65" i="62"/>
  <c r="F67" i="62"/>
  <c r="J67" i="62"/>
  <c r="F64" i="62"/>
  <c r="J64" i="62"/>
  <c r="C90" i="62"/>
  <c r="C95" i="62"/>
  <c r="C129" i="62" s="1"/>
  <c r="D90" i="62"/>
  <c r="H89" i="62" l="1"/>
  <c r="F90" i="62"/>
  <c r="F94" i="62"/>
  <c r="D95" i="62"/>
  <c r="F93" i="62"/>
  <c r="F95" i="62" l="1"/>
  <c r="E108" i="1" l="1"/>
  <c r="E107" i="1"/>
  <c r="E103" i="1"/>
  <c r="E102" i="1"/>
  <c r="E101" i="1"/>
  <c r="E80" i="1"/>
  <c r="F80" i="1" s="1"/>
  <c r="E79" i="1"/>
  <c r="E78" i="1"/>
  <c r="E77" i="1"/>
  <c r="E76" i="1"/>
  <c r="E75" i="1"/>
  <c r="E74" i="1"/>
  <c r="E73" i="1"/>
  <c r="E72" i="1"/>
  <c r="E71" i="1"/>
  <c r="E70" i="1"/>
  <c r="E69" i="1"/>
  <c r="E61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2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C5" i="63"/>
  <c r="E37" i="1" l="1"/>
  <c r="C99" i="62"/>
  <c r="J99" i="62"/>
  <c r="F39" i="62"/>
  <c r="D99" i="62"/>
  <c r="E37" i="62"/>
  <c r="E39" i="62"/>
  <c r="F16" i="1"/>
  <c r="H13" i="62"/>
  <c r="H39" i="62" s="1"/>
  <c r="E98" i="1"/>
  <c r="D98" i="1"/>
  <c r="F89" i="1"/>
  <c r="C39" i="62"/>
  <c r="L9" i="62"/>
  <c r="H16" i="62" l="1"/>
  <c r="J16" i="62" s="1"/>
  <c r="K16" i="62" s="1"/>
  <c r="F99" i="62"/>
  <c r="H99" i="62"/>
  <c r="D39" i="62"/>
  <c r="E84" i="62"/>
  <c r="F108" i="62" l="1"/>
  <c r="F107" i="62"/>
  <c r="F103" i="62"/>
  <c r="F102" i="62"/>
  <c r="F109" i="62"/>
  <c r="F101" i="62"/>
  <c r="N1" i="62"/>
  <c r="F116" i="62" l="1"/>
  <c r="C82" i="62"/>
  <c r="D82" i="62"/>
  <c r="F104" i="62"/>
  <c r="F82" i="62"/>
  <c r="D37" i="62"/>
  <c r="C37" i="62"/>
  <c r="D116" i="62"/>
  <c r="C116" i="62"/>
  <c r="D104" i="62"/>
  <c r="F9" i="54"/>
  <c r="F12" i="54" s="1"/>
  <c r="F17" i="54"/>
  <c r="F118" i="62" l="1"/>
  <c r="D84" i="62"/>
  <c r="F37" i="62"/>
  <c r="F84" i="62" s="1"/>
  <c r="D118" i="62"/>
  <c r="C84" i="62"/>
  <c r="C118" i="62"/>
  <c r="C125" i="62" s="1"/>
  <c r="H88" i="62"/>
  <c r="D129" i="62"/>
  <c r="J17" i="54"/>
  <c r="F98" i="1"/>
  <c r="F39" i="1"/>
  <c r="E39" i="1"/>
  <c r="D39" i="1"/>
  <c r="C130" i="62" l="1"/>
  <c r="C131" i="62" s="1"/>
  <c r="D122" i="62"/>
  <c r="F123" i="1" s="1"/>
  <c r="D44" i="6" s="1"/>
  <c r="D45" i="6" s="1"/>
  <c r="H90" i="62"/>
  <c r="F129" i="62"/>
  <c r="F122" i="62"/>
  <c r="F125" i="62" s="1"/>
  <c r="F23" i="1"/>
  <c r="D125" i="62" l="1"/>
  <c r="D130" i="62" s="1"/>
  <c r="D131" i="62" s="1"/>
  <c r="H23" i="62"/>
  <c r="H122" i="62"/>
  <c r="J23" i="62" l="1"/>
  <c r="K23" i="62" s="1"/>
  <c r="F130" i="62"/>
  <c r="F131" i="62" s="1"/>
  <c r="F108" i="1"/>
  <c r="F107" i="1"/>
  <c r="F102" i="1"/>
  <c r="F103" i="1"/>
  <c r="F101" i="1"/>
  <c r="H103" i="62" l="1"/>
  <c r="J103" i="62" s="1"/>
  <c r="H102" i="62"/>
  <c r="J102" i="62" s="1"/>
  <c r="H109" i="62"/>
  <c r="J109" i="62" s="1"/>
  <c r="H101" i="62"/>
  <c r="F104" i="1"/>
  <c r="H107" i="62"/>
  <c r="J107" i="62" s="1"/>
  <c r="F116" i="1"/>
  <c r="H108" i="62"/>
  <c r="J108" i="62" s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1" i="1"/>
  <c r="F69" i="1"/>
  <c r="F70" i="1"/>
  <c r="F71" i="1"/>
  <c r="F72" i="1"/>
  <c r="F73" i="1"/>
  <c r="F74" i="1"/>
  <c r="F75" i="1"/>
  <c r="F76" i="1"/>
  <c r="F77" i="1"/>
  <c r="F78" i="1"/>
  <c r="F79" i="1"/>
  <c r="F17" i="1"/>
  <c r="F18" i="1"/>
  <c r="F19" i="1"/>
  <c r="F20" i="1"/>
  <c r="F21" i="1"/>
  <c r="F22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81" i="1" l="1"/>
  <c r="J42" i="62"/>
  <c r="K42" i="62" s="1"/>
  <c r="H31" i="62"/>
  <c r="J31" i="62" s="1"/>
  <c r="K31" i="62" s="1"/>
  <c r="H17" i="62"/>
  <c r="J17" i="62" s="1"/>
  <c r="K17" i="62" s="1"/>
  <c r="H62" i="62"/>
  <c r="H60" i="62"/>
  <c r="H48" i="62"/>
  <c r="H27" i="62"/>
  <c r="H59" i="62"/>
  <c r="H47" i="62"/>
  <c r="H49" i="62"/>
  <c r="H79" i="62"/>
  <c r="H78" i="62"/>
  <c r="H24" i="62"/>
  <c r="H77" i="62"/>
  <c r="H46" i="62"/>
  <c r="H22" i="62"/>
  <c r="H57" i="62"/>
  <c r="H34" i="62"/>
  <c r="H75" i="62"/>
  <c r="H56" i="62"/>
  <c r="H44" i="62"/>
  <c r="H80" i="62"/>
  <c r="H26" i="62"/>
  <c r="H25" i="62"/>
  <c r="H36" i="62"/>
  <c r="H58" i="62"/>
  <c r="H35" i="62"/>
  <c r="H76" i="62"/>
  <c r="H45" i="62"/>
  <c r="H21" i="62"/>
  <c r="H33" i="62"/>
  <c r="H20" i="62"/>
  <c r="H74" i="62"/>
  <c r="H55" i="62"/>
  <c r="H43" i="62"/>
  <c r="H54" i="62"/>
  <c r="H73" i="62"/>
  <c r="H52" i="62"/>
  <c r="H18" i="62"/>
  <c r="H72" i="62"/>
  <c r="H53" i="62"/>
  <c r="H30" i="62"/>
  <c r="H71" i="62"/>
  <c r="H29" i="62"/>
  <c r="H32" i="62"/>
  <c r="H19" i="62"/>
  <c r="H70" i="62"/>
  <c r="H51" i="62"/>
  <c r="H28" i="62"/>
  <c r="H81" i="62"/>
  <c r="H69" i="62"/>
  <c r="H50" i="62"/>
  <c r="H104" i="62"/>
  <c r="J101" i="62"/>
  <c r="J104" i="62" s="1"/>
  <c r="H116" i="62"/>
  <c r="J116" i="62"/>
  <c r="F93" i="1"/>
  <c r="H37" i="62" l="1"/>
  <c r="H93" i="62"/>
  <c r="H94" i="62"/>
  <c r="H82" i="62"/>
  <c r="J24" i="62"/>
  <c r="K24" i="62" s="1"/>
  <c r="J78" i="62"/>
  <c r="K78" i="62" s="1"/>
  <c r="J79" i="62"/>
  <c r="K79" i="62" s="1"/>
  <c r="J25" i="62"/>
  <c r="K25" i="62" s="1"/>
  <c r="J27" i="62"/>
  <c r="K27" i="62" s="1"/>
  <c r="J19" i="62"/>
  <c r="K19" i="62" s="1"/>
  <c r="J44" i="62"/>
  <c r="K44" i="62" s="1"/>
  <c r="J20" i="62"/>
  <c r="K20" i="62" s="1"/>
  <c r="J34" i="62"/>
  <c r="K34" i="62" s="1"/>
  <c r="J70" i="62"/>
  <c r="K70" i="62" s="1"/>
  <c r="J54" i="62"/>
  <c r="K54" i="62" s="1"/>
  <c r="J26" i="62"/>
  <c r="K26" i="62" s="1"/>
  <c r="J55" i="62"/>
  <c r="K55" i="62" s="1"/>
  <c r="J71" i="62"/>
  <c r="K71" i="62" s="1"/>
  <c r="J59" i="62"/>
  <c r="K59" i="62" s="1"/>
  <c r="J60" i="62"/>
  <c r="K60" i="62" s="1"/>
  <c r="J73" i="62"/>
  <c r="K73" i="62" s="1"/>
  <c r="J32" i="62"/>
  <c r="K32" i="62" s="1"/>
  <c r="J47" i="62"/>
  <c r="K47" i="62" s="1"/>
  <c r="J62" i="62"/>
  <c r="K62" i="62" s="1"/>
  <c r="J36" i="62"/>
  <c r="K36" i="62" s="1"/>
  <c r="J43" i="62"/>
  <c r="K43" i="62" s="1"/>
  <c r="J80" i="62"/>
  <c r="K80" i="62" s="1"/>
  <c r="J30" i="62"/>
  <c r="K30" i="62" s="1"/>
  <c r="J29" i="62"/>
  <c r="K29" i="62" s="1"/>
  <c r="J49" i="62"/>
  <c r="K49" i="62" s="1"/>
  <c r="J74" i="62"/>
  <c r="K74" i="62" s="1"/>
  <c r="J56" i="62"/>
  <c r="K56" i="62" s="1"/>
  <c r="J53" i="62"/>
  <c r="K53" i="62" s="1"/>
  <c r="J33" i="62"/>
  <c r="K33" i="62" s="1"/>
  <c r="J75" i="62"/>
  <c r="K75" i="62" s="1"/>
  <c r="J50" i="62"/>
  <c r="K50" i="62" s="1"/>
  <c r="J72" i="62"/>
  <c r="K72" i="62" s="1"/>
  <c r="J21" i="62"/>
  <c r="K21" i="62" s="1"/>
  <c r="J48" i="62"/>
  <c r="K48" i="62" s="1"/>
  <c r="J69" i="62"/>
  <c r="K69" i="62" s="1"/>
  <c r="J18" i="62"/>
  <c r="K18" i="62" s="1"/>
  <c r="J45" i="62"/>
  <c r="K45" i="62" s="1"/>
  <c r="J57" i="62"/>
  <c r="K57" i="62" s="1"/>
  <c r="J81" i="62"/>
  <c r="K81" i="62" s="1"/>
  <c r="J76" i="62"/>
  <c r="K76" i="62" s="1"/>
  <c r="J22" i="62"/>
  <c r="K22" i="62" s="1"/>
  <c r="J28" i="62"/>
  <c r="K28" i="62" s="1"/>
  <c r="J52" i="62"/>
  <c r="K52" i="62" s="1"/>
  <c r="J35" i="62"/>
  <c r="K35" i="62" s="1"/>
  <c r="J46" i="62"/>
  <c r="K46" i="62" s="1"/>
  <c r="J51" i="62"/>
  <c r="K51" i="62" s="1"/>
  <c r="J58" i="62"/>
  <c r="K58" i="62" s="1"/>
  <c r="J77" i="62"/>
  <c r="K77" i="62" s="1"/>
  <c r="H118" i="62"/>
  <c r="H125" i="62" s="1"/>
  <c r="H130" i="62" s="1"/>
  <c r="J118" i="62"/>
  <c r="H95" i="62" l="1"/>
  <c r="H129" i="62" s="1"/>
  <c r="H131" i="62" s="1"/>
  <c r="H84" i="62"/>
  <c r="J82" i="62"/>
  <c r="K82" i="62" s="1"/>
  <c r="J37" i="62"/>
  <c r="K37" i="62" s="1"/>
  <c r="J84" i="62" l="1"/>
  <c r="D37" i="1" l="1"/>
  <c r="F37" i="1" l="1"/>
  <c r="F83" i="1" l="1"/>
  <c r="F92" i="1"/>
  <c r="F118" i="1"/>
  <c r="D48" i="6" s="1"/>
  <c r="D47" i="6" l="1"/>
  <c r="F94" i="1"/>
  <c r="D52" i="6"/>
  <c r="F126" i="1"/>
  <c r="F131" i="1" s="1"/>
  <c r="D51" i="6" l="1"/>
  <c r="D53" i="6" s="1"/>
  <c r="D49" i="6"/>
  <c r="D5" i="6"/>
  <c r="H9" i="1"/>
  <c r="E81" i="1" l="1"/>
  <c r="D81" i="1" l="1"/>
  <c r="D37" i="6" l="1"/>
  <c r="E116" i="1"/>
  <c r="D104" i="1"/>
  <c r="E104" i="1"/>
  <c r="J1" i="1" l="1"/>
  <c r="D83" i="1"/>
  <c r="E83" i="1"/>
  <c r="E118" i="1"/>
  <c r="D118" i="1"/>
  <c r="F130" i="1" l="1"/>
  <c r="F132" i="1" s="1"/>
  <c r="D39" i="6" l="1"/>
  <c r="D55" i="6" s="1"/>
  <c r="F5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Gunatilake, Sanjaya</author>
  </authors>
  <commentList>
    <comment ref="A79" authorId="0" shapeId="0" xr:uid="{AC09781D-52D8-44FC-8950-9401570CDB4D}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Lexi Schultz</author>
    <author>James, Claudette</author>
  </authors>
  <commentList>
    <comment ref="D19" authorId="0" shapeId="0" xr:uid="{7330E733-7FF2-4DAB-B8B2-7928C22FE86A}">
      <text>
        <r>
          <rPr>
            <b/>
            <sz val="9"/>
            <color rgb="FF000000"/>
            <rFont val="Tahoma"/>
            <family val="2"/>
          </rPr>
          <t>Comment:</t>
        </r>
        <r>
          <rPr>
            <sz val="9"/>
            <color rgb="FF000000"/>
            <rFont val="Tahoma"/>
            <family val="2"/>
          </rPr>
          <t xml:space="preserve">
Headteacher or Business Manager</t>
        </r>
      </text>
    </comment>
    <comment ref="E19" authorId="0" shapeId="0" xr:uid="{858E9F7E-0BD0-4E45-A2B4-26E667380426}">
      <text>
        <r>
          <rPr>
            <b/>
            <sz val="9"/>
            <color rgb="FF000000"/>
            <rFont val="Tahoma"/>
            <family val="2"/>
          </rPr>
          <t>Comment: Who provided the good/service. Or who are you owed income from.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H19" authorId="0" shapeId="0" xr:uid="{FF0064A6-6A63-495A-8113-1BDD185F0023}">
      <text>
        <r>
          <rPr>
            <sz val="9"/>
            <color rgb="FF000000"/>
            <rFont val="Tahoma"/>
            <family val="2"/>
          </rPr>
          <t xml:space="preserve">
Any information to identify the invoice. If the amount is estimated please provide any additional information on the accrual.</t>
        </r>
      </text>
    </comment>
    <comment ref="I19" authorId="0" shapeId="0" xr:uid="{0C1FBCF5-8A47-49C6-92E7-8FE09A935290}">
      <text>
        <r>
          <rPr>
            <b/>
            <sz val="9"/>
            <color rgb="FF000000"/>
            <rFont val="Tahoma"/>
            <family val="2"/>
          </rPr>
          <t>Comments:</t>
        </r>
        <r>
          <rPr>
            <sz val="9"/>
            <color rgb="FF000000"/>
            <rFont val="Tahoma"/>
            <family val="2"/>
          </rPr>
          <t xml:space="preserve">
Have you estimated the amount or do you know the actual amount?</t>
        </r>
      </text>
    </comment>
    <comment ref="C87" authorId="1" shapeId="0" xr:uid="{FB36DA92-3B15-47AB-A307-9126B38F188D}">
      <text>
        <r>
          <rPr>
            <b/>
            <sz val="9"/>
            <color indexed="81"/>
            <rFont val="Tahoma"/>
            <family val="2"/>
          </rPr>
          <t>James, Claudette:</t>
        </r>
        <r>
          <rPr>
            <sz val="9"/>
            <color indexed="81"/>
            <rFont val="Tahoma"/>
            <family val="2"/>
          </rPr>
          <t xml:space="preserve">
this cell is fixed.  Do not change.  For other accruals use row 23 onwards.
</t>
        </r>
      </text>
    </comment>
    <comment ref="C88" authorId="1" shapeId="0" xr:uid="{96BE36BA-156C-4DFA-B732-1BDC873C7B5A}">
      <text>
        <r>
          <rPr>
            <b/>
            <sz val="9"/>
            <color indexed="81"/>
            <rFont val="Tahoma"/>
            <family val="2"/>
          </rPr>
          <t>James, Claudette:</t>
        </r>
        <r>
          <rPr>
            <sz val="9"/>
            <color indexed="81"/>
            <rFont val="Tahoma"/>
            <family val="2"/>
          </rPr>
          <t xml:space="preserve">
this cell is fixed.  Do not change.  For other accruals use row 23 onwards.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Support</author>
  </authors>
  <commentList>
    <comment ref="C89" authorId="0" shapeId="0" xr:uid="{35DEB96D-49B2-4F90-81EA-4F88CD12BA06}">
      <text>
        <r>
          <rPr>
            <sz val="9"/>
            <color indexed="81"/>
            <rFont val="Tahoma"/>
            <family val="2"/>
          </rPr>
          <t xml:space="preserve">Brookhill Nursery's details used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James, Claudette</author>
    <author>Gibson, Nicole</author>
    <author>Tiba, Rema</author>
  </authors>
  <commentList>
    <comment ref="BR3" authorId="0" shapeId="0" xr:uid="{55500814-399E-4B98-AFAD-A5B9FA79579F}">
      <text>
        <r>
          <rPr>
            <b/>
            <sz val="9"/>
            <color indexed="81"/>
            <rFont val="Tahoma"/>
            <family val="2"/>
          </rPr>
          <t>James, Claudette:</t>
        </r>
        <r>
          <rPr>
            <sz val="9"/>
            <color indexed="81"/>
            <rFont val="Tahoma"/>
            <family val="2"/>
          </rPr>
          <t xml:space="preserve">
Recovery plan figs
</t>
        </r>
      </text>
    </comment>
    <comment ref="A72" authorId="1" shapeId="0" xr:uid="{BB63FD63-A96F-4468-9E48-A905360FFE91}">
      <text>
        <r>
          <rPr>
            <sz val="9"/>
            <color indexed="81"/>
            <rFont val="Tahoma"/>
            <family val="2"/>
          </rPr>
          <t xml:space="preserve">contingency
</t>
        </r>
      </text>
    </comment>
    <comment ref="BY72" authorId="1" shapeId="0" xr:uid="{D53B86E3-675C-4BC9-B0B7-6BAF9749F08C}">
      <text>
        <r>
          <rPr>
            <sz val="9"/>
            <color indexed="81"/>
            <rFont val="Tahoma"/>
            <family val="2"/>
          </rPr>
          <t xml:space="preserve">contingency £1409
rev projects future yrs £8,000
</t>
        </r>
      </text>
    </comment>
    <comment ref="CH72" authorId="2" shapeId="0" xr:uid="{459BA03D-0E2A-432F-A08B-21C4402FDD8D}">
      <text>
        <r>
          <rPr>
            <b/>
            <sz val="9"/>
            <color indexed="81"/>
            <rFont val="Tahoma"/>
            <family val="2"/>
          </rPr>
          <t>Tiba, Rema:</t>
        </r>
        <r>
          <rPr>
            <sz val="9"/>
            <color indexed="81"/>
            <rFont val="Tahoma"/>
            <family val="2"/>
          </rPr>
          <t xml:space="preserve">
School Contingency</t>
        </r>
      </text>
    </comment>
    <comment ref="A89" authorId="1" shapeId="0" xr:uid="{F85A33BE-A6C9-49B0-A639-72CDBBDBE15E}">
      <text>
        <r>
          <rPr>
            <sz val="9"/>
            <color indexed="81"/>
            <rFont val="Tahoma"/>
            <family val="2"/>
          </rPr>
          <t xml:space="preserve">Capital Resources - Held for Future Years
</t>
        </r>
      </text>
    </comment>
    <comment ref="AY89" authorId="2" shapeId="0" xr:uid="{A5BB6494-E0FD-484E-B804-71FA4B5B9239}">
      <text>
        <r>
          <rPr>
            <b/>
            <sz val="9"/>
            <color indexed="81"/>
            <rFont val="Tahoma"/>
            <family val="2"/>
          </rPr>
          <t>Tiba, Rema:</t>
        </r>
        <r>
          <rPr>
            <sz val="9"/>
            <color indexed="81"/>
            <rFont val="Tahoma"/>
            <family val="2"/>
          </rPr>
          <t xml:space="preserve">
Capital Resources Held for Future Years 
</t>
        </r>
      </text>
    </comment>
    <comment ref="CH89" authorId="2" shapeId="0" xr:uid="{0B9B6CB9-AE32-4F7D-9E0D-EC202F88A22B}">
      <text>
        <r>
          <rPr>
            <b/>
            <sz val="9"/>
            <color indexed="81"/>
            <rFont val="Tahoma"/>
            <family val="2"/>
          </rPr>
          <t>Tiba, Rema:</t>
        </r>
        <r>
          <rPr>
            <sz val="9"/>
            <color indexed="81"/>
            <rFont val="Tahoma"/>
            <family val="2"/>
          </rPr>
          <t xml:space="preserve">
£9,887 Capital future years  (when uploading put on seprate line)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James, Claudette</author>
  </authors>
  <commentList>
    <comment ref="A43" authorId="0" shapeId="0" xr:uid="{8ABA4E54-D322-4813-BF42-0EA25FD57DE8}">
      <text>
        <r>
          <rPr>
            <b/>
            <sz val="9"/>
            <color indexed="81"/>
            <rFont val="Tahoma"/>
            <family val="2"/>
          </rPr>
          <t>James, Claudette:</t>
        </r>
        <r>
          <rPr>
            <sz val="9"/>
            <color indexed="81"/>
            <rFont val="Tahoma"/>
            <family val="2"/>
          </rPr>
          <t xml:space="preserve">
Q3 FIGURES USED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<sst xmlns="http://schemas.openxmlformats.org/spreadsheetml/2006/main" count="1958" uniqueCount="797">
  <si>
    <t xml:space="preserve">All figures should be net of VAT
</t>
  </si>
  <si>
    <t xml:space="preserve">Explanation of material variances </t>
  </si>
  <si>
    <t>CFR Code</t>
  </si>
  <si>
    <t>£</t>
  </si>
  <si>
    <t>Funding for sixth form students</t>
  </si>
  <si>
    <t>Funding for minority ethnic pupils</t>
  </si>
  <si>
    <t>Pupil premium</t>
  </si>
  <si>
    <t>Other government grants</t>
  </si>
  <si>
    <t>Other grants and payments</t>
  </si>
  <si>
    <t>Income from catering</t>
  </si>
  <si>
    <t>Receipts from supply teacher insurance claims</t>
  </si>
  <si>
    <t>Receipts from other insurance claims</t>
  </si>
  <si>
    <t>Income from contributions to visits etc.</t>
  </si>
  <si>
    <t>Donations and/or voluntary funds</t>
  </si>
  <si>
    <t>Pupil focused extended school funding and/or grants</t>
  </si>
  <si>
    <t>Additional grant for schools</t>
  </si>
  <si>
    <t>I02</t>
  </si>
  <si>
    <t>I06</t>
  </si>
  <si>
    <t>I07</t>
  </si>
  <si>
    <t>I09</t>
  </si>
  <si>
    <t>I10</t>
  </si>
  <si>
    <t>I11</t>
  </si>
  <si>
    <t>I12</t>
  </si>
  <si>
    <t>I13</t>
  </si>
  <si>
    <t>I15</t>
  </si>
  <si>
    <t>Total Revenue Income</t>
  </si>
  <si>
    <t>Teaching staff</t>
  </si>
  <si>
    <t>E01</t>
  </si>
  <si>
    <t>Supply staff</t>
  </si>
  <si>
    <t>E02</t>
  </si>
  <si>
    <t>Education support staff</t>
  </si>
  <si>
    <t>E03</t>
  </si>
  <si>
    <t>Premises staff</t>
  </si>
  <si>
    <t>E04</t>
  </si>
  <si>
    <t>Administrative and clerical staff</t>
  </si>
  <si>
    <t>E05</t>
  </si>
  <si>
    <t>Catering staff</t>
  </si>
  <si>
    <t>E06</t>
  </si>
  <si>
    <t>Cost of other staff</t>
  </si>
  <si>
    <t>E07</t>
  </si>
  <si>
    <t>Indirect employee expenses</t>
  </si>
  <si>
    <t>E08</t>
  </si>
  <si>
    <t>Development and training</t>
  </si>
  <si>
    <t>E09</t>
  </si>
  <si>
    <t>Supply teacher insurance</t>
  </si>
  <si>
    <t>E10</t>
  </si>
  <si>
    <t>Staff related insurance</t>
  </si>
  <si>
    <t>E11</t>
  </si>
  <si>
    <t>Building maintenance and improvement</t>
  </si>
  <si>
    <t>E12</t>
  </si>
  <si>
    <t>Grounds maintenance and improvement</t>
  </si>
  <si>
    <t>E13</t>
  </si>
  <si>
    <t>Cleaning and caretaking</t>
  </si>
  <si>
    <t>E14</t>
  </si>
  <si>
    <t>Water and sewerage</t>
  </si>
  <si>
    <t>E15</t>
  </si>
  <si>
    <t>Energy</t>
  </si>
  <si>
    <t>E16</t>
  </si>
  <si>
    <t>Rates</t>
  </si>
  <si>
    <t>E17</t>
  </si>
  <si>
    <t>Other occupation costs</t>
  </si>
  <si>
    <t>E18</t>
  </si>
  <si>
    <t>Learning resources (not ICT equipment)</t>
  </si>
  <si>
    <t>E19</t>
  </si>
  <si>
    <t>E20</t>
  </si>
  <si>
    <t>Exam fees</t>
  </si>
  <si>
    <t>E21</t>
  </si>
  <si>
    <t>Administrative supplies</t>
  </si>
  <si>
    <t>E22</t>
  </si>
  <si>
    <t>Other insurance premiums</t>
  </si>
  <si>
    <t>E23</t>
  </si>
  <si>
    <t>Special facilities</t>
  </si>
  <si>
    <t>E24</t>
  </si>
  <si>
    <t>Catering supplies</t>
  </si>
  <si>
    <t>E25</t>
  </si>
  <si>
    <t>Agency supply teaching staff</t>
  </si>
  <si>
    <t>E26</t>
  </si>
  <si>
    <t>Bought-in professional services - curriculum</t>
  </si>
  <si>
    <t>E27</t>
  </si>
  <si>
    <t>Bought-in professional services - other (except PFI)</t>
  </si>
  <si>
    <t>Bought-in professional services - other (PFI)</t>
  </si>
  <si>
    <t>Loan interest</t>
  </si>
  <si>
    <t>E29</t>
  </si>
  <si>
    <t>Direct revenue financing (rev. contributions to capital)</t>
  </si>
  <si>
    <t>E30</t>
  </si>
  <si>
    <t>TOTAL REVENUE EXPENDITURE</t>
  </si>
  <si>
    <t>Capital Income</t>
  </si>
  <si>
    <t>Capital income</t>
  </si>
  <si>
    <t>Voluntary or private income</t>
  </si>
  <si>
    <t>CI01</t>
  </si>
  <si>
    <t>CI03</t>
  </si>
  <si>
    <t>CI04</t>
  </si>
  <si>
    <t>Acquisition of land and existing buildings</t>
  </si>
  <si>
    <t>New construction conversion and renovation</t>
  </si>
  <si>
    <t>Vehicles, plant, equipment and machinery</t>
  </si>
  <si>
    <t>Capital expenditure</t>
  </si>
  <si>
    <t>CE01</t>
  </si>
  <si>
    <t>CE02</t>
  </si>
  <si>
    <t>CE03</t>
  </si>
  <si>
    <t>CE04</t>
  </si>
  <si>
    <t>Community-focused school funding and/or grants</t>
  </si>
  <si>
    <t>Community-focused school facilities income</t>
  </si>
  <si>
    <t>I16</t>
  </si>
  <si>
    <t>I17</t>
  </si>
  <si>
    <t>Community-focused school staff</t>
  </si>
  <si>
    <t>Community-focused school costs</t>
  </si>
  <si>
    <t>E31</t>
  </si>
  <si>
    <t>E32</t>
  </si>
  <si>
    <t>TOTAL CAPITAL INCOME</t>
  </si>
  <si>
    <t>TOTAL CAPITAL EXPENDITURE</t>
  </si>
  <si>
    <t>Signed</t>
  </si>
  <si>
    <t>Name</t>
  </si>
  <si>
    <t>Position</t>
  </si>
  <si>
    <t>Date</t>
  </si>
  <si>
    <t>Head Teacher</t>
  </si>
  <si>
    <t>DfE Number</t>
  </si>
  <si>
    <t>School Name</t>
  </si>
  <si>
    <t>Phase</t>
  </si>
  <si>
    <t>Reporting Period</t>
  </si>
  <si>
    <t>Year</t>
  </si>
  <si>
    <t>LBB Schools Quarterly Return</t>
  </si>
  <si>
    <t>URN</t>
  </si>
  <si>
    <t>Current LAESTAB</t>
  </si>
  <si>
    <t>Sector</t>
  </si>
  <si>
    <t>Please choose a school</t>
  </si>
  <si>
    <t>BEYA</t>
  </si>
  <si>
    <t>Nursery</t>
  </si>
  <si>
    <t>Moss Hall Nursery</t>
  </si>
  <si>
    <t>Akiva School</t>
  </si>
  <si>
    <t>Primary</t>
  </si>
  <si>
    <t>All Saints' CE Primary School NW2</t>
  </si>
  <si>
    <t>All Saints' CE Primary School, N20</t>
  </si>
  <si>
    <t>Annunciation Catholic Infant School</t>
  </si>
  <si>
    <t>Annunciation Catholic Junior School</t>
  </si>
  <si>
    <t>Barnfield School</t>
  </si>
  <si>
    <t>Beis Yaakov</t>
  </si>
  <si>
    <t>Beit Shvidler Primary School</t>
  </si>
  <si>
    <t>Bell Lane Primary School</t>
  </si>
  <si>
    <t>Blessed Dominic School</t>
  </si>
  <si>
    <t>Brookland Infant  &amp; Nursery School</t>
  </si>
  <si>
    <t>Brookland Junior School</t>
  </si>
  <si>
    <t>Brunswick Park Primary &amp; Nursery School</t>
  </si>
  <si>
    <t>Chalgrove Primary School</t>
  </si>
  <si>
    <t>Christ Church CE Primary School</t>
  </si>
  <si>
    <t>Church Hill Primary School</t>
  </si>
  <si>
    <t>Colindale School</t>
  </si>
  <si>
    <t>Coppetts Wood</t>
  </si>
  <si>
    <t>Courtland School</t>
  </si>
  <si>
    <t>Cromer Road Primary School</t>
  </si>
  <si>
    <t>Danegrove JMI School</t>
  </si>
  <si>
    <t>Deansbrook Infant School</t>
  </si>
  <si>
    <t>Dollis Primary School</t>
  </si>
  <si>
    <t>Edgware Primary School</t>
  </si>
  <si>
    <t>Fairway Primary School</t>
  </si>
  <si>
    <t>Foulds</t>
  </si>
  <si>
    <t>Frith Manor School</t>
  </si>
  <si>
    <t>Garden Suburb Infant School</t>
  </si>
  <si>
    <t>Garden Suburb Junior</t>
  </si>
  <si>
    <t>Goldbeaters Primary School</t>
  </si>
  <si>
    <t>Hasmonean Primary School</t>
  </si>
  <si>
    <t>Hollickwood JMI School</t>
  </si>
  <si>
    <t>Holly Park School</t>
  </si>
  <si>
    <t>Holy Trinity School</t>
  </si>
  <si>
    <t>Livingstone School</t>
  </si>
  <si>
    <t>Manorside Primary School</t>
  </si>
  <si>
    <t>Martin Primary School</t>
  </si>
  <si>
    <t>Mathilda Marks-Kennedy School</t>
  </si>
  <si>
    <t>Menorah Foundation School</t>
  </si>
  <si>
    <t>Menorah Primary School</t>
  </si>
  <si>
    <t>Monken Hadley C E Primary School</t>
  </si>
  <si>
    <t>Monkfrith School</t>
  </si>
  <si>
    <t>Moss Hall Infant School</t>
  </si>
  <si>
    <t>Moss Hall Junior School</t>
  </si>
  <si>
    <t>Northside School</t>
  </si>
  <si>
    <t>Orion Primary School</t>
  </si>
  <si>
    <t>Osidge Primary School</t>
  </si>
  <si>
    <t>Our Lady of Lourdes School</t>
  </si>
  <si>
    <t>Pardes House School</t>
  </si>
  <si>
    <t>Queenswell Junior School</t>
  </si>
  <si>
    <t>Rosh Pinah</t>
  </si>
  <si>
    <t>Sacred Heart School</t>
  </si>
  <si>
    <t>St Agnes RC Primary School</t>
  </si>
  <si>
    <t>St Andrew's C E</t>
  </si>
  <si>
    <t>St John's CE School N11</t>
  </si>
  <si>
    <t>St Joseph's Primary School</t>
  </si>
  <si>
    <t>St Mary's C E Primary School N3</t>
  </si>
  <si>
    <t>St Mary's School EN4</t>
  </si>
  <si>
    <t>St Paul's School, N11</t>
  </si>
  <si>
    <t>St Theresa's R.C. Primary School</t>
  </si>
  <si>
    <t>St Vincent's Catholic Primary School</t>
  </si>
  <si>
    <t>Sunnyfields Primary School</t>
  </si>
  <si>
    <t>Trent  C of E Primary School</t>
  </si>
  <si>
    <t>Tudor School</t>
  </si>
  <si>
    <t>Underhill School</t>
  </si>
  <si>
    <t>Wessex  Gardens Primary School</t>
  </si>
  <si>
    <t>Whitings Hill Primary School</t>
  </si>
  <si>
    <t>Woodcroft Primary School</t>
  </si>
  <si>
    <t>Woodridge  Primary School</t>
  </si>
  <si>
    <t>Northgate</t>
  </si>
  <si>
    <t>PRU</t>
  </si>
  <si>
    <t>Pavilion</t>
  </si>
  <si>
    <t>Secondary</t>
  </si>
  <si>
    <t>Finchley Catholic High School</t>
  </si>
  <si>
    <t>Friern Barnet School</t>
  </si>
  <si>
    <t>JCoSS</t>
  </si>
  <si>
    <t>Menorah High School (Girls)</t>
  </si>
  <si>
    <t>St. James' Catholic High School</t>
  </si>
  <si>
    <t>Special</t>
  </si>
  <si>
    <t>Mapledown</t>
  </si>
  <si>
    <t>Northway</t>
  </si>
  <si>
    <t>Oakleigh</t>
  </si>
  <si>
    <t>All through</t>
  </si>
  <si>
    <t>St Mary's &amp; St John's CE School</t>
  </si>
  <si>
    <t>DFE No:</t>
  </si>
  <si>
    <t>Phase:</t>
  </si>
  <si>
    <t xml:space="preserve">Step 1: </t>
  </si>
  <si>
    <t xml:space="preserve">Step 3: </t>
  </si>
  <si>
    <t>DfE</t>
  </si>
  <si>
    <t>DFE</t>
  </si>
  <si>
    <t>Reserves</t>
  </si>
  <si>
    <t>Period:</t>
  </si>
  <si>
    <t>Period</t>
  </si>
  <si>
    <t>IN YEAR REVENUE ACCOUNTS</t>
  </si>
  <si>
    <t>VARIANCE</t>
  </si>
  <si>
    <t>I01</t>
  </si>
  <si>
    <t>I03</t>
  </si>
  <si>
    <t>I04</t>
  </si>
  <si>
    <t>I05</t>
  </si>
  <si>
    <t>High needs SEN top-up funding</t>
  </si>
  <si>
    <t>E28a</t>
  </si>
  <si>
    <t>E28b</t>
  </si>
  <si>
    <t>OB01</t>
  </si>
  <si>
    <t>OB03</t>
  </si>
  <si>
    <t>OB02</t>
  </si>
  <si>
    <t>REVENUE BALANCES</t>
  </si>
  <si>
    <t>Pupil focused revenue balance brought forward</t>
  </si>
  <si>
    <t>Community focused revenue balance brought forward</t>
  </si>
  <si>
    <t>Balances carried to next year</t>
  </si>
  <si>
    <t>Pupil focused revenue balance carried forwards</t>
  </si>
  <si>
    <t>Community focused revenue balance carried forwards</t>
  </si>
  <si>
    <t>IN YEAR CAPITAL ACCOUNTS</t>
  </si>
  <si>
    <t>All figures should be net of VAT</t>
  </si>
  <si>
    <t>CAPITAL BALANCES</t>
  </si>
  <si>
    <t>IN-YEAR REVENUE MOVEMENT [surplus/(deficit)]</t>
  </si>
  <si>
    <t>IN-YEAR CAPITAL MOVEMENT [surplus/(deficit)]</t>
  </si>
  <si>
    <t>Capital balance carried forwards</t>
  </si>
  <si>
    <t xml:space="preserve">Capital balance brought forwards </t>
  </si>
  <si>
    <t>OB01 + OB02</t>
  </si>
  <si>
    <t>Total revenue balance carried forward</t>
  </si>
  <si>
    <t>Step 5:</t>
  </si>
  <si>
    <t>Pupil focused revenue</t>
  </si>
  <si>
    <t>Community focused revenue</t>
  </si>
  <si>
    <t>Capital balance</t>
  </si>
  <si>
    <t>Budget</t>
  </si>
  <si>
    <t>Cost Centre</t>
  </si>
  <si>
    <t>RBS Number</t>
  </si>
  <si>
    <t>Reporting Date</t>
  </si>
  <si>
    <t>REPORTING DATE</t>
  </si>
  <si>
    <t>I certify that the balances above agree with the balances position as per our School Financial System:</t>
  </si>
  <si>
    <t>I08a</t>
  </si>
  <si>
    <t>Income from letting premises</t>
  </si>
  <si>
    <t>Other income from facilities and services</t>
  </si>
  <si>
    <t>I08b</t>
  </si>
  <si>
    <t>Direct revenue financing (from E30)</t>
  </si>
  <si>
    <t>Cost Centre:</t>
  </si>
  <si>
    <t>Please attach system spend to date report in the relevant sheet</t>
  </si>
  <si>
    <t>St Michael's Catholic Grammar School</t>
  </si>
  <si>
    <t>St Catherine's R C Primary</t>
  </si>
  <si>
    <t>St Paul's CE Primary, NW7</t>
  </si>
  <si>
    <t>St John's CE N20</t>
  </si>
  <si>
    <t>B06</t>
  </si>
  <si>
    <t>B01&amp; B02</t>
  </si>
  <si>
    <t>B01 + B02 + B06</t>
  </si>
  <si>
    <t>B03+B05</t>
  </si>
  <si>
    <t>I18a</t>
  </si>
  <si>
    <t>I18b</t>
  </si>
  <si>
    <t>I18c</t>
  </si>
  <si>
    <t>I18d</t>
  </si>
  <si>
    <t>School</t>
  </si>
  <si>
    <t>Queenswell Federation</t>
  </si>
  <si>
    <t>B01 &amp; B02</t>
  </si>
  <si>
    <t>Shalom Noam Primary School</t>
  </si>
  <si>
    <t>Opening Balances</t>
  </si>
  <si>
    <t>Yes</t>
  </si>
  <si>
    <t>No</t>
  </si>
  <si>
    <t>Year End Balances</t>
  </si>
  <si>
    <t>BANK RECONCILIATION SUMMARY</t>
  </si>
  <si>
    <t>BANK STATEMENT BALANCES AS AT</t>
  </si>
  <si>
    <t>NAT WEST STATEMENT NO:</t>
  </si>
  <si>
    <t>NAT WEST RESERV STATEMENT NO:</t>
  </si>
  <si>
    <t>Sub Total</t>
  </si>
  <si>
    <t>LESS UNPRESENTED CHEQUES</t>
  </si>
  <si>
    <t>PLUS UNPRESENTED INCOME</t>
  </si>
  <si>
    <t>ADJUSTED BANK BALANCE</t>
  </si>
  <si>
    <t>CUMULATIVE INCOME</t>
  </si>
  <si>
    <t>CUMULATIVE EXPENDITURE</t>
  </si>
  <si>
    <t>AGREES WITH ADJUSTED BANK BALANCE</t>
  </si>
  <si>
    <t>Prepared by</t>
  </si>
  <si>
    <t>Authorised by</t>
  </si>
  <si>
    <t>Variance (budget vs final year end balances)</t>
  </si>
  <si>
    <t>Comments</t>
  </si>
  <si>
    <t>[a]</t>
  </si>
  <si>
    <t>[b]</t>
  </si>
  <si>
    <t>[a] + [b]</t>
  </si>
  <si>
    <t>Balance brought forward from previous year</t>
  </si>
  <si>
    <t>Closing Balance</t>
  </si>
  <si>
    <t>Revenue Income</t>
  </si>
  <si>
    <t>Revenue Expenditure</t>
  </si>
  <si>
    <t>Total Cumulative Revenue Balance</t>
  </si>
  <si>
    <t>Total Cumulative Capital Balance</t>
  </si>
  <si>
    <t>Total Surplus/Deficit Balance as at 31/03/2024</t>
  </si>
  <si>
    <t>Mid year virements</t>
  </si>
  <si>
    <t>[c] = [a] + [b]</t>
  </si>
  <si>
    <t>[d]</t>
  </si>
  <si>
    <t>[c] - [d]</t>
  </si>
  <si>
    <t>Total revenue opening balance</t>
  </si>
  <si>
    <t>Funds delegated by the LA</t>
  </si>
  <si>
    <t>Accrual</t>
  </si>
  <si>
    <t>Debtors</t>
  </si>
  <si>
    <t>Payment in advance</t>
  </si>
  <si>
    <t>Payment_in_advance</t>
  </si>
  <si>
    <t>LBB</t>
  </si>
  <si>
    <t>Non LBB</t>
  </si>
  <si>
    <t>LBB or Non LLB</t>
  </si>
  <si>
    <t>Receipts_in_advance</t>
  </si>
  <si>
    <t>Creditor</t>
  </si>
  <si>
    <t>Yes/No</t>
  </si>
  <si>
    <t>Receipts in advance</t>
  </si>
  <si>
    <t>All CFR Codes</t>
  </si>
  <si>
    <t>Total Balance Brought Forward</t>
  </si>
  <si>
    <t>Total in year movement</t>
  </si>
  <si>
    <t>TOTAL YEAREND RESERVES</t>
  </si>
  <si>
    <t>Balance Sheet</t>
  </si>
  <si>
    <t>Q4 - Year End</t>
  </si>
  <si>
    <t>What you need to complete this year end return</t>
  </si>
  <si>
    <t>Should agree with the 31st March System Bank Reconciliation</t>
  </si>
  <si>
    <t>Cells coloured in RED indicates an issue. Please address all before submitting.</t>
  </si>
  <si>
    <t>Bank account 1</t>
  </si>
  <si>
    <t>`</t>
  </si>
  <si>
    <t>Bank account 2</t>
  </si>
  <si>
    <t>Bank account 3</t>
  </si>
  <si>
    <t>Total Current Assets</t>
  </si>
  <si>
    <t>Select Accrual Type  (Please select from the drop down list)</t>
  </si>
  <si>
    <t>Payments in Advance</t>
  </si>
  <si>
    <t>Receipts in Advance</t>
  </si>
  <si>
    <t>Supplier or Customer Name</t>
  </si>
  <si>
    <t>Date Goods/ Services Received</t>
  </si>
  <si>
    <t>Drop down</t>
  </si>
  <si>
    <t>Further information</t>
  </si>
  <si>
    <t>Central Government including DfE or EFA</t>
  </si>
  <si>
    <t>Central Government Departments for example Department of Health, Department of Transport, HMRC, Education Funding Agency/Department for Education</t>
  </si>
  <si>
    <t>Mayor/MOPAC/TFL</t>
  </si>
  <si>
    <t>MOPAC (The Mayor's Office for Policing And Crime), TFL (Transport for London), The Mayor of London.</t>
  </si>
  <si>
    <t>London Borough of Barnet excluding BELS and RE</t>
  </si>
  <si>
    <t>BELS (Barnet Education &amp; Learning Service)/ISS</t>
  </si>
  <si>
    <t>Capita (CSG/Customer Support Group)</t>
  </si>
  <si>
    <t>Regional Enterprise (RE)</t>
  </si>
  <si>
    <t>Local Authorities excluding London Borough of Barnet</t>
  </si>
  <si>
    <t>For example London Borough of Harrow, London Borough of Haringey, London Borough of Enfield, London Borough of Brent, London Borough of Islington, Hertfordshire County Council.  Also include Kent CC (Laser)</t>
  </si>
  <si>
    <t>NHS</t>
  </si>
  <si>
    <t>Such as Department of Health, Chase Farm Hospital</t>
  </si>
  <si>
    <t>Academies</t>
  </si>
  <si>
    <t>Transactions with other schools that are an academy.</t>
  </si>
  <si>
    <t>Other</t>
  </si>
  <si>
    <t>ACCURALS MUST EXCLUDE VAT</t>
  </si>
  <si>
    <t>PREPARER'S EMAIL ADDRESS:</t>
  </si>
  <si>
    <t>PREPARER'S TELEPHONE NUMBER:</t>
  </si>
  <si>
    <t>SCHOOLS ARE ONLY ALLOWED TO ACCRUE FOR AMOUNTS OVER £5K PER INVOICE FOR NON-BARNET SUPPLIERS/CUSTOMERS.</t>
  </si>
  <si>
    <t>There is no minimum accrual where Barnet Council is the supplier/customer</t>
  </si>
  <si>
    <t xml:space="preserve"> If your invoice is under £5k you should not accrue.</t>
  </si>
  <si>
    <t>Bank Balance</t>
  </si>
  <si>
    <t>Assets</t>
  </si>
  <si>
    <t>Net Assets</t>
  </si>
  <si>
    <r>
      <t>Services provided might include: School Meals, School improvement, School admissions, Travel Plans, services for Children with Special Educational Needs.</t>
    </r>
    <r>
      <rPr>
        <b/>
        <sz val="12"/>
        <color rgb="FF000000"/>
        <rFont val="Calibri"/>
        <family val="2"/>
        <scheme val="minor"/>
      </rPr>
      <t xml:space="preserve"> Refer to the traded services document for information of services provided by BELS.</t>
    </r>
  </si>
  <si>
    <r>
      <t xml:space="preserve">Services provided might include: Financial Support Services, Human Resources, Payroll, IT. </t>
    </r>
    <r>
      <rPr>
        <b/>
        <sz val="12"/>
        <color rgb="FF000000"/>
        <rFont val="Calibri"/>
        <family val="2"/>
        <scheme val="minor"/>
      </rPr>
      <t>Refer to the traded services document for information of services provided by Capita/CSG.</t>
    </r>
  </si>
  <si>
    <r>
      <t xml:space="preserve">Planning and Development Management, Building Control, Environmental Health, Trading Standards and Licensing, Highways. </t>
    </r>
    <r>
      <rPr>
        <b/>
        <sz val="12"/>
        <color rgb="FF000000"/>
        <rFont val="Calibri"/>
        <family val="2"/>
        <scheme val="minor"/>
      </rPr>
      <t>Refer to the traded services document for information of services provided by RE.</t>
    </r>
  </si>
  <si>
    <t>Invoice Number / 
Order No.</t>
  </si>
  <si>
    <t>Local Budget Code (Optional)</t>
  </si>
  <si>
    <t>If the school had received a cash advance and not fully repaid the amount, please enter the outstanding cash advance</t>
  </si>
  <si>
    <t>Total Current liabilities</t>
  </si>
  <si>
    <t>Total In year revenue balance</t>
  </si>
  <si>
    <t>Total in year capital balance</t>
  </si>
  <si>
    <t>Total Revenue carry forward</t>
  </si>
  <si>
    <t>Total Capital carry forward</t>
  </si>
  <si>
    <t>Amount excl. VAT (Value (Only include amounts greater than £5,000 for non-Barnet suppliers/customers))</t>
  </si>
  <si>
    <t>All other suppliers/Customers who do not fit in the categories above e.g. parents, utility companies etc.</t>
  </si>
  <si>
    <t>Debtor (Income)</t>
  </si>
  <si>
    <t>Debtor (Expenditure)</t>
  </si>
  <si>
    <t>Select CFR Code
 (Please select from the drop down list)</t>
  </si>
  <si>
    <t>Classification of the debtor/creditor. Who is the debtor or creditor with? 
(Please select from the drop down list)</t>
  </si>
  <si>
    <t>Description of the income/expenditure</t>
  </si>
  <si>
    <t>Actual/Estimate</t>
  </si>
  <si>
    <t>Actual</t>
  </si>
  <si>
    <t>Estimate</t>
  </si>
  <si>
    <t>Is the amount actual or estimated? (Please select from the drop down list)</t>
  </si>
  <si>
    <t>Select your school from the drop down list above</t>
  </si>
  <si>
    <t>Authorised by:
(Please select from the drop down list)</t>
  </si>
  <si>
    <t>Business Manager</t>
  </si>
  <si>
    <t>Headteacher</t>
  </si>
  <si>
    <t>Revenue 
Current Assets</t>
  </si>
  <si>
    <t>Revenue 
Current  Liabilities</t>
  </si>
  <si>
    <t>Previous Template</t>
  </si>
  <si>
    <t>New Template</t>
  </si>
  <si>
    <t>1) Front Sheet</t>
  </si>
  <si>
    <t>No change</t>
  </si>
  <si>
    <t>2) Income &amp; Expenditure</t>
  </si>
  <si>
    <t>2a) YE Income &amp; Expenditure</t>
  </si>
  <si>
    <t>2b) Q4 Budget monitoring report</t>
  </si>
  <si>
    <t>3) Reconciliation</t>
  </si>
  <si>
    <t>3b) List of Accruals</t>
  </si>
  <si>
    <t>4) VAT Reconciliation</t>
  </si>
  <si>
    <t>Same as before</t>
  </si>
  <si>
    <t>5) Central Salary Account Rec</t>
  </si>
  <si>
    <t>Sch. System spend-to-date</t>
  </si>
  <si>
    <t>Unpresented Items</t>
  </si>
  <si>
    <t>Central Account Summary Report</t>
  </si>
  <si>
    <t>Updated</t>
  </si>
  <si>
    <t>Central Account Post - accruals</t>
  </si>
  <si>
    <t>Central Account Pre  - accruals</t>
  </si>
  <si>
    <t>Template Tab</t>
  </si>
  <si>
    <t>New Tab</t>
  </si>
  <si>
    <t>This Tab</t>
  </si>
  <si>
    <t>3a) Reconciliation</t>
  </si>
  <si>
    <t>No Change, 
Updated, New Tab</t>
  </si>
  <si>
    <t xml:space="preserve">LA does not need the schools to fill this template for the yearend. However, if a schools used previous Q4 template to present to their governors they can now use this tab as their budget monitoring report. </t>
  </si>
  <si>
    <t>Lays out step by step instructions on how to complete this template</t>
  </si>
  <si>
    <t>Explanation of the Tabs in this workbook</t>
  </si>
  <si>
    <t>Please paste here the central account after accruals</t>
  </si>
  <si>
    <t>From the Financial System: Paste 31st March bank statement(s)</t>
  </si>
  <si>
    <t>From the Financial System: Paste system bank reconciliation</t>
  </si>
  <si>
    <t>From the Financial System: Paste unpresented items from the system</t>
  </si>
  <si>
    <t xml:space="preserve">Serves the same purpose as before. Please enter the amount in designated cells. </t>
  </si>
  <si>
    <t xml:space="preserve">New sheet to add revenue and capital accruals. Previously this was submitted as a separate template. </t>
  </si>
  <si>
    <t>Please paste here the central account before accruals</t>
  </si>
  <si>
    <t>This is the school's year end CFR report.</t>
  </si>
  <si>
    <t>Capital Current Assets</t>
  </si>
  <si>
    <t>Capital Current Liabilities</t>
  </si>
  <si>
    <t>Money owed to and from the Council (including BELS)</t>
  </si>
  <si>
    <t>Total Surplus/Deficit Balance</t>
  </si>
  <si>
    <t>Cell N19 Tab "3b) List of Accruals"</t>
  </si>
  <si>
    <t>Cell O19 Tab "3b) List of Accruals"</t>
  </si>
  <si>
    <t>% Variance</t>
  </si>
  <si>
    <t>1) Instructions</t>
  </si>
  <si>
    <t>Linked to Tab : 3) Reconciliation</t>
  </si>
  <si>
    <r>
      <t>Go to "</t>
    </r>
    <r>
      <rPr>
        <b/>
        <sz val="11"/>
        <color rgb="FFFF0000"/>
        <rFont val="Calibri"/>
        <family val="2"/>
        <scheme val="minor"/>
      </rPr>
      <t>2a) Income and Expenditure</t>
    </r>
    <r>
      <rPr>
        <sz val="11"/>
        <color rgb="FFFF0000"/>
        <rFont val="Calibri"/>
        <family val="2"/>
        <scheme val="minor"/>
      </rPr>
      <t>"</t>
    </r>
    <r>
      <rPr>
        <sz val="11"/>
        <color theme="1"/>
        <rFont val="Calibri"/>
        <family val="2"/>
        <scheme val="minor"/>
      </rPr>
      <t xml:space="preserve"> tab and fill in the cells shaded in gold (Column D). All figures should be positive and </t>
    </r>
    <r>
      <rPr>
        <u/>
        <sz val="11"/>
        <color theme="1"/>
        <rFont val="Calibri"/>
        <family val="2"/>
        <scheme val="minor"/>
      </rPr>
      <t>before accuals</t>
    </r>
    <r>
      <rPr>
        <sz val="11"/>
        <color theme="1"/>
        <rFont val="Calibri"/>
        <family val="2"/>
        <scheme val="minor"/>
      </rPr>
      <t xml:space="preserve">.
</t>
    </r>
  </si>
  <si>
    <r>
      <t xml:space="preserve">For schools using Arbor/RM - run a summary report of the </t>
    </r>
    <r>
      <rPr>
        <b/>
        <sz val="11"/>
        <color rgb="FFFF0000"/>
        <rFont val="Calibri"/>
        <family val="2"/>
        <scheme val="minor"/>
      </rPr>
      <t>CENTRAL ACCOUNT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>before accruals</t>
    </r>
    <r>
      <rPr>
        <sz val="11"/>
        <color theme="1"/>
        <rFont val="Calibri"/>
        <family val="2"/>
        <scheme val="minor"/>
      </rPr>
      <t xml:space="preserve"> and paste in "</t>
    </r>
    <r>
      <rPr>
        <b/>
        <sz val="11"/>
        <color rgb="FFFF0000"/>
        <rFont val="Calibri"/>
        <family val="2"/>
        <scheme val="minor"/>
      </rPr>
      <t>Central Account Pre Accruals</t>
    </r>
    <r>
      <rPr>
        <sz val="11"/>
        <color theme="1"/>
        <rFont val="Calibri"/>
        <family val="2"/>
        <scheme val="minor"/>
      </rPr>
      <t>"</t>
    </r>
  </si>
  <si>
    <r>
      <t>After posting the accruals listed on the "</t>
    </r>
    <r>
      <rPr>
        <b/>
        <sz val="11"/>
        <color rgb="FFFF0000"/>
        <rFont val="Calibri"/>
        <family val="2"/>
        <scheme val="minor"/>
      </rPr>
      <t>3b) List of Accruals</t>
    </r>
    <r>
      <rPr>
        <sz val="11"/>
        <color theme="1"/>
        <rFont val="Calibri"/>
        <family val="2"/>
        <scheme val="minor"/>
      </rPr>
      <t xml:space="preserve">" tab to the financial system,runs an </t>
    </r>
    <r>
      <rPr>
        <b/>
        <sz val="11"/>
        <color rgb="FFFF0000"/>
        <rFont val="Calibri"/>
        <family val="2"/>
        <scheme val="minor"/>
      </rPr>
      <t>INCOME AND EXPENDITURE /CFR REPORT</t>
    </r>
    <r>
      <rPr>
        <sz val="11"/>
        <color theme="1"/>
        <rFont val="Calibri"/>
        <family val="2"/>
        <scheme val="minor"/>
      </rPr>
      <t xml:space="preserve"> and paste it in the "</t>
    </r>
    <r>
      <rPr>
        <b/>
        <sz val="11"/>
        <color rgb="FFFF0000"/>
        <rFont val="Calibri"/>
        <family val="2"/>
        <scheme val="minor"/>
      </rPr>
      <t>Sch. System spend-to-date</t>
    </r>
    <r>
      <rPr>
        <sz val="11"/>
        <color theme="1"/>
        <rFont val="Calibri"/>
        <family val="2"/>
        <scheme val="minor"/>
      </rPr>
      <t xml:space="preserve">" tab </t>
    </r>
  </si>
  <si>
    <r>
      <t xml:space="preserve">For schools using Arbor/RM - run a summary report of the </t>
    </r>
    <r>
      <rPr>
        <b/>
        <sz val="11"/>
        <color rgb="FFFF0000"/>
        <rFont val="Calibri"/>
        <family val="2"/>
        <scheme val="minor"/>
      </rPr>
      <t>CENTRAL ACCOUNT</t>
    </r>
    <r>
      <rPr>
        <sz val="11"/>
        <color theme="1"/>
        <rFont val="Calibri"/>
        <family val="2"/>
        <scheme val="minor"/>
      </rPr>
      <t xml:space="preserve"> after</t>
    </r>
    <r>
      <rPr>
        <u/>
        <sz val="11"/>
        <color theme="1"/>
        <rFont val="Calibri"/>
        <family val="2"/>
        <scheme val="minor"/>
      </rPr>
      <t xml:space="preserve"> accruals</t>
    </r>
    <r>
      <rPr>
        <sz val="11"/>
        <color theme="1"/>
        <rFont val="Calibri"/>
        <family val="2"/>
        <scheme val="minor"/>
      </rPr>
      <t xml:space="preserve"> and paste in "</t>
    </r>
    <r>
      <rPr>
        <b/>
        <sz val="11"/>
        <color rgb="FFFF0000"/>
        <rFont val="Calibri"/>
        <family val="2"/>
        <scheme val="minor"/>
      </rPr>
      <t>Central Account Post Accruals</t>
    </r>
    <r>
      <rPr>
        <sz val="11"/>
        <color theme="1"/>
        <rFont val="Calibri"/>
        <family val="2"/>
        <scheme val="minor"/>
      </rPr>
      <t>"</t>
    </r>
  </si>
  <si>
    <r>
      <t>Current Assets (</t>
    </r>
    <r>
      <rPr>
        <sz val="12"/>
        <color theme="1"/>
        <rFont val="Calibri"/>
        <family val="2"/>
        <scheme val="minor"/>
      </rPr>
      <t>Please ensure the figures entered below are</t>
    </r>
    <r>
      <rPr>
        <b/>
        <sz val="12"/>
        <color theme="1"/>
        <rFont val="Calibri"/>
        <family val="2"/>
        <scheme val="minor"/>
      </rPr>
      <t xml:space="preserve"> Positive figures)</t>
    </r>
  </si>
  <si>
    <r>
      <t>Current Liabilities (</t>
    </r>
    <r>
      <rPr>
        <sz val="12"/>
        <color theme="1"/>
        <rFont val="Calibri"/>
        <family val="2"/>
        <scheme val="minor"/>
      </rPr>
      <t>Please ensure the figures entered below are</t>
    </r>
    <r>
      <rPr>
        <b/>
        <sz val="12"/>
        <color theme="1"/>
        <rFont val="Calibri"/>
        <family val="2"/>
        <scheme val="minor"/>
      </rPr>
      <t xml:space="preserve"> negative figures)</t>
    </r>
  </si>
  <si>
    <t>31/03/2024 Total bank balance as per the accounting software</t>
  </si>
  <si>
    <r>
      <rPr>
        <b/>
        <sz val="12"/>
        <color theme="1"/>
        <rFont val="Calibri"/>
        <family val="2"/>
        <scheme val="minor"/>
      </rPr>
      <t>Central Account</t>
    </r>
    <r>
      <rPr>
        <sz val="12"/>
        <color theme="1"/>
        <rFont val="Calibri"/>
        <family val="2"/>
        <scheme val="minor"/>
      </rPr>
      <t xml:space="preserve"> before Accruals (Schools using Arbor a.k RM software)
(Enter here if the Central Account is positive)</t>
    </r>
  </si>
  <si>
    <r>
      <rPr>
        <b/>
        <sz val="12"/>
        <color theme="1"/>
        <rFont val="Calibri"/>
        <family val="2"/>
        <scheme val="minor"/>
      </rPr>
      <t>Central Account</t>
    </r>
    <r>
      <rPr>
        <sz val="12"/>
        <color theme="1"/>
        <rFont val="Calibri"/>
        <family val="2"/>
        <scheme val="minor"/>
      </rPr>
      <t xml:space="preserve"> before Accruals (Schools using Arbor a.k RM software)
</t>
    </r>
    <r>
      <rPr>
        <sz val="12"/>
        <color rgb="FFFF0000"/>
        <rFont val="Calibri"/>
        <family val="2"/>
        <scheme val="minor"/>
      </rPr>
      <t>(Enter here if the Central Account is negative)</t>
    </r>
  </si>
  <si>
    <t>Balancing Figure</t>
  </si>
  <si>
    <t>Capital Debtors/Payments in Advance</t>
  </si>
  <si>
    <t>Revenue Debtors/Payments in Advance</t>
  </si>
  <si>
    <r>
      <rPr>
        <b/>
        <sz val="12"/>
        <color theme="1"/>
        <rFont val="Calibri"/>
        <family val="2"/>
        <scheme val="minor"/>
      </rPr>
      <t>Payroll Control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rgb="FFFF0000"/>
        <rFont val="Calibri"/>
        <family val="2"/>
        <scheme val="minor"/>
      </rPr>
      <t xml:space="preserve"> (only to be used by schools with such an account in Arbor/RM system)</t>
    </r>
  </si>
  <si>
    <t>Petty cash</t>
  </si>
  <si>
    <r>
      <rPr>
        <b/>
        <sz val="12"/>
        <color theme="1"/>
        <rFont val="Calibri"/>
        <family val="2"/>
        <scheme val="minor"/>
      </rPr>
      <t>Payroll Control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rgb="FFFF0000"/>
        <rFont val="Calibri"/>
        <family val="2"/>
        <scheme val="minor"/>
      </rPr>
      <t>(only to be used by schools with such an account in Arbor/RM system)</t>
    </r>
  </si>
  <si>
    <t>Revenue Creditors/Receipts in Advance</t>
  </si>
  <si>
    <t>Capital Creditors/Receipts in Advance</t>
  </si>
  <si>
    <r>
      <t xml:space="preserve">Remaining unpaid </t>
    </r>
    <r>
      <rPr>
        <b/>
        <sz val="12"/>
        <color theme="1"/>
        <rFont val="Calibri"/>
        <family val="2"/>
        <scheme val="minor"/>
      </rPr>
      <t>cash advance</t>
    </r>
  </si>
  <si>
    <t>PREPARER NAME:</t>
  </si>
  <si>
    <t xml:space="preserve">AUTHORISER: </t>
  </si>
  <si>
    <r>
      <t xml:space="preserve">Please paste here both income and expenditure/CFR reports </t>
    </r>
    <r>
      <rPr>
        <b/>
        <sz val="24"/>
        <color rgb="FFFF0000"/>
        <rFont val="Calibri"/>
        <family val="2"/>
        <scheme val="minor"/>
      </rPr>
      <t>before accruals</t>
    </r>
    <r>
      <rPr>
        <b/>
        <sz val="24"/>
        <color theme="1"/>
        <rFont val="Calibri"/>
        <family val="2"/>
        <scheme val="minor"/>
      </rPr>
      <t xml:space="preserve"> and the final report </t>
    </r>
    <r>
      <rPr>
        <b/>
        <sz val="24"/>
        <color rgb="FFFF0000"/>
        <rFont val="Calibri"/>
        <family val="2"/>
        <scheme val="minor"/>
      </rPr>
      <t>after accruals</t>
    </r>
    <r>
      <rPr>
        <b/>
        <sz val="24"/>
        <color theme="1"/>
        <rFont val="Calibri"/>
        <family val="2"/>
        <scheme val="minor"/>
      </rPr>
      <t>.</t>
    </r>
  </si>
  <si>
    <r>
      <t>From the Financial System: Please paste here both income and expenditure/CFR</t>
    </r>
    <r>
      <rPr>
        <sz val="14"/>
        <color rgb="FFFF0000"/>
        <rFont val="Calibri"/>
        <family val="2"/>
      </rPr>
      <t xml:space="preserve"> reports before accruals</t>
    </r>
    <r>
      <rPr>
        <sz val="14"/>
        <color rgb="FF000000"/>
        <rFont val="Calibri"/>
        <family val="2"/>
      </rPr>
      <t xml:space="preserve"> and the </t>
    </r>
    <r>
      <rPr>
        <sz val="14"/>
        <color rgb="FFFF0000"/>
        <rFont val="Calibri"/>
        <family val="2"/>
      </rPr>
      <t>final report after accruals</t>
    </r>
    <r>
      <rPr>
        <sz val="14"/>
        <color rgb="FF000000"/>
        <rFont val="Calibri"/>
        <family val="2"/>
      </rPr>
      <t>.</t>
    </r>
  </si>
  <si>
    <t>PLEASE PASTE YOUR UNPRESENTED ITEMS ONTO THE “UNPRESENTED ITEMS” TAB</t>
  </si>
  <si>
    <t>PLEASE PASTE YOUR UNPRESENTED ITEMS ONTO THE “UNPRESENTED ITEMS” TAB.</t>
  </si>
  <si>
    <r>
      <rPr>
        <b/>
        <sz val="12"/>
        <color theme="1"/>
        <rFont val="Calibri"/>
        <family val="2"/>
        <scheme val="minor"/>
      </rPr>
      <t>Less:</t>
    </r>
    <r>
      <rPr>
        <sz val="12"/>
        <color theme="1"/>
        <rFont val="Calibri"/>
        <family val="2"/>
        <scheme val="minor"/>
      </rPr>
      <t xml:space="preserve"> Unpresented cheques (all bank accounts)</t>
    </r>
  </si>
  <si>
    <r>
      <rPr>
        <b/>
        <sz val="12"/>
        <color theme="1"/>
        <rFont val="Calibri"/>
        <family val="2"/>
        <scheme val="minor"/>
      </rPr>
      <t xml:space="preserve">Plus: </t>
    </r>
    <r>
      <rPr>
        <sz val="12"/>
        <color theme="1"/>
        <rFont val="Calibri"/>
        <family val="2"/>
        <scheme val="minor"/>
      </rPr>
      <t xml:space="preserve">Unpresented income (all bank accounts). </t>
    </r>
    <r>
      <rPr>
        <b/>
        <sz val="12"/>
        <color theme="1"/>
        <rFont val="Calibri"/>
        <family val="2"/>
        <scheme val="minor"/>
      </rPr>
      <t>Including VAT</t>
    </r>
  </si>
  <si>
    <t xml:space="preserve">Please only enter as a negative figure if your account is overdrawn.                                                                                                                  </t>
  </si>
  <si>
    <t>Fill in the yellow cells for unpresented cheques (as a negative figure), and unpresented deposits and petty cash (as positive figures). These should all be supported by system reports.</t>
  </si>
  <si>
    <r>
      <t>Go to "</t>
    </r>
    <r>
      <rPr>
        <b/>
        <sz val="11"/>
        <color rgb="FFFF0000"/>
        <rFont val="Calibri"/>
        <family val="2"/>
        <scheme val="minor"/>
      </rPr>
      <t>3b) List of Accruals</t>
    </r>
    <r>
      <rPr>
        <sz val="11"/>
        <color theme="1"/>
        <rFont val="Calibri"/>
        <family val="2"/>
        <scheme val="minor"/>
      </rPr>
      <t xml:space="preserve">" </t>
    </r>
  </si>
  <si>
    <t>Cell L19 Tab "3b) List of Accruals" (please in clude the Payroll liabilites in the "List of Accruals" Tab</t>
  </si>
  <si>
    <t>Cell M19 Tab "3b) List of Accruals"  (please in clude the Payroll liabilites in the "List of Accruals" Tab</t>
  </si>
  <si>
    <t>If the school had received a cash advance and not fully repaid the amount, please enter the outstanding cash advance in cell D35</t>
  </si>
  <si>
    <t>Enter the amount your school has paid on VAT for the current year to date in the yellow cell G12. This should be supported by a system report.</t>
  </si>
  <si>
    <t>Enter how much VAT income your school has received for the current year to date in the yellow cell G13. This should be supported by a system report.</t>
  </si>
  <si>
    <t>Cell E32 calculates the amount of VAT outstanding owed to the school. This figure should be the same as the figure reported in the Bank Reconciliation.</t>
  </si>
  <si>
    <t xml:space="preserve">The spreadsheet shows how much VAT has been reimbursed by the LA in cells E18 - E29, according to our records at the time of publication of the sheet. </t>
  </si>
  <si>
    <t>Please enter figures for VAT received in the yellow cells should you have received VAT payments not already shown.</t>
  </si>
  <si>
    <t>VAT Report for year end</t>
  </si>
  <si>
    <t>VAT Report for the quarter</t>
  </si>
  <si>
    <t>From the Financial System</t>
  </si>
  <si>
    <t xml:space="preserve">Step 2: </t>
  </si>
  <si>
    <t xml:space="preserve">list the debtors and creditors. Follow the guidance stated in the tab to complete it acccurately. </t>
  </si>
  <si>
    <r>
      <t xml:space="preserve">Go to </t>
    </r>
    <r>
      <rPr>
        <b/>
        <sz val="11"/>
        <color rgb="FFFF0000"/>
        <rFont val="Calibri"/>
        <family val="2"/>
        <scheme val="minor"/>
      </rPr>
      <t>3a) Reconciliation tab.</t>
    </r>
  </si>
  <si>
    <t xml:space="preserve">Step 4: </t>
  </si>
  <si>
    <r>
      <t xml:space="preserve">Go to </t>
    </r>
    <r>
      <rPr>
        <b/>
        <sz val="11"/>
        <color rgb="FFFF0000"/>
        <rFont val="Calibri"/>
        <family val="2"/>
        <scheme val="minor"/>
      </rPr>
      <t>4) VAT Reconciliation</t>
    </r>
  </si>
  <si>
    <t>Instructions to completing this template:</t>
  </si>
  <si>
    <t>Central Account Pre Accruals</t>
  </si>
  <si>
    <t>Central Account Post Accrual</t>
  </si>
  <si>
    <t>PLEASE PASTE YOUR VAT REPORTS FOR THE FULL YEAR INTO “VAT REPORT FOR THE YEAR END” TAB.</t>
  </si>
  <si>
    <t>PLEASE ENSURE THAT THE INCOME FROM THE LA AGREES TO THE EXCEL WORKBOOK</t>
  </si>
  <si>
    <r>
      <t xml:space="preserve">Runs an </t>
    </r>
    <r>
      <rPr>
        <b/>
        <sz val="11"/>
        <color rgb="FFFF0000"/>
        <rFont val="Calibri"/>
        <family val="2"/>
        <scheme val="minor"/>
      </rPr>
      <t>INCOME AND EXPENDITURE /CFR REPORT</t>
    </r>
    <r>
      <rPr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after grossing the income and expenditure for dedelegations</t>
    </r>
    <r>
      <rPr>
        <sz val="11"/>
        <color theme="1"/>
        <rFont val="Calibri"/>
        <family val="2"/>
        <scheme val="minor"/>
      </rPr>
      <t xml:space="preserve"> from your financial system (</t>
    </r>
    <r>
      <rPr>
        <b/>
        <sz val="11"/>
        <color theme="1"/>
        <rFont val="Calibri"/>
        <family val="2"/>
        <scheme val="minor"/>
      </rPr>
      <t>before posting any accruals</t>
    </r>
    <r>
      <rPr>
        <sz val="11"/>
        <color theme="1"/>
        <rFont val="Calibri"/>
        <family val="2"/>
        <scheme val="minor"/>
      </rPr>
      <t>) paste in the "</t>
    </r>
    <r>
      <rPr>
        <b/>
        <sz val="11"/>
        <color rgb="FFFF0000"/>
        <rFont val="Calibri"/>
        <family val="2"/>
        <scheme val="minor"/>
      </rPr>
      <t>Sch. System spend-to-date</t>
    </r>
    <r>
      <rPr>
        <sz val="11"/>
        <color theme="1"/>
        <rFont val="Calibri"/>
        <family val="2"/>
        <scheme val="minor"/>
      </rPr>
      <t xml:space="preserve">" tab
</t>
    </r>
  </si>
  <si>
    <t>Variance (Budget vs Final outturn)</t>
  </si>
  <si>
    <t>Outturn Balances</t>
  </si>
  <si>
    <t>Updated Budget</t>
  </si>
  <si>
    <t xml:space="preserve">Enter here the balancing amount that needed to bring cell D55 to nil. </t>
  </si>
  <si>
    <t>2024-25</t>
  </si>
  <si>
    <t>Barnet Maintained Schools' Quarterly Return Template 2024-25</t>
  </si>
  <si>
    <t>1) Year to date 2024-25 finance system reports to 31st March 2025, showing income and expenditure by CFR code and opening balances</t>
  </si>
  <si>
    <t>2) Bank statements for period ended 31st March 2025</t>
  </si>
  <si>
    <t>3) System Bank Reconcilition as at 31st March 2025</t>
  </si>
  <si>
    <t>4) System reports showing unpresented cheques/deposits to 31st March 2025</t>
  </si>
  <si>
    <t>5) System report showing VAT income and expenditure to 31st March 2025</t>
  </si>
  <si>
    <t>6) Data pertaining to central account (income retained &amp; expenditure to 31st March 2025)</t>
  </si>
  <si>
    <t>E20a</t>
  </si>
  <si>
    <t>E20b</t>
  </si>
  <si>
    <t>E20c</t>
  </si>
  <si>
    <t>E20d</t>
  </si>
  <si>
    <t>E20e</t>
  </si>
  <si>
    <t>E20f</t>
  </si>
  <si>
    <t>ICT learning resources- Connectivity</t>
  </si>
  <si>
    <t>ICT learning resources- On Site Servers</t>
  </si>
  <si>
    <t>ICT learning resources- Learning Resources</t>
  </si>
  <si>
    <t>ICT learning resources- Admin Software</t>
  </si>
  <si>
    <t>ICT learning resources- Laptops, Desktops, Tablets</t>
  </si>
  <si>
    <t>ICT learning resources- Other Hardware</t>
  </si>
  <si>
    <t>CE04a</t>
  </si>
  <si>
    <t>CE04b</t>
  </si>
  <si>
    <t>CE04c</t>
  </si>
  <si>
    <t>CE04d</t>
  </si>
  <si>
    <t>CE04e</t>
  </si>
  <si>
    <t>Information and communication technology- Connectivity</t>
  </si>
  <si>
    <t>Information and communication technology- On Site Servers</t>
  </si>
  <si>
    <t>Information and communication technology- Admin, software &amp; systems</t>
  </si>
  <si>
    <t>Information and communication technology- Laptops, desktops, tablets</t>
  </si>
  <si>
    <t>Information and communication technology- Other Hardware</t>
  </si>
  <si>
    <t>Bank balance as per bank statement as at 31/03/2025 (positive figure unless in overdraft)</t>
  </si>
  <si>
    <t xml:space="preserve"> Bank Statement 31 Mar 2025</t>
  </si>
  <si>
    <t>Bank Rec as at 31 Mar 2025</t>
  </si>
  <si>
    <t>Bank Statement 31 Mar 2025</t>
  </si>
  <si>
    <t>Budgets 2024 -25</t>
  </si>
  <si>
    <t>ACCADEMY</t>
  </si>
  <si>
    <t>PRU's</t>
  </si>
  <si>
    <t>All Through</t>
  </si>
  <si>
    <t>CFR</t>
  </si>
  <si>
    <t>Details</t>
  </si>
  <si>
    <t>Akiva</t>
  </si>
  <si>
    <t>All Saints NW2</t>
  </si>
  <si>
    <t>All Saints N20</t>
  </si>
  <si>
    <t>Annunciation Inf</t>
  </si>
  <si>
    <t>Annunciation Jun</t>
  </si>
  <si>
    <t>Barnfield</t>
  </si>
  <si>
    <t>Beit Shvidler</t>
  </si>
  <si>
    <t>Bell Lane</t>
  </si>
  <si>
    <t>Blessed Dominic</t>
  </si>
  <si>
    <t>Brookland Inf</t>
  </si>
  <si>
    <t>Brookland Jun</t>
  </si>
  <si>
    <t>Brunswick Park</t>
  </si>
  <si>
    <t>Chalgrove</t>
  </si>
  <si>
    <t>Christ Church</t>
  </si>
  <si>
    <t>Church Hill</t>
  </si>
  <si>
    <t>Colindale</t>
  </si>
  <si>
    <t>Courtland</t>
  </si>
  <si>
    <t>Cromer Road</t>
  </si>
  <si>
    <t>Danegrove</t>
  </si>
  <si>
    <t>Deansbrook Inf</t>
  </si>
  <si>
    <t>Dollis Primary</t>
  </si>
  <si>
    <t>Edgware Primary</t>
  </si>
  <si>
    <t>Fairway</t>
  </si>
  <si>
    <t>Frith Manor</t>
  </si>
  <si>
    <t>Garden Suburb Inf</t>
  </si>
  <si>
    <t>Garden Suburb Jnr</t>
  </si>
  <si>
    <t>Goldbeaters</t>
  </si>
  <si>
    <t>Hasmonean Primary</t>
  </si>
  <si>
    <t>Hollickwood</t>
  </si>
  <si>
    <t>Holly Park</t>
  </si>
  <si>
    <t>Holy Trinity</t>
  </si>
  <si>
    <t>Livingstone</t>
  </si>
  <si>
    <t>Manorside</t>
  </si>
  <si>
    <t>Martin Primary</t>
  </si>
  <si>
    <t>Mathilda Marks Kennedy</t>
  </si>
  <si>
    <t>Menorah Foundation</t>
  </si>
  <si>
    <t>Menorah Primary</t>
  </si>
  <si>
    <t>Monken Hadley</t>
  </si>
  <si>
    <t>Monkfrith</t>
  </si>
  <si>
    <t>Moss Hall Inf</t>
  </si>
  <si>
    <t>Moss Hall Jun</t>
  </si>
  <si>
    <t>Shalom Noam</t>
  </si>
  <si>
    <t>Northside</t>
  </si>
  <si>
    <t>Orion</t>
  </si>
  <si>
    <t>Osidge</t>
  </si>
  <si>
    <t>Our Lady of Lourdes</t>
  </si>
  <si>
    <t xml:space="preserve">Pardes House </t>
  </si>
  <si>
    <t>Queenswell Inf</t>
  </si>
  <si>
    <t>Queenswell Federated</t>
  </si>
  <si>
    <t>Sacred Heart</t>
  </si>
  <si>
    <t>St Agnes</t>
  </si>
  <si>
    <t>St Andrews</t>
  </si>
  <si>
    <t>St Catherines</t>
  </si>
  <si>
    <t>St Johns N11</t>
  </si>
  <si>
    <t>St Johns N20</t>
  </si>
  <si>
    <t>St Josephs Pri</t>
  </si>
  <si>
    <t>St Marys N3</t>
  </si>
  <si>
    <t>St Marys EN4</t>
  </si>
  <si>
    <t>St Pauls N11</t>
  </si>
  <si>
    <t>St Pauls NW7</t>
  </si>
  <si>
    <t>St Theresas</t>
  </si>
  <si>
    <t>St Vincents</t>
  </si>
  <si>
    <t>Sunnyfields</t>
  </si>
  <si>
    <t>Trent</t>
  </si>
  <si>
    <t>Tudor</t>
  </si>
  <si>
    <t>Underhill</t>
  </si>
  <si>
    <t>Wessex Gardens</t>
  </si>
  <si>
    <t>Whitings Hill</t>
  </si>
  <si>
    <t>Woodcroft Primary</t>
  </si>
  <si>
    <t>Woodridge</t>
  </si>
  <si>
    <t>St Mary's &amp; St Johns</t>
  </si>
  <si>
    <t>Finchley Catholic High</t>
  </si>
  <si>
    <t>Friern Barnet</t>
  </si>
  <si>
    <t>JCOSS</t>
  </si>
  <si>
    <t>Menorah High</t>
  </si>
  <si>
    <t>St James</t>
  </si>
  <si>
    <t>St Michaels</t>
  </si>
  <si>
    <t>Bell Lane CC</t>
  </si>
  <si>
    <t>Coppetts Wood CC</t>
  </si>
  <si>
    <t>Fairway CC</t>
  </si>
  <si>
    <t>Underhill CC</t>
  </si>
  <si>
    <t>Income</t>
  </si>
  <si>
    <t>Funds Delegated by the LA</t>
  </si>
  <si>
    <t>Funding for Sixth Form Students</t>
  </si>
  <si>
    <t>SEN Funding</t>
  </si>
  <si>
    <t>Funding for Minority Ethnic Pupils</t>
  </si>
  <si>
    <t>Pupil Premium</t>
  </si>
  <si>
    <t>Other Government Grants</t>
  </si>
  <si>
    <t>Other Grants and Payments</t>
  </si>
  <si>
    <t>Income from Lettings</t>
  </si>
  <si>
    <t>Income from Catering</t>
  </si>
  <si>
    <t>Supply Teacher Insurance Claims</t>
  </si>
  <si>
    <t>Other Insurance Claims</t>
  </si>
  <si>
    <t>Contributions to Educational Visits</t>
  </si>
  <si>
    <t>Donations and/or Voluntary Funds</t>
  </si>
  <si>
    <t>Pupil Ext Sch Funding and/or Grants</t>
  </si>
  <si>
    <t>Community Focused Funding and/or Grants</t>
  </si>
  <si>
    <t>Community Focused Facilites Income</t>
  </si>
  <si>
    <t>I18A</t>
  </si>
  <si>
    <t>Covid-19 JRS</t>
  </si>
  <si>
    <t>I18B</t>
  </si>
  <si>
    <t>Covid-19 Exceptional Costs</t>
  </si>
  <si>
    <t>I18C</t>
  </si>
  <si>
    <t>Covid-19 Catch-up Premium / DEP</t>
  </si>
  <si>
    <t>I18D</t>
  </si>
  <si>
    <t>Other Additional Grants</t>
  </si>
  <si>
    <t>Total Income Revenue</t>
  </si>
  <si>
    <t>Expenditure</t>
  </si>
  <si>
    <t>Teaching Staff</t>
  </si>
  <si>
    <t>Supply Teaching Staff</t>
  </si>
  <si>
    <t>Education Support Staff</t>
  </si>
  <si>
    <t>Premises Staff</t>
  </si>
  <si>
    <t>Administrative and Clerical Staff</t>
  </si>
  <si>
    <t>Catering Staff</t>
  </si>
  <si>
    <t>Other Staff</t>
  </si>
  <si>
    <t>Indirect Employee Expenses</t>
  </si>
  <si>
    <t>Development and Training</t>
  </si>
  <si>
    <t>Supply Teacher Insurance</t>
  </si>
  <si>
    <t>Other Staff Related Insurance</t>
  </si>
  <si>
    <t>Building Maintenance and Improvement</t>
  </si>
  <si>
    <t>Grounds Maintenance and Improvement</t>
  </si>
  <si>
    <t>Cleaning and Caretaking</t>
  </si>
  <si>
    <t>Water and Sewerage</t>
  </si>
  <si>
    <t>Other Occupation Costs</t>
  </si>
  <si>
    <t>Learning Resources (not ICT)</t>
  </si>
  <si>
    <t>ICT Learning Resources</t>
  </si>
  <si>
    <t>Exam Fees</t>
  </si>
  <si>
    <t>Administrative Supplies</t>
  </si>
  <si>
    <t>Other Insurance Costs</t>
  </si>
  <si>
    <t>Special Facilities</t>
  </si>
  <si>
    <t>Catering Supplies</t>
  </si>
  <si>
    <t>Agency Supply Teaching Staff</t>
  </si>
  <si>
    <t>Bought in Prof Services - Curric</t>
  </si>
  <si>
    <t>Bought in professional services – other (except PFI)</t>
  </si>
  <si>
    <t>Bought in professional services – other (PFI)</t>
  </si>
  <si>
    <t>Loan Interest</t>
  </si>
  <si>
    <t>Revenue Contributions to Capital</t>
  </si>
  <si>
    <t>Community Focused School Staff</t>
  </si>
  <si>
    <t>Community Focused School Costs</t>
  </si>
  <si>
    <t>Total Expenditure Revenue</t>
  </si>
  <si>
    <t>In Year Surplus / (Deficit)</t>
  </si>
  <si>
    <t>Surplus / (Deficit) Brought Fwd</t>
  </si>
  <si>
    <t>Cumulative Surplus / (Deficit) C/Fwd</t>
  </si>
  <si>
    <t>Voluntary or Private income</t>
  </si>
  <si>
    <t>Direct revenue financing (revenue contributions to capital)</t>
  </si>
  <si>
    <t xml:space="preserve">Total Capital Income </t>
  </si>
  <si>
    <t>Capital Expenditure</t>
  </si>
  <si>
    <t>Acquisition of Land and Existing Buildings</t>
  </si>
  <si>
    <t>New Construction Conversion and Renovation</t>
  </si>
  <si>
    <t>Vehicles, Plant, Equipment and Machinery</t>
  </si>
  <si>
    <t>Information and Communication Technology</t>
  </si>
  <si>
    <t xml:space="preserve">Total Capital Expenditure </t>
  </si>
  <si>
    <t>Cap Surplus / (Deficit) Brought Fwd</t>
  </si>
  <si>
    <t>held for future yrs</t>
  </si>
  <si>
    <t>revised contingency</t>
  </si>
  <si>
    <t>RBS Number COST CENTRE 99999</t>
  </si>
  <si>
    <t xml:space="preserve">Opening Revenue Balance </t>
  </si>
  <si>
    <t>Total Revenue Expenditure</t>
  </si>
  <si>
    <t>Inyear Movement</t>
  </si>
  <si>
    <t>Closing revenue balance</t>
  </si>
  <si>
    <t>Total Capital Income</t>
  </si>
  <si>
    <t>Total Capital Expenditure</t>
  </si>
  <si>
    <t>Total Closing Balance</t>
  </si>
  <si>
    <t>GLCode</t>
  </si>
  <si>
    <t xml:space="preserve">Total </t>
  </si>
  <si>
    <t>Information and communication technology</t>
  </si>
  <si>
    <t>2023-24 Outturn</t>
  </si>
  <si>
    <t>2023-24</t>
  </si>
  <si>
    <t>Capital balance 
2023-24</t>
  </si>
  <si>
    <t>Capital balance 2024-25</t>
  </si>
  <si>
    <t>ICT learning resources- IT Support</t>
  </si>
  <si>
    <t>E20g</t>
  </si>
  <si>
    <t>MARCH 2025 SCHOOL FUNDING</t>
  </si>
  <si>
    <t>Payment not yet made in respect of goods or services received by 31st March 2025</t>
  </si>
  <si>
    <t>Income which has not been received and which relates to supplying a good or services received by 31st March 2025</t>
  </si>
  <si>
    <t>Expenditure recharged to other schools which has not been received by 31st March 2025</t>
  </si>
  <si>
    <t>Payment received by 31st March 2025 but relates to the provision of goods and services in 2024/25 and beyond</t>
  </si>
  <si>
    <t>Income received by 31st March 2025 but relates to the provision of goods and services in 2024/25 and beyond</t>
  </si>
  <si>
    <t>Enter your bank account's statement figure as at 31/03/2025 in yellow cells from D14 to D16.</t>
  </si>
  <si>
    <t xml:space="preserve">PLEASE PASTE YOUR BANK STATEMENT ONTO THE “BANK STATEMENT 31 MAR 2025” TAB.                                                                                                                                                                                                                                               </t>
  </si>
  <si>
    <t>PLEASE PASTE THE SYSTEM BANK REC AS AT 31st MARCH 2023 INTO THE “BANK REC AS AT 31 MAR 2025”</t>
  </si>
  <si>
    <t>Barnet School Funding</t>
  </si>
  <si>
    <t>VAT RECONCILIATION STATEMENT</t>
  </si>
  <si>
    <t>Total VAT Reimbursements claimed on expenditure to date (+ figure)</t>
  </si>
  <si>
    <r>
      <t xml:space="preserve">Total VAT payments to be paid on income received to date </t>
    </r>
    <r>
      <rPr>
        <sz val="11"/>
        <color rgb="FFFF0000"/>
        <rFont val="Calibri"/>
        <family val="2"/>
        <scheme val="minor"/>
      </rPr>
      <t>(negative figure)</t>
    </r>
  </si>
  <si>
    <t>NET payments this year
(money actually received by the school)</t>
  </si>
  <si>
    <t>Amount Paid by LA</t>
  </si>
  <si>
    <t>Actual Received by School</t>
  </si>
  <si>
    <t>Variance</t>
  </si>
  <si>
    <t>TOTAL</t>
  </si>
  <si>
    <t>ACTUAL CASH RECEIVED IN BANK BY REPORTING DATE</t>
  </si>
  <si>
    <t>OUTSTANDING REIMBURSEMENTS</t>
  </si>
  <si>
    <t>Current Year : 2024-25</t>
  </si>
  <si>
    <t>Total VAT Claimed to date 2024-25</t>
  </si>
  <si>
    <t>Schools Monthly VAT Returns - 2024/25 - Quarterly Totals</t>
  </si>
  <si>
    <t>DfE No.</t>
  </si>
  <si>
    <t>RBS</t>
  </si>
  <si>
    <t>Qtr 1 Total   £</t>
  </si>
  <si>
    <t>Qtr 2 Total   £</t>
  </si>
  <si>
    <t>Qtr 3 Total   £</t>
  </si>
  <si>
    <t>Qtr 4 Total   £</t>
  </si>
  <si>
    <t>Grand Total   £</t>
  </si>
  <si>
    <t>All Saints' CE School (N20)</t>
  </si>
  <si>
    <t>All Saints' CE School (NW2)</t>
  </si>
  <si>
    <t>Annunciation Infant School</t>
  </si>
  <si>
    <t>Annunciation Junior School</t>
  </si>
  <si>
    <t>Bell Lane School</t>
  </si>
  <si>
    <t>Blessed Dominic RC School</t>
  </si>
  <si>
    <t>Brookland Infant School</t>
  </si>
  <si>
    <t>Brunswick Park School</t>
  </si>
  <si>
    <t>Chalgrove School</t>
  </si>
  <si>
    <t>Christ Church CE School</t>
  </si>
  <si>
    <t>Church Hill School</t>
  </si>
  <si>
    <t>Coppetts Wood School</t>
  </si>
  <si>
    <t>Cromer Road School</t>
  </si>
  <si>
    <t>Danegrove School</t>
  </si>
  <si>
    <t>Fairway School</t>
  </si>
  <si>
    <t>Foulds School</t>
  </si>
  <si>
    <t>Garden Suburb Junior School</t>
  </si>
  <si>
    <t>Goldbeaters School</t>
  </si>
  <si>
    <t>Hollickwood School</t>
  </si>
  <si>
    <t>Holy Trinity CE School</t>
  </si>
  <si>
    <t xml:space="preserve">Manorside School </t>
  </si>
  <si>
    <t>Mathilda Marks Kennedy School</t>
  </si>
  <si>
    <t>Monken Hadley CE School</t>
  </si>
  <si>
    <t>The Orion School</t>
  </si>
  <si>
    <t>Osidge School</t>
  </si>
  <si>
    <t>Our Lady of Lourdes RC School</t>
  </si>
  <si>
    <t>Rosh Pinah School</t>
  </si>
  <si>
    <t>Sacred Heart RC School</t>
  </si>
  <si>
    <t>Shalom Noam Primary</t>
  </si>
  <si>
    <t>St. Agnes' RC School</t>
  </si>
  <si>
    <t>St. Andrew's CE School</t>
  </si>
  <si>
    <t>St. Catherine's RC School</t>
  </si>
  <si>
    <t>St. John's CE School (N11)</t>
  </si>
  <si>
    <t>St. John's CE School (N20)</t>
  </si>
  <si>
    <t>St. Joseph's Primary</t>
  </si>
  <si>
    <t>St. Mary's CE School (EN4)</t>
  </si>
  <si>
    <t>St. Mary's CE School (N3)</t>
  </si>
  <si>
    <t>St Paul's CE School (N11)</t>
  </si>
  <si>
    <t>St Paul's CE School (NW7)</t>
  </si>
  <si>
    <t>St. Theresa's RC School</t>
  </si>
  <si>
    <t>St. Vincent's RC School</t>
  </si>
  <si>
    <t>Sunnyfields School</t>
  </si>
  <si>
    <t>Trent CE School</t>
  </si>
  <si>
    <t>Wessex Gardens School</t>
  </si>
  <si>
    <t>Whitings Hill School</t>
  </si>
  <si>
    <t>Woodridge School</t>
  </si>
  <si>
    <t>Menorah High School</t>
  </si>
  <si>
    <t>St James' Catholic High School</t>
  </si>
  <si>
    <t>St. Michael's Catholic Grammar School</t>
  </si>
  <si>
    <t>St Marys &amp; St Johns Primary (NW4)</t>
  </si>
  <si>
    <t>Mapledown School</t>
  </si>
  <si>
    <t>Northway School</t>
  </si>
  <si>
    <t>Oakleigh School</t>
  </si>
  <si>
    <t>Moss Hall Nursery School</t>
  </si>
  <si>
    <t>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</si>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</sst>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£&quot;#,##0;\-&quot;£&quot;#,##0"/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0;[Red]\(#,##0.00\)"/>
    <numFmt numFmtId="165" formatCode="#,##0;[Red]\(#,##0\)"/>
    <numFmt numFmtId="166" formatCode="#,##0_ ;[Red]\-#,##0\ "/>
    <numFmt numFmtId="167" formatCode="_-[$£-809]* #,##0_-;\-[$£-809]* #,##0_-;_-[$£-809]* &quot;-&quot;??_-;_-@_-"/>
    <numFmt numFmtId="168" formatCode="_(&quot;$&quot;* #,##0.00_);_(&quot;$&quot;* \(#,##0.00\);_(&quot;$&quot;* &quot;-&quot;??_);_(@_)"/>
    <numFmt numFmtId="169" formatCode="_-[$€-2]* #,##0.00_-;\-[$€-2]* #,##0.00_-;_-[$€-2]* &quot;-&quot;??_-"/>
    <numFmt numFmtId="170" formatCode="&quot;£&quot;#,###,"/>
    <numFmt numFmtId="171" formatCode="0.0%"/>
    <numFmt numFmtId="172" formatCode="0.0"/>
    <numFmt numFmtId="173" formatCode="\£#,###,"/>
    <numFmt numFmtId="174" formatCode="&quot;£&quot;#,##0;&quot;£&quot;\-#,##0"/>
    <numFmt numFmtId="175" formatCode="&quot;£&quot;#,##0;[Red]\(&quot;£&quot;#,##0\)"/>
    <numFmt numFmtId="176" formatCode="#,##0.00;\(#,##0.00\)"/>
    <numFmt numFmtId="177" formatCode="@_)"/>
    <numFmt numFmtId="178" formatCode="_-* #,##0_-;\-* #,##0_-;_-* &quot;-&quot;??_-;_-@_-"/>
    <numFmt numFmtId="179" formatCode="#,##0;\(#,##0\)"/>
    <numFmt numFmtId="180" formatCode="dd/mm/yyyy;@"/>
    <numFmt numFmtId="181" formatCode="&quot;£&quot;#,##0.00;[Red]\(&quot;£&quot;#,##0.00\)"/>
    <numFmt numFmtId="182" formatCode="mmmm\-yy"/>
  </numFmts>
  <fonts count="1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9" tint="-0.499984740745262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color indexed="21"/>
      <name val="System"/>
      <family val="2"/>
    </font>
    <font>
      <sz val="9"/>
      <color indexed="18"/>
      <name val="Arial"/>
      <family val="2"/>
    </font>
    <font>
      <b/>
      <sz val="8"/>
      <name val="Arial"/>
      <family val="2"/>
    </font>
    <font>
      <sz val="10"/>
      <color indexed="18"/>
      <name val="System"/>
      <family val="2"/>
    </font>
    <font>
      <i/>
      <sz val="10"/>
      <color indexed="17"/>
      <name val="System"/>
      <family val="2"/>
    </font>
    <font>
      <sz val="10"/>
      <color indexed="14"/>
      <name val="System"/>
      <family val="2"/>
    </font>
    <font>
      <sz val="10"/>
      <color indexed="17"/>
      <name val="System"/>
      <family val="2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CG Times (WN)"/>
    </font>
    <font>
      <sz val="8"/>
      <color indexed="8"/>
      <name val="CG Times (WN)"/>
    </font>
    <font>
      <b/>
      <sz val="10"/>
      <name val="CG Times (WN)"/>
    </font>
    <font>
      <sz val="10"/>
      <name val="CG Times (WN)"/>
      <family val="1"/>
    </font>
    <font>
      <b/>
      <sz val="8"/>
      <color indexed="8"/>
      <name val="CG Times (WN)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color indexed="12"/>
      <name val="Arial"/>
      <family val="2"/>
    </font>
    <font>
      <sz val="10"/>
      <color indexed="8"/>
      <name val="CG Times (WN)"/>
      <family val="1"/>
    </font>
    <font>
      <sz val="8"/>
      <color indexed="8"/>
      <name val="Arial"/>
      <family val="2"/>
    </font>
    <font>
      <sz val="10"/>
      <name val="Helv"/>
      <charset val="204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1"/>
      <name val="Calibri"/>
      <family val="2"/>
    </font>
    <font>
      <sz val="11"/>
      <color indexed="9"/>
      <name val="Arial"/>
      <family val="2"/>
    </font>
    <font>
      <sz val="12"/>
      <color indexed="9"/>
      <name val="Arial"/>
      <family val="2"/>
    </font>
    <font>
      <sz val="11"/>
      <color indexed="20"/>
      <name val="Arial"/>
      <family val="2"/>
    </font>
    <font>
      <sz val="12"/>
      <color indexed="20"/>
      <name val="Arial"/>
      <family val="2"/>
    </font>
    <font>
      <b/>
      <sz val="11"/>
      <color indexed="52"/>
      <name val="Arial"/>
      <family val="2"/>
    </font>
    <font>
      <b/>
      <sz val="12"/>
      <color indexed="52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i/>
      <sz val="11"/>
      <color indexed="23"/>
      <name val="Arial"/>
      <family val="2"/>
    </font>
    <font>
      <i/>
      <sz val="12"/>
      <color indexed="23"/>
      <name val="Arial"/>
      <family val="2"/>
    </font>
    <font>
      <sz val="11"/>
      <color indexed="17"/>
      <name val="Arial"/>
      <family val="2"/>
    </font>
    <font>
      <sz val="12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.6"/>
      <color indexed="12"/>
      <name val="Arial"/>
      <family val="2"/>
    </font>
    <font>
      <sz val="9"/>
      <color indexed="12"/>
      <name val="Arial"/>
      <family val="2"/>
    </font>
    <font>
      <sz val="12"/>
      <color indexed="62"/>
      <name val="Arial"/>
      <family val="2"/>
    </font>
    <font>
      <sz val="11"/>
      <color indexed="52"/>
      <name val="Arial"/>
      <family val="2"/>
    </font>
    <font>
      <sz val="12"/>
      <color indexed="52"/>
      <name val="Arial"/>
      <family val="2"/>
    </font>
    <font>
      <sz val="11"/>
      <color indexed="60"/>
      <name val="Arial"/>
      <family val="2"/>
    </font>
    <font>
      <sz val="12"/>
      <color indexed="60"/>
      <name val="Arial"/>
      <family val="2"/>
    </font>
    <font>
      <sz val="12"/>
      <name val="Helv"/>
    </font>
    <font>
      <b/>
      <sz val="11"/>
      <color indexed="63"/>
      <name val="Arial"/>
      <family val="2"/>
    </font>
    <font>
      <b/>
      <sz val="12"/>
      <color indexed="63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20"/>
      <color indexed="12"/>
      <name val="Times New Roman"/>
      <family val="1"/>
    </font>
    <font>
      <sz val="11"/>
      <color indexed="10"/>
      <name val="Arial"/>
      <family val="2"/>
    </font>
    <font>
      <sz val="12"/>
      <color indexed="10"/>
      <name val="Arial"/>
      <family val="2"/>
    </font>
    <font>
      <sz val="9"/>
      <color indexed="8"/>
      <name val="Arial"/>
      <family val="2"/>
    </font>
    <font>
      <b/>
      <sz val="10"/>
      <color indexed="21"/>
      <name val="Arial"/>
      <family val="2"/>
    </font>
    <font>
      <sz val="9"/>
      <name val="Times New Roman"/>
      <family val="1"/>
    </font>
    <font>
      <b/>
      <sz val="10"/>
      <color indexed="17"/>
      <name val="Arial"/>
      <family val="2"/>
    </font>
    <font>
      <sz val="9"/>
      <color indexed="12"/>
      <name val="Times New Roman"/>
      <family val="1"/>
    </font>
    <font>
      <sz val="10"/>
      <color indexed="12"/>
      <name val="Arial"/>
      <family val="2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8"/>
      <name val="Cambria"/>
      <family val="1"/>
    </font>
    <font>
      <b/>
      <sz val="9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sz val="10"/>
      <color rgb="FF000000"/>
      <name val="Tahoma"/>
      <family val="2"/>
    </font>
    <font>
      <sz val="8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9.75"/>
      <color rgb="FF000000"/>
      <name val="Segoe UI"/>
      <family val="2"/>
    </font>
    <font>
      <sz val="9.75"/>
      <color rgb="FF000000"/>
      <name val="Segoe UI"/>
      <family val="2"/>
    </font>
    <font>
      <sz val="11"/>
      <color rgb="FF0070C0"/>
      <name val="Calibri"/>
      <family val="2"/>
      <scheme val="minor"/>
    </font>
    <font>
      <sz val="9.75"/>
      <color rgb="FF0070C0"/>
      <name val="Segoe UI"/>
      <family val="2"/>
    </font>
    <font>
      <b/>
      <u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i/>
      <sz val="12"/>
      <color rgb="FFFF0000"/>
      <name val="Calibri"/>
      <family val="2"/>
      <scheme val="minor"/>
    </font>
    <font>
      <b/>
      <i/>
      <sz val="12"/>
      <name val="Calibri"/>
      <family val="2"/>
    </font>
    <font>
      <b/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2"/>
      <color theme="1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12"/>
      <name val="Calibri"/>
      <family val="2"/>
      <scheme val="minor"/>
    </font>
    <font>
      <u/>
      <sz val="12"/>
      <color theme="10"/>
      <name val="Arial"/>
      <family val="2"/>
    </font>
    <font>
      <b/>
      <sz val="11"/>
      <color theme="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4"/>
      <color rgb="FFFFFFFF"/>
      <name val="Calibri"/>
      <family val="2"/>
    </font>
    <font>
      <sz val="14"/>
      <color rgb="FF000000"/>
      <name val="Calibri"/>
      <family val="2"/>
    </font>
    <font>
      <sz val="14"/>
      <color rgb="FFFF0000"/>
      <name val="Calibri"/>
      <family val="2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1"/>
      <color indexed="12"/>
      <name val="Arial"/>
      <family val="2"/>
    </font>
    <font>
      <b/>
      <sz val="10"/>
      <color rgb="FF0000CC"/>
      <name val="Verdana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1"/>
      <name val="Aptos"/>
      <family val="2"/>
    </font>
    <font>
      <b/>
      <sz val="20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8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1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indexed="2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CC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medium">
        <color indexed="3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6" fillId="0" borderId="0"/>
    <xf numFmtId="0" fontId="3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" fillId="0" borderId="0" applyNumberFormat="0" applyFill="0" applyBorder="0" applyAlignment="0" applyProtection="0">
      <protection locked="0"/>
    </xf>
    <xf numFmtId="1" fontId="19" fillId="0" borderId="0" applyNumberFormat="0" applyFill="0" applyBorder="0" applyAlignment="0" applyProtection="0"/>
    <xf numFmtId="0" fontId="20" fillId="0" borderId="0">
      <alignment horizontal="center" vertical="center" wrapText="1"/>
    </xf>
    <xf numFmtId="0" fontId="2" fillId="0" borderId="20">
      <alignment horizontal="center" vertical="center" wrapText="1"/>
    </xf>
    <xf numFmtId="0" fontId="20" fillId="0" borderId="0">
      <alignment horizontal="left" wrapText="1"/>
    </xf>
    <xf numFmtId="1" fontId="21" fillId="0" borderId="0" applyNumberFormat="0" applyFill="0" applyBorder="0" applyAlignment="0" applyProtection="0"/>
    <xf numFmtId="0" fontId="2" fillId="0" borderId="0">
      <alignment horizontal="left" vertical="center"/>
    </xf>
    <xf numFmtId="0" fontId="2" fillId="0" borderId="0">
      <alignment horizontal="center" vertical="center"/>
    </xf>
    <xf numFmtId="10" fontId="22" fillId="0" borderId="23" applyFill="0" applyAlignment="0" applyProtection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1" fillId="0" borderId="0"/>
    <xf numFmtId="0" fontId="17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" fontId="2" fillId="0" borderId="0">
      <alignment horizontal="right"/>
    </xf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1" fontId="23" fillId="0" borderId="24" applyNumberFormat="0" applyFill="0" applyBorder="0" applyAlignment="0" applyProtection="0"/>
    <xf numFmtId="0" fontId="2" fillId="0" borderId="10" applyBorder="0">
      <alignment horizontal="right"/>
    </xf>
    <xf numFmtId="168" fontId="3" fillId="0" borderId="0"/>
    <xf numFmtId="168" fontId="3" fillId="0" borderId="0"/>
    <xf numFmtId="168" fontId="3" fillId="0" borderId="0"/>
    <xf numFmtId="0" fontId="1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26" applyBorder="0">
      <alignment horizontal="right"/>
    </xf>
    <xf numFmtId="0" fontId="3" fillId="0" borderId="0"/>
    <xf numFmtId="0" fontId="3" fillId="0" borderId="0"/>
    <xf numFmtId="0" fontId="1" fillId="0" borderId="0"/>
    <xf numFmtId="0" fontId="1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3" fillId="0" borderId="0"/>
    <xf numFmtId="0" fontId="37" fillId="13" borderId="0" applyNumberFormat="0" applyBorder="0" applyAlignment="0" applyProtection="0"/>
    <xf numFmtId="0" fontId="62" fillId="13" borderId="0" applyNumberFormat="0" applyBorder="0" applyAlignment="0" applyProtection="0"/>
    <xf numFmtId="0" fontId="63" fillId="13" borderId="0" applyNumberFormat="0" applyBorder="0" applyAlignment="0" applyProtection="0"/>
    <xf numFmtId="0" fontId="37" fillId="14" borderId="0" applyNumberFormat="0" applyBorder="0" applyAlignment="0" applyProtection="0"/>
    <xf numFmtId="0" fontId="62" fillId="14" borderId="0" applyNumberFormat="0" applyBorder="0" applyAlignment="0" applyProtection="0"/>
    <xf numFmtId="0" fontId="63" fillId="14" borderId="0" applyNumberFormat="0" applyBorder="0" applyAlignment="0" applyProtection="0"/>
    <xf numFmtId="0" fontId="37" fillId="15" borderId="0" applyNumberFormat="0" applyBorder="0" applyAlignment="0" applyProtection="0"/>
    <xf numFmtId="0" fontId="62" fillId="15" borderId="0" applyNumberFormat="0" applyBorder="0" applyAlignment="0" applyProtection="0"/>
    <xf numFmtId="0" fontId="63" fillId="15" borderId="0" applyNumberFormat="0" applyBorder="0" applyAlignment="0" applyProtection="0"/>
    <xf numFmtId="0" fontId="37" fillId="16" borderId="0" applyNumberFormat="0" applyBorder="0" applyAlignment="0" applyProtection="0"/>
    <xf numFmtId="0" fontId="62" fillId="16" borderId="0" applyNumberFormat="0" applyBorder="0" applyAlignment="0" applyProtection="0"/>
    <xf numFmtId="0" fontId="63" fillId="16" borderId="0" applyNumberFormat="0" applyBorder="0" applyAlignment="0" applyProtection="0"/>
    <xf numFmtId="0" fontId="37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7" borderId="0" applyNumberFormat="0" applyBorder="0" applyAlignment="0" applyProtection="0"/>
    <xf numFmtId="0" fontId="37" fillId="18" borderId="0" applyNumberFormat="0" applyBorder="0" applyAlignment="0" applyProtection="0"/>
    <xf numFmtId="0" fontId="62" fillId="18" borderId="0" applyNumberFormat="0" applyBorder="0" applyAlignment="0" applyProtection="0"/>
    <xf numFmtId="0" fontId="63" fillId="18" borderId="0" applyNumberFormat="0" applyBorder="0" applyAlignment="0" applyProtection="0"/>
    <xf numFmtId="0" fontId="37" fillId="19" borderId="0" applyNumberFormat="0" applyBorder="0" applyAlignment="0" applyProtection="0"/>
    <xf numFmtId="0" fontId="62" fillId="19" borderId="0" applyNumberFormat="0" applyBorder="0" applyAlignment="0" applyProtection="0"/>
    <xf numFmtId="0" fontId="63" fillId="19" borderId="0" applyNumberFormat="0" applyBorder="0" applyAlignment="0" applyProtection="0"/>
    <xf numFmtId="0" fontId="37" fillId="20" borderId="0" applyNumberFormat="0" applyBorder="0" applyAlignment="0" applyProtection="0"/>
    <xf numFmtId="0" fontId="62" fillId="20" borderId="0" applyNumberFormat="0" applyBorder="0" applyAlignment="0" applyProtection="0"/>
    <xf numFmtId="0" fontId="63" fillId="20" borderId="0" applyNumberFormat="0" applyBorder="0" applyAlignment="0" applyProtection="0"/>
    <xf numFmtId="0" fontId="37" fillId="21" borderId="0" applyNumberFormat="0" applyBorder="0" applyAlignment="0" applyProtection="0"/>
    <xf numFmtId="0" fontId="62" fillId="21" borderId="0" applyNumberFormat="0" applyBorder="0" applyAlignment="0" applyProtection="0"/>
    <xf numFmtId="0" fontId="63" fillId="21" borderId="0" applyNumberFormat="0" applyBorder="0" applyAlignment="0" applyProtection="0"/>
    <xf numFmtId="0" fontId="37" fillId="16" borderId="0" applyNumberFormat="0" applyBorder="0" applyAlignment="0" applyProtection="0"/>
    <xf numFmtId="0" fontId="62" fillId="16" borderId="0" applyNumberFormat="0" applyBorder="0" applyAlignment="0" applyProtection="0"/>
    <xf numFmtId="0" fontId="63" fillId="16" borderId="0" applyNumberFormat="0" applyBorder="0" applyAlignment="0" applyProtection="0"/>
    <xf numFmtId="0" fontId="37" fillId="19" borderId="0" applyNumberFormat="0" applyBorder="0" applyAlignment="0" applyProtection="0"/>
    <xf numFmtId="0" fontId="62" fillId="19" borderId="0" applyNumberFormat="0" applyBorder="0" applyAlignment="0" applyProtection="0"/>
    <xf numFmtId="0" fontId="63" fillId="19" borderId="0" applyNumberFormat="0" applyBorder="0" applyAlignment="0" applyProtection="0"/>
    <xf numFmtId="0" fontId="37" fillId="22" borderId="0" applyNumberFormat="0" applyBorder="0" applyAlignment="0" applyProtection="0"/>
    <xf numFmtId="0" fontId="62" fillId="22" borderId="0" applyNumberFormat="0" applyBorder="0" applyAlignment="0" applyProtection="0"/>
    <xf numFmtId="0" fontId="63" fillId="22" borderId="0" applyNumberFormat="0" applyBorder="0" applyAlignment="0" applyProtection="0"/>
    <xf numFmtId="0" fontId="38" fillId="23" borderId="0" applyNumberFormat="0" applyBorder="0" applyAlignment="0" applyProtection="0"/>
    <xf numFmtId="0" fontId="65" fillId="23" borderId="0" applyNumberFormat="0" applyBorder="0" applyAlignment="0" applyProtection="0"/>
    <xf numFmtId="0" fontId="66" fillId="23" borderId="0" applyNumberFormat="0" applyBorder="0" applyAlignment="0" applyProtection="0"/>
    <xf numFmtId="0" fontId="38" fillId="20" borderId="0" applyNumberFormat="0" applyBorder="0" applyAlignment="0" applyProtection="0"/>
    <xf numFmtId="0" fontId="65" fillId="20" borderId="0" applyNumberFormat="0" applyBorder="0" applyAlignment="0" applyProtection="0"/>
    <xf numFmtId="0" fontId="66" fillId="20" borderId="0" applyNumberFormat="0" applyBorder="0" applyAlignment="0" applyProtection="0"/>
    <xf numFmtId="0" fontId="38" fillId="21" borderId="0" applyNumberFormat="0" applyBorder="0" applyAlignment="0" applyProtection="0"/>
    <xf numFmtId="0" fontId="65" fillId="21" borderId="0" applyNumberFormat="0" applyBorder="0" applyAlignment="0" applyProtection="0"/>
    <xf numFmtId="0" fontId="66" fillId="21" borderId="0" applyNumberFormat="0" applyBorder="0" applyAlignment="0" applyProtection="0"/>
    <xf numFmtId="0" fontId="38" fillId="24" borderId="0" applyNumberFormat="0" applyBorder="0" applyAlignment="0" applyProtection="0"/>
    <xf numFmtId="0" fontId="65" fillId="24" borderId="0" applyNumberFormat="0" applyBorder="0" applyAlignment="0" applyProtection="0"/>
    <xf numFmtId="0" fontId="66" fillId="24" borderId="0" applyNumberFormat="0" applyBorder="0" applyAlignment="0" applyProtection="0"/>
    <xf numFmtId="0" fontId="38" fillId="25" borderId="0" applyNumberFormat="0" applyBorder="0" applyAlignment="0" applyProtection="0"/>
    <xf numFmtId="0" fontId="65" fillId="25" borderId="0" applyNumberFormat="0" applyBorder="0" applyAlignment="0" applyProtection="0"/>
    <xf numFmtId="0" fontId="66" fillId="25" borderId="0" applyNumberFormat="0" applyBorder="0" applyAlignment="0" applyProtection="0"/>
    <xf numFmtId="0" fontId="38" fillId="26" borderId="0" applyNumberFormat="0" applyBorder="0" applyAlignment="0" applyProtection="0"/>
    <xf numFmtId="0" fontId="65" fillId="26" borderId="0" applyNumberFormat="0" applyBorder="0" applyAlignment="0" applyProtection="0"/>
    <xf numFmtId="0" fontId="66" fillId="26" borderId="0" applyNumberFormat="0" applyBorder="0" applyAlignment="0" applyProtection="0"/>
    <xf numFmtId="0" fontId="38" fillId="27" borderId="0" applyNumberFormat="0" applyBorder="0" applyAlignment="0" applyProtection="0"/>
    <xf numFmtId="0" fontId="65" fillId="27" borderId="0" applyNumberFormat="0" applyBorder="0" applyAlignment="0" applyProtection="0"/>
    <xf numFmtId="0" fontId="66" fillId="27" borderId="0" applyNumberFormat="0" applyBorder="0" applyAlignment="0" applyProtection="0"/>
    <xf numFmtId="0" fontId="38" fillId="28" borderId="0" applyNumberFormat="0" applyBorder="0" applyAlignment="0" applyProtection="0"/>
    <xf numFmtId="0" fontId="65" fillId="28" borderId="0" applyNumberFormat="0" applyBorder="0" applyAlignment="0" applyProtection="0"/>
    <xf numFmtId="0" fontId="66" fillId="28" borderId="0" applyNumberFormat="0" applyBorder="0" applyAlignment="0" applyProtection="0"/>
    <xf numFmtId="0" fontId="38" fillId="29" borderId="0" applyNumberFormat="0" applyBorder="0" applyAlignment="0" applyProtection="0"/>
    <xf numFmtId="0" fontId="65" fillId="29" borderId="0" applyNumberFormat="0" applyBorder="0" applyAlignment="0" applyProtection="0"/>
    <xf numFmtId="0" fontId="66" fillId="29" borderId="0" applyNumberFormat="0" applyBorder="0" applyAlignment="0" applyProtection="0"/>
    <xf numFmtId="0" fontId="38" fillId="24" borderId="0" applyNumberFormat="0" applyBorder="0" applyAlignment="0" applyProtection="0"/>
    <xf numFmtId="0" fontId="65" fillId="24" borderId="0" applyNumberFormat="0" applyBorder="0" applyAlignment="0" applyProtection="0"/>
    <xf numFmtId="0" fontId="66" fillId="24" borderId="0" applyNumberFormat="0" applyBorder="0" applyAlignment="0" applyProtection="0"/>
    <xf numFmtId="0" fontId="38" fillId="25" borderId="0" applyNumberFormat="0" applyBorder="0" applyAlignment="0" applyProtection="0"/>
    <xf numFmtId="0" fontId="65" fillId="25" borderId="0" applyNumberFormat="0" applyBorder="0" applyAlignment="0" applyProtection="0"/>
    <xf numFmtId="0" fontId="66" fillId="25" borderId="0" applyNumberFormat="0" applyBorder="0" applyAlignment="0" applyProtection="0"/>
    <xf numFmtId="0" fontId="38" fillId="30" borderId="0" applyNumberFormat="0" applyBorder="0" applyAlignment="0" applyProtection="0"/>
    <xf numFmtId="0" fontId="65" fillId="30" borderId="0" applyNumberFormat="0" applyBorder="0" applyAlignment="0" applyProtection="0"/>
    <xf numFmtId="0" fontId="66" fillId="30" borderId="0" applyNumberFormat="0" applyBorder="0" applyAlignment="0" applyProtection="0"/>
    <xf numFmtId="41" fontId="3" fillId="0" borderId="0"/>
    <xf numFmtId="0" fontId="39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4" borderId="0" applyNumberFormat="0" applyBorder="0" applyAlignment="0" applyProtection="0"/>
    <xf numFmtId="3" fontId="3" fillId="0" borderId="0"/>
    <xf numFmtId="3" fontId="3" fillId="0" borderId="31" applyNumberFormat="0">
      <alignment vertical="center"/>
    </xf>
    <xf numFmtId="0" fontId="40" fillId="31" borderId="32" applyNumberFormat="0" applyAlignment="0" applyProtection="0"/>
    <xf numFmtId="0" fontId="69" fillId="31" borderId="32" applyNumberFormat="0" applyAlignment="0" applyProtection="0"/>
    <xf numFmtId="0" fontId="70" fillId="31" borderId="32" applyNumberFormat="0" applyAlignment="0" applyProtection="0"/>
    <xf numFmtId="0" fontId="4" fillId="0" borderId="0" applyNumberFormat="0" applyFont="0" applyFill="0" applyBorder="0" applyProtection="0">
      <alignment horizontal="centerContinuous" wrapText="1"/>
    </xf>
    <xf numFmtId="0" fontId="41" fillId="32" borderId="33" applyNumberFormat="0" applyAlignment="0" applyProtection="0"/>
    <xf numFmtId="0" fontId="71" fillId="32" borderId="33" applyNumberFormat="0" applyAlignment="0" applyProtection="0"/>
    <xf numFmtId="0" fontId="72" fillId="32" borderId="33" applyNumberFormat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32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95" fillId="33" borderId="26" applyAlignment="0">
      <alignment horizontal="right"/>
      <protection locked="0"/>
    </xf>
    <xf numFmtId="172" fontId="96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3" fillId="0" borderId="0" applyFill="0" applyBorder="0" applyAlignment="0" applyProtection="0"/>
    <xf numFmtId="0" fontId="58" fillId="34" borderId="0">
      <alignment horizontal="right"/>
      <protection locked="0"/>
    </xf>
    <xf numFmtId="0" fontId="4" fillId="0" borderId="0"/>
    <xf numFmtId="0" fontId="97" fillId="0" borderId="0">
      <alignment horizontal="left"/>
    </xf>
    <xf numFmtId="172" fontId="98" fillId="0" borderId="0" applyNumberFormat="0" applyFill="0" applyBorder="0" applyAlignment="0" applyProtection="0"/>
    <xf numFmtId="0" fontId="91" fillId="35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169" fontId="36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2" fontId="58" fillId="34" borderId="0">
      <alignment horizontal="right"/>
      <protection locked="0"/>
    </xf>
    <xf numFmtId="0" fontId="99" fillId="0" borderId="0">
      <alignment horizontal="center" vertical="center" wrapText="1"/>
    </xf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3" fillId="15" borderId="0" applyNumberFormat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4" fillId="0" borderId="0">
      <alignment horizontal="right" vertical="top"/>
    </xf>
    <xf numFmtId="0" fontId="2" fillId="0" borderId="30">
      <alignment horizontal="center" vertical="center" wrapText="1"/>
    </xf>
    <xf numFmtId="0" fontId="44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45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46" fillId="0" borderId="36" applyNumberFormat="0" applyFill="0" applyAlignment="0" applyProtection="0"/>
    <xf numFmtId="0" fontId="79" fillId="0" borderId="36" applyNumberFormat="0" applyFill="0" applyAlignment="0" applyProtection="0"/>
    <xf numFmtId="0" fontId="79" fillId="0" borderId="36" applyNumberFormat="0" applyFill="0" applyAlignment="0" applyProtection="0"/>
    <xf numFmtId="0" fontId="4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47" fillId="18" borderId="32" applyNumberFormat="0" applyAlignment="0" applyProtection="0"/>
    <xf numFmtId="1" fontId="81" fillId="37" borderId="0" applyNumberFormat="0" applyFill="0" applyBorder="0" applyAlignment="0" applyProtection="0"/>
    <xf numFmtId="0" fontId="82" fillId="18" borderId="32" applyNumberFormat="0" applyAlignment="0" applyProtection="0"/>
    <xf numFmtId="0" fontId="82" fillId="18" borderId="32" applyNumberFormat="0" applyAlignment="0" applyProtection="0"/>
    <xf numFmtId="0" fontId="82" fillId="18" borderId="32" applyNumberFormat="0" applyAlignment="0" applyProtection="0"/>
    <xf numFmtId="3" fontId="100" fillId="5" borderId="0">
      <protection locked="0"/>
    </xf>
    <xf numFmtId="4" fontId="100" fillId="5" borderId="0">
      <protection locked="0"/>
    </xf>
    <xf numFmtId="0" fontId="48" fillId="0" borderId="37" applyNumberFormat="0" applyFill="0" applyAlignment="0" applyProtection="0"/>
    <xf numFmtId="0" fontId="83" fillId="0" borderId="37" applyNumberFormat="0" applyFill="0" applyAlignment="0" applyProtection="0"/>
    <xf numFmtId="0" fontId="84" fillId="0" borderId="37" applyNumberFormat="0" applyFill="0" applyAlignment="0" applyProtection="0"/>
    <xf numFmtId="10" fontId="22" fillId="0" borderId="38" applyFill="0" applyAlignment="0" applyProtection="0">
      <protection locked="0"/>
    </xf>
    <xf numFmtId="0" fontId="49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43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63" fillId="0" borderId="0"/>
    <xf numFmtId="0" fontId="16" fillId="0" borderId="0"/>
    <xf numFmtId="0" fontId="3" fillId="0" borderId="0"/>
    <xf numFmtId="0" fontId="3" fillId="0" borderId="0"/>
    <xf numFmtId="0" fontId="63" fillId="0" borderId="0"/>
    <xf numFmtId="0" fontId="63" fillId="0" borderId="0"/>
    <xf numFmtId="41" fontId="3" fillId="0" borderId="0">
      <alignment vertical="top"/>
    </xf>
    <xf numFmtId="0" fontId="63" fillId="0" borderId="0"/>
    <xf numFmtId="41" fontId="3" fillId="0" borderId="0">
      <alignment vertical="top"/>
    </xf>
    <xf numFmtId="41" fontId="3" fillId="0" borderId="0">
      <alignment vertical="top"/>
    </xf>
    <xf numFmtId="0" fontId="3" fillId="0" borderId="0"/>
    <xf numFmtId="0" fontId="3" fillId="0" borderId="0"/>
    <xf numFmtId="0" fontId="37" fillId="0" borderId="0"/>
    <xf numFmtId="0" fontId="63" fillId="0" borderId="0"/>
    <xf numFmtId="0" fontId="63" fillId="0" borderId="0"/>
    <xf numFmtId="0" fontId="3" fillId="0" borderId="0"/>
    <xf numFmtId="0" fontId="63" fillId="0" borderId="0"/>
    <xf numFmtId="0" fontId="3" fillId="0" borderId="0"/>
    <xf numFmtId="0" fontId="37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0" fillId="0" borderId="0"/>
    <xf numFmtId="0" fontId="3" fillId="0" borderId="0"/>
    <xf numFmtId="0" fontId="60" fillId="0" borderId="0"/>
    <xf numFmtId="37" fontId="16" fillId="0" borderId="0"/>
    <xf numFmtId="0" fontId="60" fillId="0" borderId="0"/>
    <xf numFmtId="0" fontId="3" fillId="0" borderId="0"/>
    <xf numFmtId="0" fontId="37" fillId="0" borderId="0"/>
    <xf numFmtId="0" fontId="37" fillId="0" borderId="0"/>
    <xf numFmtId="0" fontId="16" fillId="0" borderId="0"/>
    <xf numFmtId="0" fontId="60" fillId="0" borderId="0"/>
    <xf numFmtId="0" fontId="37" fillId="0" borderId="0"/>
    <xf numFmtId="0" fontId="63" fillId="0" borderId="0"/>
    <xf numFmtId="0" fontId="3" fillId="0" borderId="0"/>
    <xf numFmtId="0" fontId="3" fillId="0" borderId="0"/>
    <xf numFmtId="0" fontId="64" fillId="0" borderId="0"/>
    <xf numFmtId="0" fontId="2" fillId="0" borderId="0"/>
    <xf numFmtId="0" fontId="1" fillId="0" borderId="0"/>
    <xf numFmtId="0" fontId="1" fillId="0" borderId="0"/>
    <xf numFmtId="0" fontId="16" fillId="0" borderId="0"/>
    <xf numFmtId="0" fontId="63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63" fillId="0" borderId="0"/>
    <xf numFmtId="0" fontId="63" fillId="0" borderId="0"/>
    <xf numFmtId="0" fontId="63" fillId="0" borderId="0"/>
    <xf numFmtId="0" fontId="3" fillId="0" borderId="0"/>
    <xf numFmtId="0" fontId="1" fillId="0" borderId="0"/>
    <xf numFmtId="0" fontId="1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60" fillId="0" borderId="0"/>
    <xf numFmtId="0" fontId="37" fillId="0" borderId="0"/>
    <xf numFmtId="0" fontId="37" fillId="0" borderId="0"/>
    <xf numFmtId="0" fontId="37" fillId="0" borderId="0"/>
    <xf numFmtId="0" fontId="63" fillId="0" borderId="0"/>
    <xf numFmtId="0" fontId="63" fillId="0" borderId="0"/>
    <xf numFmtId="0" fontId="37" fillId="0" borderId="0"/>
    <xf numFmtId="0" fontId="16" fillId="0" borderId="0"/>
    <xf numFmtId="0" fontId="37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2" fillId="0" borderId="0"/>
    <xf numFmtId="0" fontId="63" fillId="0" borderId="0"/>
    <xf numFmtId="41" fontId="3" fillId="0" borderId="0">
      <alignment vertical="top"/>
    </xf>
    <xf numFmtId="0" fontId="3" fillId="0" borderId="0"/>
    <xf numFmtId="41" fontId="3" fillId="0" borderId="0">
      <alignment vertical="top"/>
    </xf>
    <xf numFmtId="4" fontId="97" fillId="0" borderId="0">
      <alignment horizontal="right"/>
    </xf>
    <xf numFmtId="0" fontId="97" fillId="0" borderId="0">
      <alignment horizontal="left"/>
    </xf>
    <xf numFmtId="0" fontId="3" fillId="39" borderId="39" applyNumberFormat="0" applyFont="0" applyAlignment="0" applyProtection="0"/>
    <xf numFmtId="0" fontId="3" fillId="39" borderId="39" applyNumberFormat="0" applyFont="0" applyAlignment="0" applyProtection="0"/>
    <xf numFmtId="0" fontId="3" fillId="39" borderId="39" applyNumberFormat="0" applyFont="0" applyAlignment="0" applyProtection="0"/>
    <xf numFmtId="0" fontId="3" fillId="39" borderId="39" applyNumberFormat="0" applyFont="0" applyAlignment="0" applyProtection="0"/>
    <xf numFmtId="0" fontId="63" fillId="39" borderId="39" applyNumberFormat="0" applyFont="0" applyAlignment="0" applyProtection="0"/>
    <xf numFmtId="0" fontId="63" fillId="39" borderId="39" applyNumberFormat="0" applyFont="0" applyAlignment="0" applyProtection="0"/>
    <xf numFmtId="0" fontId="63" fillId="39" borderId="39" applyNumberFormat="0" applyFont="0" applyAlignment="0" applyProtection="0"/>
    <xf numFmtId="0" fontId="3" fillId="39" borderId="39" applyNumberFormat="0" applyFont="0" applyAlignment="0" applyProtection="0"/>
    <xf numFmtId="171" fontId="101" fillId="0" borderId="0" applyNumberFormat="0"/>
    <xf numFmtId="0" fontId="50" fillId="31" borderId="40" applyNumberFormat="0" applyAlignment="0" applyProtection="0"/>
    <xf numFmtId="0" fontId="88" fillId="31" borderId="40" applyNumberFormat="0" applyAlignment="0" applyProtection="0"/>
    <xf numFmtId="0" fontId="89" fillId="31" borderId="40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3" fillId="0" borderId="0" applyFont="0" applyFill="0" applyBorder="0" applyAlignment="0" applyProtection="0"/>
    <xf numFmtId="17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102" fillId="0" borderId="0" applyNumberFormat="0" applyFont="0" applyFill="0" applyBorder="0" applyAlignment="0" applyProtection="0">
      <alignment horizontal="left"/>
    </xf>
    <xf numFmtId="0" fontId="103" fillId="0" borderId="19">
      <alignment horizontal="center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5" fontId="51" fillId="0" borderId="1"/>
    <xf numFmtId="0" fontId="52" fillId="0" borderId="0">
      <alignment horizontal="center" vertical="top" wrapText="1"/>
    </xf>
    <xf numFmtId="170" fontId="51" fillId="0" borderId="1"/>
    <xf numFmtId="170" fontId="51" fillId="0" borderId="41">
      <alignment horizontal="center"/>
    </xf>
    <xf numFmtId="173" fontId="59" fillId="0" borderId="42"/>
    <xf numFmtId="0" fontId="53" fillId="0" borderId="0"/>
    <xf numFmtId="10" fontId="54" fillId="0" borderId="0"/>
    <xf numFmtId="0" fontId="55" fillId="0" borderId="0">
      <alignment horizontal="left"/>
    </xf>
    <xf numFmtId="0" fontId="104" fillId="0" borderId="0" applyNumberFormat="0" applyFill="0" applyBorder="0" applyAlignment="0" applyProtection="0"/>
    <xf numFmtId="0" fontId="3" fillId="0" borderId="0"/>
    <xf numFmtId="0" fontId="32" fillId="0" borderId="0">
      <alignment vertical="top"/>
    </xf>
    <xf numFmtId="0" fontId="32" fillId="0" borderId="0">
      <alignment vertical="top"/>
    </xf>
    <xf numFmtId="0" fontId="3" fillId="0" borderId="0"/>
    <xf numFmtId="0" fontId="3" fillId="0" borderId="0"/>
    <xf numFmtId="0" fontId="3" fillId="0" borderId="0"/>
    <xf numFmtId="0" fontId="2" fillId="0" borderId="26" applyBorder="0">
      <alignment horizontal="right"/>
    </xf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34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" fillId="0" borderId="43" applyNumberFormat="0" applyFill="0" applyAlignment="0" applyProtection="0"/>
    <xf numFmtId="0" fontId="90" fillId="0" borderId="43" applyNumberFormat="0" applyFill="0" applyAlignment="0" applyProtection="0"/>
    <xf numFmtId="0" fontId="91" fillId="0" borderId="43" applyNumberFormat="0" applyFill="0" applyAlignment="0" applyProtection="0"/>
    <xf numFmtId="4" fontId="105" fillId="0" borderId="44">
      <alignment horizontal="right"/>
    </xf>
    <xf numFmtId="0" fontId="105" fillId="0" borderId="44">
      <alignment horizontal="left"/>
    </xf>
    <xf numFmtId="0" fontId="92" fillId="17" borderId="0" applyNumberFormat="0" applyFont="0" applyBorder="0" applyAlignment="0" applyProtection="0">
      <alignment horizontal="centerContinuous"/>
      <protection locked="0"/>
    </xf>
    <xf numFmtId="0" fontId="57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4" fillId="0" borderId="0"/>
    <xf numFmtId="0" fontId="1" fillId="0" borderId="0"/>
    <xf numFmtId="0" fontId="3" fillId="0" borderId="0"/>
    <xf numFmtId="0" fontId="30" fillId="9" borderId="0" applyNumberFormat="0" applyBorder="0" applyAlignment="0" applyProtection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3" fillId="0" borderId="0"/>
    <xf numFmtId="3" fontId="3" fillId="0" borderId="0"/>
    <xf numFmtId="3" fontId="3" fillId="0" borderId="31" applyNumberFormat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32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3" fillId="0" borderId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41" fontId="3" fillId="0" borderId="0">
      <alignment vertical="top"/>
    </xf>
    <xf numFmtId="41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2" fillId="0" borderId="0"/>
    <xf numFmtId="41" fontId="3" fillId="0" borderId="0">
      <alignment vertical="top"/>
    </xf>
    <xf numFmtId="0" fontId="3" fillId="0" borderId="0"/>
    <xf numFmtId="0" fontId="3" fillId="39" borderId="39" applyNumberFormat="0" applyFont="0" applyAlignment="0" applyProtection="0"/>
    <xf numFmtId="0" fontId="3" fillId="39" borderId="39" applyNumberFormat="0" applyFont="0" applyAlignment="0" applyProtection="0"/>
    <xf numFmtId="0" fontId="3" fillId="39" borderId="39" applyNumberFormat="0" applyFont="0" applyAlignment="0" applyProtection="0"/>
    <xf numFmtId="0" fontId="3" fillId="39" borderId="39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3" fillId="0" borderId="0"/>
    <xf numFmtId="0" fontId="32" fillId="0" borderId="0">
      <alignment vertical="top"/>
    </xf>
    <xf numFmtId="0" fontId="32" fillId="0" borderId="0">
      <alignment vertical="top"/>
    </xf>
    <xf numFmtId="0" fontId="3" fillId="0" borderId="0"/>
    <xf numFmtId="0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1" fillId="0" borderId="0"/>
    <xf numFmtId="43" fontId="1" fillId="0" borderId="0" applyFont="0" applyFill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30" borderId="0" applyNumberFormat="0" applyBorder="0" applyAlignment="0" applyProtection="0"/>
    <xf numFmtId="0" fontId="40" fillId="31" borderId="32" applyNumberFormat="0" applyAlignment="0" applyProtection="0"/>
    <xf numFmtId="0" fontId="41" fillId="32" borderId="33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15" borderId="0" applyNumberFormat="0" applyBorder="0" applyAlignment="0" applyProtection="0"/>
    <xf numFmtId="0" fontId="2" fillId="0" borderId="45">
      <alignment horizontal="center" vertical="center" wrapText="1"/>
    </xf>
    <xf numFmtId="0" fontId="44" fillId="0" borderId="34" applyNumberFormat="0" applyFill="0" applyAlignment="0" applyProtection="0"/>
    <xf numFmtId="0" fontId="45" fillId="0" borderId="35" applyNumberFormat="0" applyFill="0" applyAlignment="0" applyProtection="0"/>
    <xf numFmtId="0" fontId="46" fillId="0" borderId="36" applyNumberFormat="0" applyFill="0" applyAlignment="0" applyProtection="0"/>
    <xf numFmtId="0" fontId="46" fillId="0" borderId="0" applyNumberFormat="0" applyFill="0" applyBorder="0" applyAlignment="0" applyProtection="0"/>
    <xf numFmtId="0" fontId="47" fillId="18" borderId="32" applyNumberFormat="0" applyAlignment="0" applyProtection="0"/>
    <xf numFmtId="0" fontId="47" fillId="18" borderId="32" applyNumberFormat="0" applyAlignment="0" applyProtection="0"/>
    <xf numFmtId="0" fontId="2" fillId="0" borderId="0">
      <alignment horizontal="left" vertical="center"/>
    </xf>
    <xf numFmtId="0" fontId="2" fillId="0" borderId="0">
      <alignment horizontal="center" vertical="center"/>
    </xf>
    <xf numFmtId="0" fontId="48" fillId="0" borderId="37" applyNumberFormat="0" applyFill="0" applyAlignment="0" applyProtection="0"/>
    <xf numFmtId="0" fontId="49" fillId="3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7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" fontId="2" fillId="0" borderId="0">
      <alignment horizontal="right"/>
    </xf>
    <xf numFmtId="0" fontId="50" fillId="31" borderId="40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26" applyBorder="0">
      <alignment horizontal="right"/>
    </xf>
    <xf numFmtId="0" fontId="2" fillId="0" borderId="26" applyBorder="0">
      <alignment horizontal="right"/>
    </xf>
    <xf numFmtId="0" fontId="7" fillId="0" borderId="43" applyNumberFormat="0" applyFill="0" applyAlignment="0" applyProtection="0"/>
    <xf numFmtId="0" fontId="1" fillId="0" borderId="0"/>
    <xf numFmtId="0" fontId="107" fillId="10" borderId="0" applyNumberFormat="0" applyBorder="0" applyAlignment="0" applyProtection="0"/>
    <xf numFmtId="0" fontId="31" fillId="11" borderId="0" applyNumberFormat="0" applyBorder="0" applyAlignment="0" applyProtection="0"/>
    <xf numFmtId="0" fontId="3" fillId="0" borderId="0"/>
    <xf numFmtId="0" fontId="40" fillId="31" borderId="32" applyNumberFormat="0" applyAlignment="0" applyProtection="0"/>
    <xf numFmtId="0" fontId="69" fillId="31" borderId="32" applyNumberFormat="0" applyAlignment="0" applyProtection="0"/>
    <xf numFmtId="0" fontId="70" fillId="31" borderId="32" applyNumberFormat="0" applyAlignment="0" applyProtection="0"/>
    <xf numFmtId="0" fontId="47" fillId="18" borderId="32" applyNumberFormat="0" applyAlignment="0" applyProtection="0"/>
    <xf numFmtId="0" fontId="82" fillId="18" borderId="32" applyNumberFormat="0" applyAlignment="0" applyProtection="0"/>
    <xf numFmtId="0" fontId="82" fillId="18" borderId="32" applyNumberFormat="0" applyAlignment="0" applyProtection="0"/>
    <xf numFmtId="0" fontId="82" fillId="18" borderId="32" applyNumberFormat="0" applyAlignment="0" applyProtection="0"/>
    <xf numFmtId="0" fontId="47" fillId="18" borderId="32" applyNumberFormat="0" applyAlignment="0" applyProtection="0"/>
    <xf numFmtId="10" fontId="22" fillId="0" borderId="38" applyFill="0" applyAlignment="0" applyProtection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9" borderId="39" applyNumberFormat="0" applyFont="0" applyAlignment="0" applyProtection="0"/>
    <xf numFmtId="0" fontId="3" fillId="39" borderId="39" applyNumberFormat="0" applyFont="0" applyAlignment="0" applyProtection="0"/>
    <xf numFmtId="0" fontId="3" fillId="39" borderId="39" applyNumberFormat="0" applyFont="0" applyAlignment="0" applyProtection="0"/>
    <xf numFmtId="0" fontId="63" fillId="39" borderId="39" applyNumberFormat="0" applyFont="0" applyAlignment="0" applyProtection="0"/>
    <xf numFmtId="0" fontId="63" fillId="39" borderId="39" applyNumberFormat="0" applyFont="0" applyAlignment="0" applyProtection="0"/>
    <xf numFmtId="0" fontId="63" fillId="39" borderId="39" applyNumberFormat="0" applyFont="0" applyAlignment="0" applyProtection="0"/>
    <xf numFmtId="0" fontId="3" fillId="39" borderId="39" applyNumberFormat="0" applyFont="0" applyAlignment="0" applyProtection="0"/>
    <xf numFmtId="0" fontId="50" fillId="31" borderId="40" applyNumberFormat="0" applyAlignment="0" applyProtection="0"/>
    <xf numFmtId="0" fontId="88" fillId="31" borderId="40" applyNumberFormat="0" applyAlignment="0" applyProtection="0"/>
    <xf numFmtId="0" fontId="89" fillId="31" borderId="40" applyNumberFormat="0" applyAlignment="0" applyProtection="0"/>
    <xf numFmtId="0" fontId="7" fillId="0" borderId="43" applyNumberFormat="0" applyFill="0" applyAlignment="0" applyProtection="0"/>
    <xf numFmtId="0" fontId="90" fillId="0" borderId="43" applyNumberFormat="0" applyFill="0" applyAlignment="0" applyProtection="0"/>
    <xf numFmtId="0" fontId="91" fillId="0" borderId="43" applyNumberFormat="0" applyFill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1"/>
    <xf numFmtId="0" fontId="111" fillId="0" borderId="0"/>
    <xf numFmtId="0" fontId="112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" fillId="0" borderId="0"/>
    <xf numFmtId="41" fontId="3" fillId="0" borderId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2" fillId="0" borderId="45">
      <alignment horizontal="center" vertical="center" wrapText="1"/>
    </xf>
    <xf numFmtId="41" fontId="3" fillId="0" borderId="0">
      <alignment vertical="top"/>
    </xf>
    <xf numFmtId="41" fontId="3" fillId="0" borderId="0">
      <alignment vertical="top"/>
    </xf>
    <xf numFmtId="41" fontId="3" fillId="0" borderId="0">
      <alignment vertical="top"/>
    </xf>
    <xf numFmtId="5" fontId="51" fillId="0" borderId="1"/>
    <xf numFmtId="43" fontId="1" fillId="0" borderId="0" applyFont="0" applyFill="0" applyBorder="0" applyAlignment="0" applyProtection="0"/>
    <xf numFmtId="41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>
      <alignment vertical="top"/>
    </xf>
    <xf numFmtId="41" fontId="3" fillId="0" borderId="0">
      <alignment vertical="top"/>
    </xf>
    <xf numFmtId="41" fontId="3" fillId="0" borderId="0">
      <alignment vertical="top"/>
    </xf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5" fillId="0" borderId="0"/>
    <xf numFmtId="9" fontId="1" fillId="0" borderId="0" applyFont="0" applyFill="0" applyBorder="0" applyAlignment="0" applyProtection="0"/>
    <xf numFmtId="0" fontId="116" fillId="0" borderId="0"/>
    <xf numFmtId="0" fontId="117" fillId="0" borderId="0"/>
    <xf numFmtId="43" fontId="25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16" fillId="0" borderId="0"/>
    <xf numFmtId="0" fontId="3" fillId="0" borderId="0"/>
    <xf numFmtId="0" fontId="16" fillId="0" borderId="0"/>
    <xf numFmtId="0" fontId="139" fillId="0" borderId="0" applyNumberFormat="0" applyFill="0" applyBorder="0" applyAlignment="0" applyProtection="0"/>
    <xf numFmtId="0" fontId="111" fillId="0" borderId="0"/>
    <xf numFmtId="0" fontId="160" fillId="57" borderId="0" applyNumberFormat="0" applyBorder="0" applyAlignment="0" applyProtection="0"/>
    <xf numFmtId="0" fontId="3" fillId="0" borderId="0"/>
    <xf numFmtId="0" fontId="3" fillId="0" borderId="1"/>
    <xf numFmtId="0" fontId="3" fillId="0" borderId="1"/>
    <xf numFmtId="0" fontId="3" fillId="0" borderId="1"/>
    <xf numFmtId="0" fontId="3" fillId="0" borderId="1"/>
    <xf numFmtId="43" fontId="1" fillId="0" borderId="0" applyFont="0" applyFill="0" applyBorder="0" applyAlignment="0" applyProtection="0"/>
    <xf numFmtId="0" fontId="3" fillId="0" borderId="1"/>
    <xf numFmtId="0" fontId="3" fillId="0" borderId="0"/>
    <xf numFmtId="0" fontId="3" fillId="0" borderId="1"/>
    <xf numFmtId="0" fontId="3" fillId="0" borderId="1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67" fillId="66" borderId="1">
      <alignment vertical="center"/>
    </xf>
    <xf numFmtId="3" fontId="167" fillId="66" borderId="1">
      <alignment vertical="center"/>
    </xf>
    <xf numFmtId="3" fontId="167" fillId="66" borderId="1">
      <alignment vertical="center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1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1">
    <xf numFmtId="0" fontId="0" fillId="0" borderId="0" xfId="0"/>
    <xf numFmtId="0" fontId="7" fillId="6" borderId="4" xfId="0" applyFont="1" applyFill="1" applyBorder="1"/>
    <xf numFmtId="0" fontId="7" fillId="6" borderId="4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0" fillId="7" borderId="0" xfId="0" applyFill="1" applyAlignment="1">
      <alignment horizontal="right"/>
    </xf>
    <xf numFmtId="0" fontId="7" fillId="6" borderId="28" xfId="0" applyFont="1" applyFill="1" applyBorder="1"/>
    <xf numFmtId="0" fontId="14" fillId="0" borderId="0" xfId="0" applyFont="1"/>
    <xf numFmtId="0" fontId="113" fillId="0" borderId="47" xfId="750" applyFont="1" applyBorder="1" applyAlignment="1">
      <alignment vertical="top" wrapText="1" readingOrder="1"/>
    </xf>
    <xf numFmtId="0" fontId="0" fillId="0" borderId="0" xfId="0" applyAlignment="1">
      <alignment horizontal="center"/>
    </xf>
    <xf numFmtId="0" fontId="119" fillId="0" borderId="60" xfId="0" applyFont="1" applyBorder="1" applyAlignment="1">
      <alignment horizontal="left" vertical="center" wrapText="1" readingOrder="1"/>
    </xf>
    <xf numFmtId="0" fontId="119" fillId="0" borderId="59" xfId="0" applyFont="1" applyBorder="1" applyAlignment="1">
      <alignment horizontal="left" vertical="center" wrapText="1" readingOrder="1"/>
    </xf>
    <xf numFmtId="0" fontId="119" fillId="0" borderId="61" xfId="0" applyFont="1" applyBorder="1" applyAlignment="1">
      <alignment horizontal="left" vertical="center" wrapText="1" readingOrder="1"/>
    </xf>
    <xf numFmtId="0" fontId="118" fillId="0" borderId="62" xfId="0" applyFont="1" applyBorder="1" applyAlignment="1">
      <alignment horizontal="right" vertical="center" wrapText="1" readingOrder="1"/>
    </xf>
    <xf numFmtId="0" fontId="119" fillId="0" borderId="63" xfId="0" applyFont="1" applyBorder="1" applyAlignment="1">
      <alignment horizontal="left" vertical="center" wrapText="1" readingOrder="1"/>
    </xf>
    <xf numFmtId="0" fontId="119" fillId="0" borderId="64" xfId="0" applyFont="1" applyBorder="1" applyAlignment="1">
      <alignment horizontal="left" vertical="center" wrapText="1" readingOrder="1"/>
    </xf>
    <xf numFmtId="49" fontId="119" fillId="0" borderId="58" xfId="0" applyNumberFormat="1" applyFont="1" applyBorder="1" applyAlignment="1">
      <alignment horizontal="left" vertical="center" wrapText="1" readingOrder="1"/>
    </xf>
    <xf numFmtId="0" fontId="119" fillId="0" borderId="67" xfId="0" applyFont="1" applyBorder="1" applyAlignment="1">
      <alignment horizontal="left" vertical="center" wrapText="1" readingOrder="1"/>
    </xf>
    <xf numFmtId="0" fontId="6" fillId="0" borderId="0" xfId="0" applyFont="1"/>
    <xf numFmtId="0" fontId="0" fillId="0" borderId="0" xfId="0" applyAlignment="1">
      <alignment wrapText="1"/>
    </xf>
    <xf numFmtId="164" fontId="27" fillId="0" borderId="0" xfId="1" applyNumberFormat="1" applyFont="1"/>
    <xf numFmtId="0" fontId="120" fillId="0" borderId="0" xfId="0" applyFont="1"/>
    <xf numFmtId="15" fontId="121" fillId="0" borderId="66" xfId="1" applyNumberFormat="1" applyFont="1" applyBorder="1" applyAlignment="1">
      <alignment vertical="center" wrapText="1" readingOrder="1"/>
    </xf>
    <xf numFmtId="15" fontId="121" fillId="0" borderId="62" xfId="1" applyNumberFormat="1" applyFont="1" applyBorder="1" applyAlignment="1">
      <alignment vertical="center" wrapText="1" readingOrder="1"/>
    </xf>
    <xf numFmtId="0" fontId="6" fillId="0" borderId="0" xfId="0" applyFont="1" applyAlignment="1">
      <alignment wrapText="1"/>
    </xf>
    <xf numFmtId="0" fontId="125" fillId="42" borderId="80" xfId="0" applyFont="1" applyFill="1" applyBorder="1" applyAlignment="1" applyProtection="1">
      <alignment horizontal="left" vertical="center" wrapText="1"/>
      <protection locked="0"/>
    </xf>
    <xf numFmtId="43" fontId="125" fillId="42" borderId="80" xfId="0" applyNumberFormat="1" applyFont="1" applyFill="1" applyBorder="1" applyAlignment="1" applyProtection="1">
      <alignment horizontal="right" vertical="center" wrapText="1"/>
      <protection locked="0"/>
    </xf>
    <xf numFmtId="0" fontId="125" fillId="42" borderId="81" xfId="0" applyFont="1" applyFill="1" applyBorder="1" applyAlignment="1" applyProtection="1">
      <alignment horizontal="left" vertical="center" wrapText="1"/>
      <protection locked="0"/>
    </xf>
    <xf numFmtId="43" fontId="125" fillId="42" borderId="8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left" vertical="center" wrapText="1"/>
    </xf>
    <xf numFmtId="43" fontId="140" fillId="46" borderId="72" xfId="1" applyFont="1" applyFill="1" applyBorder="1" applyAlignment="1" applyProtection="1">
      <alignment horizontal="center" vertical="center" wrapText="1"/>
    </xf>
    <xf numFmtId="43" fontId="140" fillId="45" borderId="83" xfId="1" applyFont="1" applyFill="1" applyBorder="1" applyAlignment="1" applyProtection="1">
      <alignment horizontal="center" vertical="center" wrapText="1"/>
    </xf>
    <xf numFmtId="43" fontId="13" fillId="0" borderId="0" xfId="1" applyFont="1" applyFill="1" applyBorder="1" applyAlignment="1" applyProtection="1">
      <alignment horizontal="center" vertical="center" wrapText="1"/>
    </xf>
    <xf numFmtId="43" fontId="140" fillId="45" borderId="74" xfId="1" applyFont="1" applyFill="1" applyBorder="1" applyAlignment="1" applyProtection="1">
      <alignment horizontal="center" vertical="center" wrapText="1"/>
    </xf>
    <xf numFmtId="43" fontId="140" fillId="45" borderId="1" xfId="1" applyFont="1" applyFill="1" applyBorder="1" applyAlignment="1" applyProtection="1">
      <alignment horizontal="center" vertical="center" wrapText="1"/>
    </xf>
    <xf numFmtId="43" fontId="140" fillId="46" borderId="84" xfId="1" applyFont="1" applyFill="1" applyBorder="1" applyAlignment="1" applyProtection="1">
      <alignment horizontal="center" vertical="center" wrapText="1"/>
    </xf>
    <xf numFmtId="43" fontId="140" fillId="45" borderId="85" xfId="1" applyFont="1" applyFill="1" applyBorder="1" applyAlignment="1" applyProtection="1">
      <alignment horizontal="center" vertical="center" wrapText="1"/>
    </xf>
    <xf numFmtId="43" fontId="13" fillId="0" borderId="86" xfId="1" applyFont="1" applyFill="1" applyBorder="1" applyAlignment="1" applyProtection="1">
      <alignment horizontal="center" vertical="center" wrapText="1"/>
    </xf>
    <xf numFmtId="43" fontId="140" fillId="45" borderId="82" xfId="1" applyFont="1" applyFill="1" applyBorder="1" applyAlignment="1" applyProtection="1">
      <alignment horizontal="center" vertical="center" wrapText="1"/>
    </xf>
    <xf numFmtId="43" fontId="140" fillId="45" borderId="3" xfId="1" applyFont="1" applyFill="1" applyBorder="1" applyAlignment="1" applyProtection="1">
      <alignment horizontal="center" vertical="center" wrapText="1"/>
    </xf>
    <xf numFmtId="43" fontId="140" fillId="46" borderId="84" xfId="1" applyFont="1" applyFill="1" applyBorder="1" applyAlignment="1" applyProtection="1">
      <alignment horizontal="center" vertical="center"/>
    </xf>
    <xf numFmtId="43" fontId="140" fillId="46" borderId="1" xfId="1" applyFont="1" applyFill="1" applyBorder="1" applyAlignment="1" applyProtection="1">
      <alignment horizontal="center" vertical="center" wrapText="1"/>
    </xf>
    <xf numFmtId="43" fontId="140" fillId="46" borderId="74" xfId="1" applyFont="1" applyFill="1" applyBorder="1" applyAlignment="1" applyProtection="1">
      <alignment horizontal="center" vertical="center" wrapText="1"/>
    </xf>
    <xf numFmtId="43" fontId="140" fillId="46" borderId="29" xfId="1" applyFont="1" applyFill="1" applyBorder="1" applyAlignment="1" applyProtection="1">
      <alignment horizontal="center" vertical="center"/>
    </xf>
    <xf numFmtId="43" fontId="140" fillId="46" borderId="5" xfId="1" applyFont="1" applyFill="1" applyBorder="1" applyAlignment="1" applyProtection="1">
      <alignment horizontal="center" vertical="center" wrapText="1"/>
    </xf>
    <xf numFmtId="43" fontId="140" fillId="47" borderId="5" xfId="1" applyFont="1" applyFill="1" applyBorder="1" applyAlignment="1" applyProtection="1">
      <alignment horizontal="center" vertical="center" wrapText="1"/>
    </xf>
    <xf numFmtId="43" fontId="140" fillId="47" borderId="1" xfId="1" applyFont="1" applyFill="1" applyBorder="1" applyAlignment="1" applyProtection="1">
      <alignment horizontal="center" vertical="center" wrapText="1"/>
    </xf>
    <xf numFmtId="43" fontId="13" fillId="3" borderId="1" xfId="1" applyFont="1" applyFill="1" applyBorder="1" applyAlignment="1" applyProtection="1">
      <alignment horizontal="center" vertical="center" wrapText="1"/>
    </xf>
    <xf numFmtId="43" fontId="140" fillId="46" borderId="1" xfId="1" applyFont="1" applyFill="1" applyBorder="1" applyAlignment="1" applyProtection="1">
      <alignment horizontal="center" vertical="center"/>
    </xf>
    <xf numFmtId="165" fontId="13" fillId="3" borderId="1" xfId="1" applyNumberFormat="1" applyFont="1" applyFill="1" applyBorder="1" applyAlignment="1" applyProtection="1">
      <alignment horizontal="center" vertical="center"/>
    </xf>
    <xf numFmtId="165" fontId="13" fillId="0" borderId="0" xfId="1" applyNumberFormat="1" applyFont="1" applyFill="1" applyBorder="1" applyAlignment="1" applyProtection="1">
      <alignment horizontal="center" vertical="center"/>
    </xf>
    <xf numFmtId="43" fontId="13" fillId="0" borderId="0" xfId="1" applyFont="1" applyFill="1" applyBorder="1" applyAlignment="1" applyProtection="1">
      <alignment horizontal="center" vertical="center"/>
    </xf>
    <xf numFmtId="0" fontId="0" fillId="7" borderId="0" xfId="0" applyFill="1" applyAlignment="1">
      <alignment horizontal="left"/>
    </xf>
    <xf numFmtId="0" fontId="14" fillId="7" borderId="0" xfId="0" applyFont="1" applyFill="1" applyAlignment="1">
      <alignment horizontal="left"/>
    </xf>
    <xf numFmtId="0" fontId="122" fillId="0" borderId="0" xfId="0" applyFont="1"/>
    <xf numFmtId="0" fontId="0" fillId="0" borderId="0" xfId="0" applyAlignment="1">
      <alignment horizontal="left" vertical="center"/>
    </xf>
    <xf numFmtId="0" fontId="26" fillId="0" borderId="0" xfId="0" applyFont="1"/>
    <xf numFmtId="0" fontId="26" fillId="0" borderId="0" xfId="0" applyFont="1" applyAlignment="1">
      <alignment horizontal="right"/>
    </xf>
    <xf numFmtId="0" fontId="29" fillId="0" borderId="0" xfId="0" applyFont="1"/>
    <xf numFmtId="0" fontId="141" fillId="2" borderId="0" xfId="2" applyFont="1" applyFill="1" applyAlignment="1">
      <alignment horizontal="left" vertical="center"/>
    </xf>
    <xf numFmtId="0" fontId="27" fillId="2" borderId="0" xfId="2" applyFont="1" applyFill="1" applyAlignment="1">
      <alignment horizontal="center" vertical="center"/>
    </xf>
    <xf numFmtId="0" fontId="27" fillId="2" borderId="0" xfId="2" applyFont="1" applyFill="1" applyAlignment="1">
      <alignment horizontal="left" vertical="center"/>
    </xf>
    <xf numFmtId="166" fontId="142" fillId="2" borderId="0" xfId="2" applyNumberFormat="1" applyFont="1" applyFill="1" applyAlignment="1">
      <alignment vertical="center"/>
    </xf>
    <xf numFmtId="166" fontId="140" fillId="46" borderId="2" xfId="2" applyNumberFormat="1" applyFont="1" applyFill="1" applyBorder="1" applyAlignment="1">
      <alignment horizontal="center" vertical="center"/>
    </xf>
    <xf numFmtId="164" fontId="140" fillId="45" borderId="85" xfId="2" applyNumberFormat="1" applyFont="1" applyFill="1" applyBorder="1" applyAlignment="1">
      <alignment horizontal="center" vertical="center"/>
    </xf>
    <xf numFmtId="2" fontId="140" fillId="45" borderId="85" xfId="2" applyNumberFormat="1" applyFont="1" applyFill="1" applyBorder="1" applyAlignment="1">
      <alignment horizontal="center" vertical="center"/>
    </xf>
    <xf numFmtId="165" fontId="13" fillId="0" borderId="86" xfId="2" applyNumberFormat="1" applyFont="1" applyBorder="1" applyAlignment="1">
      <alignment horizontal="center" vertical="center"/>
    </xf>
    <xf numFmtId="165" fontId="140" fillId="45" borderId="82" xfId="2" applyNumberFormat="1" applyFont="1" applyFill="1" applyBorder="1" applyAlignment="1">
      <alignment horizontal="center" vertical="center"/>
    </xf>
    <xf numFmtId="165" fontId="13" fillId="0" borderId="0" xfId="2" applyNumberFormat="1" applyFont="1" applyAlignment="1">
      <alignment horizontal="center" vertical="center"/>
    </xf>
    <xf numFmtId="166" fontId="140" fillId="45" borderId="3" xfId="2" applyNumberFormat="1" applyFont="1" applyFill="1" applyBorder="1" applyAlignment="1">
      <alignment horizontal="center" vertical="center"/>
    </xf>
    <xf numFmtId="166" fontId="27" fillId="2" borderId="2" xfId="2" applyNumberFormat="1" applyFont="1" applyFill="1" applyBorder="1" applyAlignment="1">
      <alignment vertical="center"/>
    </xf>
    <xf numFmtId="0" fontId="27" fillId="0" borderId="2" xfId="0" applyFont="1" applyBorder="1" applyAlignment="1">
      <alignment horizontal="center" vertical="center"/>
    </xf>
    <xf numFmtId="166" fontId="27" fillId="2" borderId="72" xfId="2" applyNumberFormat="1" applyFont="1" applyFill="1" applyBorder="1" applyAlignment="1">
      <alignment vertical="center"/>
    </xf>
    <xf numFmtId="0" fontId="27" fillId="0" borderId="72" xfId="0" applyFont="1" applyBorder="1" applyAlignment="1">
      <alignment horizontal="center" vertical="center"/>
    </xf>
    <xf numFmtId="166" fontId="13" fillId="3" borderId="21" xfId="2" applyNumberFormat="1" applyFont="1" applyFill="1" applyBorder="1" applyAlignment="1">
      <alignment horizontal="left" vertical="center"/>
    </xf>
    <xf numFmtId="165" fontId="6" fillId="3" borderId="4" xfId="0" applyNumberFormat="1" applyFont="1" applyFill="1" applyBorder="1"/>
    <xf numFmtId="165" fontId="6" fillId="0" borderId="0" xfId="0" applyNumberFormat="1" applyFont="1"/>
    <xf numFmtId="164" fontId="140" fillId="45" borderId="1" xfId="2" applyNumberFormat="1" applyFont="1" applyFill="1" applyBorder="1" applyAlignment="1">
      <alignment horizontal="center" vertical="center"/>
    </xf>
    <xf numFmtId="2" fontId="140" fillId="45" borderId="1" xfId="2" applyNumberFormat="1" applyFont="1" applyFill="1" applyBorder="1" applyAlignment="1">
      <alignment horizontal="center" vertical="center"/>
    </xf>
    <xf numFmtId="165" fontId="140" fillId="45" borderId="1" xfId="2" applyNumberFormat="1" applyFont="1" applyFill="1" applyBorder="1" applyAlignment="1">
      <alignment horizontal="center" vertical="center"/>
    </xf>
    <xf numFmtId="166" fontId="13" fillId="3" borderId="21" xfId="2" applyNumberFormat="1" applyFont="1" applyFill="1" applyBorder="1" applyAlignment="1">
      <alignment vertical="center"/>
    </xf>
    <xf numFmtId="0" fontId="6" fillId="3" borderId="22" xfId="0" applyFont="1" applyFill="1" applyBorder="1"/>
    <xf numFmtId="0" fontId="13" fillId="3" borderId="21" xfId="2" applyFont="1" applyFill="1" applyBorder="1" applyAlignment="1">
      <alignment vertical="center"/>
    </xf>
    <xf numFmtId="43" fontId="6" fillId="0" borderId="0" xfId="0" applyNumberFormat="1" applyFont="1"/>
    <xf numFmtId="0" fontId="13" fillId="2" borderId="0" xfId="2" applyFont="1" applyFill="1" applyAlignment="1">
      <alignment vertical="center"/>
    </xf>
    <xf numFmtId="0" fontId="142" fillId="2" borderId="0" xfId="2" applyFont="1" applyFill="1" applyAlignment="1">
      <alignment vertical="center"/>
    </xf>
    <xf numFmtId="166" fontId="13" fillId="3" borderId="75" xfId="2" applyNumberFormat="1" applyFont="1" applyFill="1" applyBorder="1" applyAlignment="1">
      <alignment horizontal="right" vertical="center"/>
    </xf>
    <xf numFmtId="0" fontId="13" fillId="3" borderId="76" xfId="0" applyFont="1" applyFill="1" applyBorder="1" applyAlignment="1">
      <alignment horizontal="center" vertical="center"/>
    </xf>
    <xf numFmtId="165" fontId="6" fillId="3" borderId="77" xfId="0" applyNumberFormat="1" applyFont="1" applyFill="1" applyBorder="1"/>
    <xf numFmtId="165" fontId="6" fillId="3" borderId="78" xfId="0" applyNumberFormat="1" applyFont="1" applyFill="1" applyBorder="1"/>
    <xf numFmtId="166" fontId="27" fillId="2" borderId="0" xfId="2" applyNumberFormat="1" applyFont="1" applyFill="1" applyAlignment="1">
      <alignment vertical="center"/>
    </xf>
    <xf numFmtId="0" fontId="27" fillId="0" borderId="0" xfId="0" applyFont="1" applyAlignment="1">
      <alignment horizontal="center" vertical="center"/>
    </xf>
    <xf numFmtId="164" fontId="140" fillId="47" borderId="1" xfId="2" applyNumberFormat="1" applyFont="1" applyFill="1" applyBorder="1" applyAlignment="1">
      <alignment horizontal="center" vertical="center"/>
    </xf>
    <xf numFmtId="165" fontId="140" fillId="47" borderId="1" xfId="2" applyNumberFormat="1" applyFont="1" applyFill="1" applyBorder="1" applyAlignment="1">
      <alignment horizontal="center" vertical="center"/>
    </xf>
    <xf numFmtId="166" fontId="13" fillId="3" borderId="3" xfId="2" applyNumberFormat="1" applyFont="1" applyFill="1" applyBorder="1" applyAlignment="1">
      <alignment horizontal="center" vertical="center"/>
    </xf>
    <xf numFmtId="166" fontId="13" fillId="2" borderId="0" xfId="2" applyNumberFormat="1" applyFont="1" applyFill="1" applyAlignment="1">
      <alignment vertical="center"/>
    </xf>
    <xf numFmtId="166" fontId="13" fillId="5" borderId="2" xfId="2" applyNumberFormat="1" applyFont="1" applyFill="1" applyBorder="1" applyAlignment="1">
      <alignment horizontal="center" vertical="center"/>
    </xf>
    <xf numFmtId="165" fontId="13" fillId="3" borderId="1" xfId="2" applyNumberFormat="1" applyFont="1" applyFill="1" applyBorder="1" applyAlignment="1">
      <alignment horizontal="center" vertical="center"/>
    </xf>
    <xf numFmtId="166" fontId="13" fillId="3" borderId="2" xfId="2" applyNumberFormat="1" applyFont="1" applyFill="1" applyBorder="1" applyAlignment="1">
      <alignment horizontal="center" vertical="center"/>
    </xf>
    <xf numFmtId="0" fontId="13" fillId="2" borderId="0" xfId="2" applyFont="1" applyFill="1" applyAlignment="1">
      <alignment horizontal="right" vertical="center"/>
    </xf>
    <xf numFmtId="166" fontId="13" fillId="3" borderId="1" xfId="2" applyNumberFormat="1" applyFont="1" applyFill="1" applyBorder="1" applyAlignment="1">
      <alignment horizontal="center" vertical="center"/>
    </xf>
    <xf numFmtId="165" fontId="6" fillId="41" borderId="1" xfId="0" applyNumberFormat="1" applyFont="1" applyFill="1" applyBorder="1"/>
    <xf numFmtId="165" fontId="6" fillId="0" borderId="1" xfId="0" applyNumberFormat="1" applyFont="1" applyBorder="1"/>
    <xf numFmtId="0" fontId="126" fillId="7" borderId="79" xfId="0" applyFont="1" applyFill="1" applyBorder="1" applyAlignment="1">
      <alignment horizontal="left" wrapText="1"/>
    </xf>
    <xf numFmtId="0" fontId="26" fillId="7" borderId="16" xfId="0" applyFont="1" applyFill="1" applyBorder="1" applyAlignment="1">
      <alignment horizontal="left"/>
    </xf>
    <xf numFmtId="0" fontId="29" fillId="7" borderId="16" xfId="0" applyFont="1" applyFill="1" applyBorder="1"/>
    <xf numFmtId="0" fontId="26" fillId="7" borderId="51" xfId="0" applyFont="1" applyFill="1" applyBorder="1" applyAlignment="1">
      <alignment horizontal="left"/>
    </xf>
    <xf numFmtId="0" fontId="126" fillId="7" borderId="17" xfId="0" applyFont="1" applyFill="1" applyBorder="1" applyAlignment="1">
      <alignment horizontal="left"/>
    </xf>
    <xf numFmtId="0" fontId="26" fillId="7" borderId="0" xfId="0" applyFont="1" applyFill="1" applyAlignment="1">
      <alignment horizontal="left"/>
    </xf>
    <xf numFmtId="0" fontId="26" fillId="7" borderId="18" xfId="0" applyFont="1" applyFill="1" applyBorder="1" applyAlignment="1">
      <alignment horizontal="left"/>
    </xf>
    <xf numFmtId="0" fontId="110" fillId="7" borderId="17" xfId="0" applyFont="1" applyFill="1" applyBorder="1" applyAlignment="1">
      <alignment horizontal="left"/>
    </xf>
    <xf numFmtId="0" fontId="110" fillId="7" borderId="0" xfId="0" applyFont="1" applyFill="1" applyAlignment="1">
      <alignment horizontal="left"/>
    </xf>
    <xf numFmtId="0" fontId="127" fillId="7" borderId="53" xfId="0" applyFont="1" applyFill="1" applyBorder="1" applyAlignment="1">
      <alignment horizontal="left"/>
    </xf>
    <xf numFmtId="0" fontId="26" fillId="7" borderId="19" xfId="0" applyFont="1" applyFill="1" applyBorder="1" applyAlignment="1">
      <alignment horizontal="left"/>
    </xf>
    <xf numFmtId="0" fontId="26" fillId="7" borderId="55" xfId="0" applyFont="1" applyFill="1" applyBorder="1" applyAlignment="1">
      <alignment horizontal="left"/>
    </xf>
    <xf numFmtId="0" fontId="28" fillId="0" borderId="0" xfId="0" applyFont="1" applyAlignment="1">
      <alignment horizontal="right"/>
    </xf>
    <xf numFmtId="14" fontId="28" fillId="0" borderId="1" xfId="0" applyNumberFormat="1" applyFont="1" applyBorder="1" applyAlignment="1">
      <alignment horizontal="left"/>
    </xf>
    <xf numFmtId="0" fontId="123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1" xfId="0" applyFont="1" applyBorder="1" applyAlignment="1">
      <alignment horizontal="left"/>
    </xf>
    <xf numFmtId="0" fontId="26" fillId="7" borderId="0" xfId="0" applyFont="1" applyFill="1"/>
    <xf numFmtId="0" fontId="29" fillId="7" borderId="0" xfId="0" applyFont="1" applyFill="1"/>
    <xf numFmtId="0" fontId="26" fillId="0" borderId="21" xfId="0" applyFont="1" applyBorder="1"/>
    <xf numFmtId="0" fontId="26" fillId="0" borderId="22" xfId="0" applyFont="1" applyBorder="1"/>
    <xf numFmtId="0" fontId="26" fillId="0" borderId="4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23" fillId="0" borderId="0" xfId="0" applyFont="1"/>
    <xf numFmtId="0" fontId="29" fillId="0" borderId="2" xfId="0" applyFont="1" applyBorder="1"/>
    <xf numFmtId="0" fontId="29" fillId="0" borderId="25" xfId="0" applyFont="1" applyBorder="1"/>
    <xf numFmtId="0" fontId="124" fillId="0" borderId="69" xfId="0" applyFont="1" applyBorder="1"/>
    <xf numFmtId="0" fontId="28" fillId="0" borderId="69" xfId="0" applyFont="1" applyBorder="1"/>
    <xf numFmtId="0" fontId="28" fillId="0" borderId="0" xfId="0" applyFont="1"/>
    <xf numFmtId="0" fontId="26" fillId="7" borderId="21" xfId="0" applyFont="1" applyFill="1" applyBorder="1"/>
    <xf numFmtId="0" fontId="29" fillId="7" borderId="22" xfId="0" applyFont="1" applyFill="1" applyBorder="1"/>
    <xf numFmtId="44" fontId="26" fillId="0" borderId="0" xfId="0" applyNumberFormat="1" applyFont="1"/>
    <xf numFmtId="0" fontId="29" fillId="0" borderId="22" xfId="0" applyFont="1" applyBorder="1"/>
    <xf numFmtId="166" fontId="125" fillId="2" borderId="2" xfId="2" applyNumberFormat="1" applyFont="1" applyFill="1" applyBorder="1" applyAlignment="1">
      <alignment vertical="center"/>
    </xf>
    <xf numFmtId="0" fontId="125" fillId="0" borderId="2" xfId="0" applyFont="1" applyBorder="1" applyAlignment="1">
      <alignment horizontal="center" vertical="center"/>
    </xf>
    <xf numFmtId="166" fontId="125" fillId="2" borderId="1" xfId="2" applyNumberFormat="1" applyFont="1" applyFill="1" applyBorder="1" applyAlignment="1">
      <alignment vertical="center"/>
    </xf>
    <xf numFmtId="0" fontId="125" fillId="0" borderId="1" xfId="0" applyFont="1" applyBorder="1" applyAlignment="1">
      <alignment horizontal="center" vertical="center"/>
    </xf>
    <xf numFmtId="166" fontId="124" fillId="2" borderId="56" xfId="2" applyNumberFormat="1" applyFont="1" applyFill="1" applyBorder="1" applyAlignment="1">
      <alignment vertical="center"/>
    </xf>
    <xf numFmtId="0" fontId="124" fillId="0" borderId="56" xfId="0" applyFont="1" applyBorder="1" applyAlignment="1">
      <alignment horizontal="center" vertical="center"/>
    </xf>
    <xf numFmtId="166" fontId="124" fillId="7" borderId="56" xfId="2" applyNumberFormat="1" applyFont="1" applyFill="1" applyBorder="1" applyAlignment="1">
      <alignment vertical="center"/>
    </xf>
    <xf numFmtId="0" fontId="124" fillId="7" borderId="56" xfId="0" applyFont="1" applyFill="1" applyBorder="1" applyAlignment="1">
      <alignment horizontal="center" vertical="center"/>
    </xf>
    <xf numFmtId="0" fontId="123" fillId="0" borderId="0" xfId="0" applyFont="1" applyAlignment="1">
      <alignment wrapText="1"/>
    </xf>
    <xf numFmtId="166" fontId="125" fillId="2" borderId="0" xfId="2" applyNumberFormat="1" applyFont="1" applyFill="1" applyAlignment="1">
      <alignment vertical="center"/>
    </xf>
    <xf numFmtId="0" fontId="29" fillId="0" borderId="0" xfId="0" applyFont="1" applyAlignment="1">
      <alignment vertical="center"/>
    </xf>
    <xf numFmtId="175" fontId="26" fillId="0" borderId="0" xfId="0" applyNumberFormat="1" applyFont="1"/>
    <xf numFmtId="0" fontId="29" fillId="0" borderId="0" xfId="0" applyFont="1" applyAlignment="1">
      <alignment wrapText="1"/>
    </xf>
    <xf numFmtId="2" fontId="125" fillId="2" borderId="0" xfId="143" applyNumberFormat="1" applyFont="1" applyFill="1" applyAlignment="1">
      <alignment vertical="center"/>
    </xf>
    <xf numFmtId="0" fontId="110" fillId="6" borderId="79" xfId="0" applyFont="1" applyFill="1" applyBorder="1" applyAlignment="1">
      <alignment horizontal="left"/>
    </xf>
    <xf numFmtId="0" fontId="110" fillId="6" borderId="16" xfId="0" applyFont="1" applyFill="1" applyBorder="1" applyAlignment="1">
      <alignment horizontal="left"/>
    </xf>
    <xf numFmtId="0" fontId="29" fillId="6" borderId="16" xfId="0" applyFont="1" applyFill="1" applyBorder="1"/>
    <xf numFmtId="0" fontId="26" fillId="6" borderId="16" xfId="0" applyFont="1" applyFill="1" applyBorder="1" applyAlignment="1">
      <alignment horizontal="left"/>
    </xf>
    <xf numFmtId="0" fontId="5" fillId="6" borderId="17" xfId="0" applyFont="1" applyFill="1" applyBorder="1" applyAlignment="1">
      <alignment horizontal="left"/>
    </xf>
    <xf numFmtId="0" fontId="110" fillId="6" borderId="0" xfId="0" applyFont="1" applyFill="1" applyAlignment="1">
      <alignment horizontal="left"/>
    </xf>
    <xf numFmtId="0" fontId="26" fillId="6" borderId="0" xfId="0" applyFont="1" applyFill="1" applyAlignment="1">
      <alignment horizontal="left"/>
    </xf>
    <xf numFmtId="0" fontId="110" fillId="6" borderId="17" xfId="0" applyFont="1" applyFill="1" applyBorder="1" applyAlignment="1">
      <alignment horizontal="left"/>
    </xf>
    <xf numFmtId="0" fontId="130" fillId="50" borderId="17" xfId="0" applyFont="1" applyFill="1" applyBorder="1"/>
    <xf numFmtId="0" fontId="130" fillId="50" borderId="0" xfId="0" applyFont="1" applyFill="1"/>
    <xf numFmtId="0" fontId="130" fillId="50" borderId="46" xfId="0" applyFont="1" applyFill="1" applyBorder="1"/>
    <xf numFmtId="0" fontId="26" fillId="6" borderId="19" xfId="0" applyFont="1" applyFill="1" applyBorder="1" applyAlignment="1">
      <alignment horizontal="left"/>
    </xf>
    <xf numFmtId="0" fontId="26" fillId="6" borderId="54" xfId="0" applyFont="1" applyFill="1" applyBorder="1" applyAlignment="1">
      <alignment horizontal="left"/>
    </xf>
    <xf numFmtId="0" fontId="135" fillId="0" borderId="0" xfId="0" applyFont="1" applyAlignment="1">
      <alignment horizontal="left" vertical="center"/>
    </xf>
    <xf numFmtId="0" fontId="125" fillId="0" borderId="0" xfId="0" applyFont="1" applyAlignment="1">
      <alignment vertical="center"/>
    </xf>
    <xf numFmtId="0" fontId="136" fillId="0" borderId="0" xfId="0" applyFont="1" applyAlignment="1">
      <alignment horizontal="left"/>
    </xf>
    <xf numFmtId="0" fontId="138" fillId="0" borderId="0" xfId="0" applyFont="1" applyAlignment="1">
      <alignment vertical="center"/>
    </xf>
    <xf numFmtId="0" fontId="135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177" fontId="124" fillId="0" borderId="1" xfId="0" applyNumberFormat="1" applyFont="1" applyBorder="1" applyAlignment="1">
      <alignment horizontal="center" vertical="center" wrapText="1"/>
    </xf>
    <xf numFmtId="0" fontId="137" fillId="0" borderId="1" xfId="0" applyFont="1" applyBorder="1" applyAlignment="1">
      <alignment horizontal="center" vertical="center" wrapText="1"/>
    </xf>
    <xf numFmtId="0" fontId="124" fillId="0" borderId="2" xfId="0" applyFont="1" applyBorder="1" applyAlignment="1">
      <alignment horizontal="center" vertical="center" wrapText="1"/>
    </xf>
    <xf numFmtId="0" fontId="132" fillId="0" borderId="48" xfId="0" applyFont="1" applyBorder="1" applyProtection="1">
      <protection locked="0"/>
    </xf>
    <xf numFmtId="0" fontId="133" fillId="0" borderId="49" xfId="0" applyFont="1" applyBorder="1" applyProtection="1">
      <protection locked="0"/>
    </xf>
    <xf numFmtId="0" fontId="133" fillId="0" borderId="50" xfId="0" applyFont="1" applyBorder="1" applyProtection="1">
      <protection locked="0"/>
    </xf>
    <xf numFmtId="0" fontId="134" fillId="0" borderId="87" xfId="821" applyFont="1" applyFill="1" applyBorder="1" applyProtection="1">
      <protection locked="0"/>
    </xf>
    <xf numFmtId="0" fontId="133" fillId="0" borderId="45" xfId="0" applyFont="1" applyBorder="1" applyProtection="1">
      <protection locked="0"/>
    </xf>
    <xf numFmtId="0" fontId="133" fillId="0" borderId="52" xfId="0" applyFont="1" applyBorder="1" applyProtection="1">
      <protection locked="0"/>
    </xf>
    <xf numFmtId="0" fontId="132" fillId="0" borderId="87" xfId="0" quotePrefix="1" applyFont="1" applyBorder="1" applyProtection="1">
      <protection locked="0"/>
    </xf>
    <xf numFmtId="0" fontId="132" fillId="0" borderId="88" xfId="0" applyFont="1" applyBorder="1" applyProtection="1">
      <protection locked="0"/>
    </xf>
    <xf numFmtId="0" fontId="133" fillId="0" borderId="69" xfId="0" applyFont="1" applyBorder="1" applyProtection="1">
      <protection locked="0"/>
    </xf>
    <xf numFmtId="0" fontId="133" fillId="0" borderId="89" xfId="0" applyFont="1" applyBorder="1" applyProtection="1">
      <protection locked="0"/>
    </xf>
    <xf numFmtId="166" fontId="125" fillId="2" borderId="22" xfId="2" applyNumberFormat="1" applyFont="1" applyFill="1" applyBorder="1" applyAlignment="1">
      <alignment vertical="center"/>
    </xf>
    <xf numFmtId="0" fontId="0" fillId="40" borderId="0" xfId="0" applyFill="1" applyAlignment="1">
      <alignment horizontal="right"/>
    </xf>
    <xf numFmtId="0" fontId="143" fillId="40" borderId="0" xfId="0" applyFont="1" applyFill="1" applyAlignment="1">
      <alignment horizontal="left"/>
    </xf>
    <xf numFmtId="0" fontId="142" fillId="51" borderId="0" xfId="2" applyFont="1" applyFill="1" applyAlignment="1">
      <alignment vertical="center"/>
    </xf>
    <xf numFmtId="0" fontId="13" fillId="51" borderId="0" xfId="2" applyFont="1" applyFill="1" applyAlignment="1">
      <alignment vertical="center"/>
    </xf>
    <xf numFmtId="0" fontId="142" fillId="52" borderId="0" xfId="2" applyFont="1" applyFill="1" applyAlignment="1">
      <alignment vertical="center"/>
    </xf>
    <xf numFmtId="0" fontId="13" fillId="52" borderId="0" xfId="2" applyFont="1" applyFill="1" applyAlignment="1">
      <alignment vertical="center"/>
    </xf>
    <xf numFmtId="0" fontId="29" fillId="0" borderId="0" xfId="0" applyFont="1" applyAlignment="1" applyProtection="1">
      <alignment wrapText="1"/>
      <protection locked="0"/>
    </xf>
    <xf numFmtId="0" fontId="26" fillId="53" borderId="74" xfId="0" applyFont="1" applyFill="1" applyBorder="1" applyAlignment="1">
      <alignment horizontal="center" vertical="center" wrapText="1"/>
    </xf>
    <xf numFmtId="177" fontId="124" fillId="53" borderId="74" xfId="0" applyNumberFormat="1" applyFont="1" applyFill="1" applyBorder="1" applyAlignment="1">
      <alignment horizontal="center" vertical="center" wrapText="1"/>
    </xf>
    <xf numFmtId="0" fontId="137" fillId="53" borderId="74" xfId="0" applyFont="1" applyFill="1" applyBorder="1" applyAlignment="1">
      <alignment horizontal="center" vertical="center" wrapText="1"/>
    </xf>
    <xf numFmtId="0" fontId="124" fillId="53" borderId="72" xfId="0" applyFont="1" applyFill="1" applyBorder="1" applyAlignment="1">
      <alignment horizontal="center" vertical="center" wrapText="1"/>
    </xf>
    <xf numFmtId="177" fontId="124" fillId="6" borderId="2" xfId="0" applyNumberFormat="1" applyFont="1" applyFill="1" applyBorder="1" applyAlignment="1">
      <alignment horizontal="center" vertical="center" wrapText="1"/>
    </xf>
    <xf numFmtId="177" fontId="124" fillId="53" borderId="72" xfId="0" applyNumberFormat="1" applyFont="1" applyFill="1" applyBorder="1" applyAlignment="1">
      <alignment horizontal="center" vertical="center" wrapText="1"/>
    </xf>
    <xf numFmtId="43" fontId="125" fillId="42" borderId="90" xfId="0" applyNumberFormat="1" applyFont="1" applyFill="1" applyBorder="1" applyAlignment="1" applyProtection="1">
      <alignment horizontal="right" vertical="center" wrapText="1"/>
      <protection locked="0"/>
    </xf>
    <xf numFmtId="43" fontId="125" fillId="42" borderId="91" xfId="0" applyNumberFormat="1" applyFont="1" applyFill="1" applyBorder="1" applyAlignment="1" applyProtection="1">
      <alignment horizontal="right" vertical="center" wrapText="1"/>
      <protection locked="0"/>
    </xf>
    <xf numFmtId="164" fontId="144" fillId="53" borderId="17" xfId="1" applyNumberFormat="1" applyFont="1" applyFill="1" applyBorder="1" applyAlignment="1">
      <alignment horizontal="right"/>
    </xf>
    <xf numFmtId="164" fontId="144" fillId="53" borderId="46" xfId="1" applyNumberFormat="1" applyFont="1" applyFill="1" applyBorder="1" applyAlignment="1">
      <alignment horizontal="right"/>
    </xf>
    <xf numFmtId="0" fontId="145" fillId="53" borderId="0" xfId="0" applyFont="1" applyFill="1"/>
    <xf numFmtId="0" fontId="146" fillId="53" borderId="0" xfId="0" applyFont="1" applyFill="1"/>
    <xf numFmtId="0" fontId="26" fillId="0" borderId="79" xfId="0" applyFont="1" applyBorder="1" applyAlignment="1">
      <alignment horizontal="center" wrapText="1"/>
    </xf>
    <xf numFmtId="0" fontId="26" fillId="0" borderId="51" xfId="0" applyFont="1" applyBorder="1" applyAlignment="1">
      <alignment horizontal="center" wrapText="1"/>
    </xf>
    <xf numFmtId="0" fontId="29" fillId="0" borderId="74" xfId="0" applyFont="1" applyBorder="1" applyAlignment="1">
      <alignment horizontal="left"/>
    </xf>
    <xf numFmtId="0" fontId="0" fillId="0" borderId="26" xfId="0" applyBorder="1"/>
    <xf numFmtId="176" fontId="125" fillId="42" borderId="80" xfId="0" applyNumberFormat="1" applyFont="1" applyFill="1" applyBorder="1" applyAlignment="1" applyProtection="1">
      <alignment horizontal="right" vertical="center" wrapText="1"/>
      <protection locked="0"/>
    </xf>
    <xf numFmtId="176" fontId="125" fillId="42" borderId="81" xfId="0" applyNumberFormat="1" applyFont="1" applyFill="1" applyBorder="1" applyAlignment="1" applyProtection="1">
      <alignment horizontal="right" vertical="center" wrapText="1"/>
      <protection locked="0"/>
    </xf>
    <xf numFmtId="4" fontId="26" fillId="0" borderId="0" xfId="0" applyNumberFormat="1" applyFont="1"/>
    <xf numFmtId="176" fontId="29" fillId="0" borderId="92" xfId="1" applyNumberFormat="1" applyFont="1" applyBorder="1"/>
    <xf numFmtId="176" fontId="29" fillId="0" borderId="93" xfId="1" applyNumberFormat="1" applyFont="1" applyBorder="1"/>
    <xf numFmtId="176" fontId="29" fillId="0" borderId="94" xfId="1" applyNumberFormat="1" applyFont="1" applyBorder="1"/>
    <xf numFmtId="176" fontId="29" fillId="0" borderId="95" xfId="1" applyNumberFormat="1" applyFont="1" applyBorder="1"/>
    <xf numFmtId="9" fontId="108" fillId="0" borderId="0" xfId="817" applyFont="1" applyAlignment="1" applyProtection="1">
      <alignment horizontal="center"/>
    </xf>
    <xf numFmtId="9" fontId="109" fillId="0" borderId="0" xfId="817" applyFont="1" applyAlignment="1" applyProtection="1">
      <alignment horizontal="center"/>
    </xf>
    <xf numFmtId="0" fontId="29" fillId="0" borderId="45" xfId="0" applyFont="1" applyBorder="1" applyAlignment="1">
      <alignment vertical="center"/>
    </xf>
    <xf numFmtId="166" fontId="124" fillId="2" borderId="21" xfId="2" applyNumberFormat="1" applyFont="1" applyFill="1" applyBorder="1" applyAlignment="1">
      <alignment vertical="center"/>
    </xf>
    <xf numFmtId="43" fontId="13" fillId="3" borderId="3" xfId="1" applyFont="1" applyFill="1" applyBorder="1" applyAlignment="1" applyProtection="1">
      <alignment horizontal="center" vertical="center" wrapText="1"/>
    </xf>
    <xf numFmtId="2" fontId="13" fillId="3" borderId="1" xfId="2" applyNumberFormat="1" applyFont="1" applyFill="1" applyBorder="1" applyAlignment="1">
      <alignment horizontal="center" vertical="center"/>
    </xf>
    <xf numFmtId="164" fontId="13" fillId="3" borderId="1" xfId="2" applyNumberFormat="1" applyFont="1" applyFill="1" applyBorder="1" applyAlignment="1">
      <alignment horizontal="center" vertical="center"/>
    </xf>
    <xf numFmtId="165" fontId="0" fillId="0" borderId="0" xfId="0" applyNumberFormat="1"/>
    <xf numFmtId="0" fontId="0" fillId="4" borderId="1" xfId="0" applyFill="1" applyBorder="1" applyAlignment="1" applyProtection="1">
      <alignment wrapText="1"/>
      <protection locked="0"/>
    </xf>
    <xf numFmtId="166" fontId="27" fillId="0" borderId="2" xfId="2" applyNumberFormat="1" applyFont="1" applyBorder="1" applyAlignment="1">
      <alignment vertical="center"/>
    </xf>
    <xf numFmtId="175" fontId="0" fillId="0" borderId="0" xfId="0" applyNumberFormat="1"/>
    <xf numFmtId="167" fontId="0" fillId="0" borderId="7" xfId="0" applyNumberFormat="1" applyBorder="1"/>
    <xf numFmtId="43" fontId="0" fillId="0" borderId="0" xfId="0" applyNumberFormat="1"/>
    <xf numFmtId="167" fontId="0" fillId="0" borderId="0" xfId="0" applyNumberFormat="1"/>
    <xf numFmtId="43" fontId="13" fillId="3" borderId="29" xfId="1" applyFont="1" applyFill="1" applyBorder="1" applyAlignment="1" applyProtection="1">
      <alignment horizontal="center" vertical="center" wrapText="1"/>
    </xf>
    <xf numFmtId="0" fontId="0" fillId="44" borderId="0" xfId="0" applyFill="1"/>
    <xf numFmtId="164" fontId="0" fillId="0" borderId="0" xfId="0" applyNumberFormat="1"/>
    <xf numFmtId="0" fontId="6" fillId="7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4" fontId="6" fillId="0" borderId="0" xfId="0" applyNumberFormat="1" applyFont="1"/>
    <xf numFmtId="0" fontId="12" fillId="7" borderId="0" xfId="0" applyFont="1" applyFill="1" applyAlignment="1">
      <alignment horizontal="left"/>
    </xf>
    <xf numFmtId="164" fontId="27" fillId="2" borderId="0" xfId="2" applyNumberFormat="1" applyFont="1" applyFill="1" applyAlignment="1">
      <alignment horizontal="center" vertical="center"/>
    </xf>
    <xf numFmtId="2" fontId="27" fillId="2" borderId="0" xfId="2" applyNumberFormat="1" applyFont="1" applyFill="1" applyAlignment="1">
      <alignment horizontal="center" vertical="center"/>
    </xf>
    <xf numFmtId="164" fontId="27" fillId="0" borderId="0" xfId="2" applyNumberFormat="1" applyFont="1" applyAlignment="1">
      <alignment horizontal="center" vertical="center"/>
    </xf>
    <xf numFmtId="165" fontId="27" fillId="0" borderId="0" xfId="2" applyNumberFormat="1" applyFont="1" applyAlignment="1">
      <alignment horizontal="right" vertical="center"/>
    </xf>
    <xf numFmtId="166" fontId="13" fillId="0" borderId="0" xfId="2" applyNumberFormat="1" applyFont="1" applyAlignment="1">
      <alignment horizontal="left" vertical="center"/>
    </xf>
    <xf numFmtId="166" fontId="13" fillId="43" borderId="0" xfId="2" applyNumberFormat="1" applyFont="1" applyFill="1" applyAlignment="1">
      <alignment horizontal="left" vertical="center"/>
    </xf>
    <xf numFmtId="0" fontId="0" fillId="43" borderId="0" xfId="0" applyFill="1"/>
    <xf numFmtId="165" fontId="0" fillId="4" borderId="1" xfId="0" applyNumberFormat="1" applyFill="1" applyBorder="1" applyAlignment="1" applyProtection="1">
      <alignment wrapText="1"/>
      <protection locked="0"/>
    </xf>
    <xf numFmtId="166" fontId="13" fillId="43" borderId="21" xfId="2" applyNumberFormat="1" applyFont="1" applyFill="1" applyBorder="1" applyAlignment="1">
      <alignment vertical="center"/>
    </xf>
    <xf numFmtId="0" fontId="0" fillId="43" borderId="22" xfId="0" applyFill="1" applyBorder="1"/>
    <xf numFmtId="0" fontId="13" fillId="43" borderId="21" xfId="2" applyFont="1" applyFill="1" applyBorder="1" applyAlignment="1">
      <alignment vertical="center"/>
    </xf>
    <xf numFmtId="0" fontId="0" fillId="43" borderId="27" xfId="0" applyFill="1" applyBorder="1"/>
    <xf numFmtId="166" fontId="13" fillId="43" borderId="1" xfId="2" applyNumberFormat="1" applyFont="1" applyFill="1" applyBorder="1" applyAlignment="1">
      <alignment horizontal="right" vertical="center"/>
    </xf>
    <xf numFmtId="0" fontId="13" fillId="43" borderId="2" xfId="0" applyFont="1" applyFill="1" applyBorder="1" applyAlignment="1">
      <alignment horizontal="center" vertical="center"/>
    </xf>
    <xf numFmtId="166" fontId="13" fillId="44" borderId="0" xfId="2" applyNumberFormat="1" applyFont="1" applyFill="1" applyAlignment="1">
      <alignment vertical="center"/>
    </xf>
    <xf numFmtId="43" fontId="13" fillId="3" borderId="1" xfId="2" applyNumberFormat="1" applyFont="1" applyFill="1" applyBorder="1" applyAlignment="1">
      <alignment horizontal="center" vertical="center"/>
    </xf>
    <xf numFmtId="43" fontId="13" fillId="3" borderId="1" xfId="1" applyFont="1" applyFill="1" applyBorder="1" applyAlignment="1" applyProtection="1">
      <alignment horizontal="center" vertical="center"/>
    </xf>
    <xf numFmtId="166" fontId="13" fillId="44" borderId="21" xfId="2" applyNumberFormat="1" applyFont="1" applyFill="1" applyBorder="1" applyAlignment="1">
      <alignment vertical="center"/>
    </xf>
    <xf numFmtId="0" fontId="0" fillId="44" borderId="27" xfId="0" applyFill="1" applyBorder="1"/>
    <xf numFmtId="0" fontId="13" fillId="44" borderId="21" xfId="2" applyFont="1" applyFill="1" applyBorder="1" applyAlignment="1">
      <alignment vertical="center"/>
    </xf>
    <xf numFmtId="0" fontId="0" fillId="44" borderId="22" xfId="0" applyFill="1" applyBorder="1"/>
    <xf numFmtId="166" fontId="13" fillId="44" borderId="2" xfId="2" applyNumberFormat="1" applyFont="1" applyFill="1" applyBorder="1" applyAlignment="1">
      <alignment vertical="center"/>
    </xf>
    <xf numFmtId="0" fontId="13" fillId="44" borderId="2" xfId="0" applyFont="1" applyFill="1" applyBorder="1" applyAlignment="1">
      <alignment horizontal="center" vertical="center"/>
    </xf>
    <xf numFmtId="0" fontId="0" fillId="0" borderId="72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73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72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7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right"/>
    </xf>
    <xf numFmtId="0" fontId="6" fillId="3" borderId="0" xfId="0" applyFont="1" applyFill="1" applyAlignment="1">
      <alignment horizontal="right"/>
    </xf>
    <xf numFmtId="0" fontId="12" fillId="3" borderId="0" xfId="0" applyFont="1" applyFill="1" applyAlignment="1">
      <alignment horizontal="left"/>
    </xf>
    <xf numFmtId="165" fontId="0" fillId="41" borderId="3" xfId="0" applyNumberFormat="1" applyFill="1" applyBorder="1"/>
    <xf numFmtId="165" fontId="0" fillId="8" borderId="3" xfId="0" applyNumberFormat="1" applyFill="1" applyBorder="1"/>
    <xf numFmtId="165" fontId="0" fillId="4" borderId="3" xfId="0" applyNumberFormat="1" applyFill="1" applyBorder="1" applyProtection="1">
      <protection locked="0"/>
    </xf>
    <xf numFmtId="165" fontId="0" fillId="0" borderId="3" xfId="0" applyNumberFormat="1" applyBorder="1"/>
    <xf numFmtId="165" fontId="0" fillId="4" borderId="1" xfId="0" applyNumberFormat="1" applyFill="1" applyBorder="1" applyProtection="1">
      <protection locked="0"/>
    </xf>
    <xf numFmtId="0" fontId="0" fillId="3" borderId="22" xfId="0" applyFill="1" applyBorder="1"/>
    <xf numFmtId="165" fontId="0" fillId="8" borderId="1" xfId="0" applyNumberFormat="1" applyFill="1" applyBorder="1"/>
    <xf numFmtId="165" fontId="0" fillId="41" borderId="1" xfId="0" applyNumberFormat="1" applyFill="1" applyBorder="1"/>
    <xf numFmtId="165" fontId="0" fillId="0" borderId="1" xfId="0" applyNumberFormat="1" applyBorder="1"/>
    <xf numFmtId="0" fontId="0" fillId="51" borderId="0" xfId="0" applyFill="1"/>
    <xf numFmtId="167" fontId="0" fillId="51" borderId="0" xfId="0" applyNumberFormat="1" applyFill="1"/>
    <xf numFmtId="165" fontId="0" fillId="8" borderId="74" xfId="0" applyNumberFormat="1" applyFill="1" applyBorder="1"/>
    <xf numFmtId="165" fontId="0" fillId="51" borderId="0" xfId="0" applyNumberFormat="1" applyFill="1"/>
    <xf numFmtId="165" fontId="0" fillId="0" borderId="74" xfId="0" applyNumberFormat="1" applyBorder="1"/>
    <xf numFmtId="0" fontId="0" fillId="3" borderId="27" xfId="0" applyFill="1" applyBorder="1"/>
    <xf numFmtId="165" fontId="0" fillId="3" borderId="4" xfId="0" applyNumberFormat="1" applyFill="1" applyBorder="1"/>
    <xf numFmtId="0" fontId="0" fillId="52" borderId="0" xfId="0" applyFill="1"/>
    <xf numFmtId="167" fontId="0" fillId="52" borderId="0" xfId="0" applyNumberFormat="1" applyFill="1"/>
    <xf numFmtId="165" fontId="0" fillId="52" borderId="0" xfId="0" applyNumberFormat="1" applyFill="1"/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9" xfId="0" applyBorder="1" applyAlignment="1">
      <alignment horizontal="center" vertical="center"/>
    </xf>
    <xf numFmtId="43" fontId="27" fillId="2" borderId="0" xfId="1" applyFont="1" applyFill="1" applyAlignment="1" applyProtection="1">
      <alignment horizontal="center" vertical="center"/>
    </xf>
    <xf numFmtId="166" fontId="27" fillId="2" borderId="0" xfId="2" applyNumberFormat="1" applyFont="1" applyFill="1" applyAlignment="1">
      <alignment horizontal="center" vertical="center"/>
    </xf>
    <xf numFmtId="166" fontId="27" fillId="2" borderId="12" xfId="2" applyNumberFormat="1" applyFont="1" applyFill="1" applyBorder="1" applyAlignment="1">
      <alignment horizontal="center" vertical="center"/>
    </xf>
    <xf numFmtId="0" fontId="110" fillId="0" borderId="0" xfId="0" applyFont="1" applyAlignment="1">
      <alignment vertical="top"/>
    </xf>
    <xf numFmtId="0" fontId="0" fillId="0" borderId="0" xfId="0" applyAlignment="1">
      <alignment vertical="center"/>
    </xf>
    <xf numFmtId="0" fontId="110" fillId="0" borderId="0" xfId="0" applyFont="1" applyAlignment="1">
      <alignment horizontal="center"/>
    </xf>
    <xf numFmtId="0" fontId="14" fillId="0" borderId="0" xfId="0" applyFont="1" applyAlignment="1">
      <alignment vertical="center" wrapText="1"/>
    </xf>
    <xf numFmtId="0" fontId="148" fillId="0" borderId="0" xfId="0" applyFont="1"/>
    <xf numFmtId="0" fontId="26" fillId="0" borderId="0" xfId="0" applyFont="1" applyAlignment="1">
      <alignment horizontal="left"/>
    </xf>
    <xf numFmtId="0" fontId="26" fillId="0" borderId="2" xfId="0" applyFont="1" applyBorder="1" applyAlignment="1">
      <alignment vertical="center" wrapText="1"/>
    </xf>
    <xf numFmtId="0" fontId="148" fillId="0" borderId="2" xfId="0" applyFont="1" applyBorder="1" applyAlignment="1">
      <alignment horizontal="left"/>
    </xf>
    <xf numFmtId="0" fontId="148" fillId="0" borderId="45" xfId="0" applyFont="1" applyBorder="1" applyAlignment="1">
      <alignment horizontal="left"/>
    </xf>
    <xf numFmtId="0" fontId="148" fillId="0" borderId="25" xfId="0" applyFont="1" applyBorder="1" applyAlignment="1">
      <alignment horizontal="left"/>
    </xf>
    <xf numFmtId="0" fontId="149" fillId="0" borderId="1" xfId="0" applyFont="1" applyBorder="1" applyAlignment="1">
      <alignment wrapText="1"/>
    </xf>
    <xf numFmtId="0" fontId="131" fillId="0" borderId="0" xfId="0" applyFont="1" applyAlignment="1">
      <alignment horizontal="right"/>
    </xf>
    <xf numFmtId="0" fontId="126" fillId="0" borderId="0" xfId="0" applyFont="1"/>
    <xf numFmtId="0" fontId="150" fillId="0" borderId="0" xfId="0" applyFont="1"/>
    <xf numFmtId="14" fontId="6" fillId="0" borderId="0" xfId="0" applyNumberFormat="1" applyFont="1" applyAlignment="1">
      <alignment horizontal="center"/>
    </xf>
    <xf numFmtId="0" fontId="5" fillId="0" borderId="0" xfId="0" applyFont="1"/>
    <xf numFmtId="0" fontId="152" fillId="54" borderId="0" xfId="0" applyFont="1" applyFill="1" applyAlignment="1">
      <alignment vertical="center"/>
    </xf>
    <xf numFmtId="0" fontId="152" fillId="5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53" fillId="0" borderId="97" xfId="0" applyFont="1" applyBorder="1" applyAlignment="1">
      <alignment vertical="center"/>
    </xf>
    <xf numFmtId="0" fontId="153" fillId="0" borderId="52" xfId="0" applyFont="1" applyBorder="1" applyAlignment="1">
      <alignment vertical="center"/>
    </xf>
    <xf numFmtId="0" fontId="153" fillId="0" borderId="52" xfId="0" applyFont="1" applyBorder="1" applyAlignment="1">
      <alignment horizontal="center" vertical="center"/>
    </xf>
    <xf numFmtId="0" fontId="153" fillId="56" borderId="52" xfId="0" applyFont="1" applyFill="1" applyBorder="1" applyAlignment="1">
      <alignment horizontal="center" vertical="center"/>
    </xf>
    <xf numFmtId="0" fontId="153" fillId="0" borderId="52" xfId="0" applyFont="1" applyBorder="1" applyAlignment="1">
      <alignment vertical="center" wrapText="1"/>
    </xf>
    <xf numFmtId="0" fontId="153" fillId="55" borderId="52" xfId="0" applyFont="1" applyFill="1" applyBorder="1" applyAlignment="1">
      <alignment horizontal="center" vertical="center"/>
    </xf>
    <xf numFmtId="0" fontId="153" fillId="12" borderId="97" xfId="0" applyFont="1" applyFill="1" applyBorder="1" applyAlignment="1">
      <alignment vertical="center"/>
    </xf>
    <xf numFmtId="0" fontId="153" fillId="12" borderId="52" xfId="0" applyFont="1" applyFill="1" applyBorder="1" applyAlignment="1">
      <alignment vertical="center"/>
    </xf>
    <xf numFmtId="0" fontId="153" fillId="12" borderId="96" xfId="0" applyFont="1" applyFill="1" applyBorder="1" applyAlignment="1">
      <alignment vertical="center"/>
    </xf>
    <xf numFmtId="0" fontId="153" fillId="12" borderId="89" xfId="0" applyFont="1" applyFill="1" applyBorder="1" applyAlignment="1">
      <alignment vertical="center"/>
    </xf>
    <xf numFmtId="0" fontId="153" fillId="56" borderId="89" xfId="0" applyFont="1" applyFill="1" applyBorder="1" applyAlignment="1">
      <alignment horizontal="center" vertical="center"/>
    </xf>
    <xf numFmtId="0" fontId="153" fillId="0" borderId="89" xfId="0" applyFont="1" applyBorder="1" applyAlignment="1">
      <alignment vertical="center" wrapText="1"/>
    </xf>
    <xf numFmtId="0" fontId="153" fillId="0" borderId="98" xfId="0" applyFont="1" applyBorder="1" applyAlignment="1">
      <alignment vertical="center"/>
    </xf>
    <xf numFmtId="0" fontId="153" fillId="0" borderId="99" xfId="0" applyFont="1" applyBorder="1" applyAlignment="1">
      <alignment vertical="center"/>
    </xf>
    <xf numFmtId="0" fontId="153" fillId="56" borderId="99" xfId="0" applyFont="1" applyFill="1" applyBorder="1" applyAlignment="1">
      <alignment horizontal="center" vertical="center"/>
    </xf>
    <xf numFmtId="0" fontId="153" fillId="0" borderId="99" xfId="0" applyFont="1" applyBorder="1" applyAlignment="1">
      <alignment vertical="center" wrapText="1"/>
    </xf>
    <xf numFmtId="0" fontId="153" fillId="0" borderId="100" xfId="0" applyFont="1" applyBorder="1" applyAlignment="1">
      <alignment vertical="center"/>
    </xf>
    <xf numFmtId="0" fontId="153" fillId="0" borderId="101" xfId="0" applyFont="1" applyBorder="1" applyAlignment="1">
      <alignment vertical="center"/>
    </xf>
    <xf numFmtId="0" fontId="153" fillId="56" borderId="101" xfId="0" applyFont="1" applyFill="1" applyBorder="1" applyAlignment="1">
      <alignment horizontal="center" vertical="center"/>
    </xf>
    <xf numFmtId="0" fontId="153" fillId="0" borderId="101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56" fillId="0" borderId="0" xfId="0" applyFont="1"/>
    <xf numFmtId="0" fontId="136" fillId="0" borderId="80" xfId="0" applyFont="1" applyBorder="1" applyAlignment="1">
      <alignment wrapText="1"/>
    </xf>
    <xf numFmtId="0" fontId="136" fillId="0" borderId="81" xfId="0" applyFont="1" applyBorder="1" applyAlignment="1">
      <alignment wrapText="1"/>
    </xf>
    <xf numFmtId="0" fontId="136" fillId="0" borderId="102" xfId="0" applyFont="1" applyBorder="1" applyAlignment="1">
      <alignment wrapText="1"/>
    </xf>
    <xf numFmtId="0" fontId="15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43" fontId="12" fillId="3" borderId="1" xfId="1" applyFont="1" applyFill="1" applyBorder="1" applyAlignment="1" applyProtection="1">
      <alignment horizontal="center" vertical="center" wrapText="1"/>
    </xf>
    <xf numFmtId="0" fontId="125" fillId="3" borderId="80" xfId="0" applyFont="1" applyFill="1" applyBorder="1" applyAlignment="1" applyProtection="1">
      <alignment horizontal="left" vertical="center" wrapText="1"/>
      <protection locked="0"/>
    </xf>
    <xf numFmtId="0" fontId="125" fillId="48" borderId="80" xfId="0" applyFont="1" applyFill="1" applyBorder="1" applyAlignment="1" applyProtection="1">
      <alignment horizontal="center" vertical="center" wrapText="1"/>
      <protection locked="0"/>
    </xf>
    <xf numFmtId="0" fontId="29" fillId="3" borderId="80" xfId="0" applyFont="1" applyFill="1" applyBorder="1" applyProtection="1">
      <protection locked="0"/>
    </xf>
    <xf numFmtId="0" fontId="125" fillId="3" borderId="81" xfId="0" applyFont="1" applyFill="1" applyBorder="1" applyAlignment="1" applyProtection="1">
      <alignment horizontal="left" vertical="center" wrapText="1"/>
      <protection locked="0"/>
    </xf>
    <xf numFmtId="0" fontId="125" fillId="48" borderId="81" xfId="0" applyFont="1" applyFill="1" applyBorder="1" applyAlignment="1" applyProtection="1">
      <alignment horizontal="center" vertical="center" wrapText="1"/>
      <protection locked="0"/>
    </xf>
    <xf numFmtId="0" fontId="29" fillId="3" borderId="81" xfId="0" applyFont="1" applyFill="1" applyBorder="1" applyProtection="1">
      <protection locked="0"/>
    </xf>
    <xf numFmtId="43" fontId="29" fillId="0" borderId="0" xfId="1" applyFont="1"/>
    <xf numFmtId="43" fontId="29" fillId="7" borderId="0" xfId="1" applyFont="1" applyFill="1"/>
    <xf numFmtId="0" fontId="155" fillId="0" borderId="0" xfId="0" applyFont="1"/>
    <xf numFmtId="49" fontId="118" fillId="0" borderId="0" xfId="0" applyNumberFormat="1" applyFont="1" applyAlignment="1">
      <alignment vertical="center" wrapText="1" readingOrder="1"/>
    </xf>
    <xf numFmtId="0" fontId="118" fillId="0" borderId="57" xfId="0" applyFont="1" applyBorder="1" applyAlignment="1">
      <alignment horizontal="center" vertical="center" wrapText="1" readingOrder="1"/>
    </xf>
    <xf numFmtId="49" fontId="119" fillId="0" borderId="67" xfId="0" applyNumberFormat="1" applyFont="1" applyBorder="1" applyAlignment="1">
      <alignment vertical="center" wrapText="1" readingOrder="1"/>
    </xf>
    <xf numFmtId="0" fontId="118" fillId="0" borderId="58" xfId="0" applyFont="1" applyBorder="1" applyAlignment="1">
      <alignment horizontal="center" vertical="center" wrapText="1" readingOrder="1"/>
    </xf>
    <xf numFmtId="1" fontId="119" fillId="0" borderId="67" xfId="0" applyNumberFormat="1" applyFont="1" applyBorder="1" applyAlignment="1">
      <alignment horizontal="left" vertical="center" wrapText="1" readingOrder="1"/>
    </xf>
    <xf numFmtId="1" fontId="119" fillId="0" borderId="62" xfId="0" applyNumberFormat="1" applyFont="1" applyBorder="1" applyAlignment="1">
      <alignment horizontal="center" vertical="center" wrapText="1" readingOrder="1"/>
    </xf>
    <xf numFmtId="14" fontId="159" fillId="6" borderId="1" xfId="0" applyNumberFormat="1" applyFont="1" applyFill="1" applyBorder="1" applyAlignment="1">
      <alignment horizontal="center"/>
    </xf>
    <xf numFmtId="0" fontId="159" fillId="6" borderId="0" xfId="0" applyFont="1" applyFill="1" applyAlignment="1">
      <alignment horizontal="left"/>
    </xf>
    <xf numFmtId="164" fontId="0" fillId="0" borderId="1" xfId="1" applyNumberFormat="1" applyFont="1" applyFill="1" applyBorder="1" applyProtection="1"/>
    <xf numFmtId="0" fontId="0" fillId="0" borderId="1" xfId="0" applyBorder="1"/>
    <xf numFmtId="0" fontId="72" fillId="58" borderId="12" xfId="402" applyFont="1" applyFill="1" applyBorder="1" applyAlignment="1">
      <alignment horizontal="left" vertical="center"/>
    </xf>
    <xf numFmtId="0" fontId="72" fillId="58" borderId="0" xfId="402" applyFont="1" applyFill="1" applyAlignment="1">
      <alignment horizontal="left" vertical="center"/>
    </xf>
    <xf numFmtId="0" fontId="3" fillId="0" borderId="0" xfId="828"/>
    <xf numFmtId="0" fontId="3" fillId="59" borderId="0" xfId="828" applyFill="1"/>
    <xf numFmtId="0" fontId="161" fillId="0" borderId="0" xfId="828" applyFont="1" applyAlignment="1">
      <alignment horizontal="center"/>
    </xf>
    <xf numFmtId="0" fontId="3" fillId="60" borderId="21" xfId="828" applyFill="1" applyBorder="1" applyAlignment="1">
      <alignment horizontal="center"/>
    </xf>
    <xf numFmtId="0" fontId="3" fillId="60" borderId="22" xfId="828" applyFill="1" applyBorder="1" applyAlignment="1">
      <alignment horizontal="center"/>
    </xf>
    <xf numFmtId="0" fontId="3" fillId="61" borderId="21" xfId="828" applyFill="1" applyBorder="1" applyAlignment="1">
      <alignment horizontal="center"/>
    </xf>
    <xf numFmtId="0" fontId="3" fillId="61" borderId="27" xfId="828" applyFill="1" applyBorder="1" applyAlignment="1">
      <alignment horizontal="center"/>
    </xf>
    <xf numFmtId="0" fontId="3" fillId="61" borderId="22" xfId="828" applyFill="1" applyBorder="1" applyAlignment="1">
      <alignment horizontal="center"/>
    </xf>
    <xf numFmtId="0" fontId="3" fillId="62" borderId="21" xfId="828" applyFill="1" applyBorder="1" applyAlignment="1">
      <alignment horizontal="center"/>
    </xf>
    <xf numFmtId="0" fontId="3" fillId="62" borderId="22" xfId="828" applyFill="1" applyBorder="1" applyAlignment="1">
      <alignment horizontal="center"/>
    </xf>
    <xf numFmtId="0" fontId="3" fillId="63" borderId="21" xfId="828" applyFill="1" applyBorder="1" applyAlignment="1">
      <alignment horizontal="center"/>
    </xf>
    <xf numFmtId="0" fontId="3" fillId="63" borderId="27" xfId="828" applyFill="1" applyBorder="1" applyAlignment="1">
      <alignment horizontal="center"/>
    </xf>
    <xf numFmtId="0" fontId="3" fillId="63" borderId="22" xfId="828" applyFill="1" applyBorder="1" applyAlignment="1">
      <alignment horizontal="center"/>
    </xf>
    <xf numFmtId="0" fontId="3" fillId="0" borderId="4" xfId="828" applyBorder="1" applyAlignment="1">
      <alignment horizontal="center"/>
    </xf>
    <xf numFmtId="0" fontId="3" fillId="64" borderId="21" xfId="828" applyFill="1" applyBorder="1" applyAlignment="1">
      <alignment horizontal="center"/>
    </xf>
    <xf numFmtId="0" fontId="3" fillId="64" borderId="27" xfId="828" applyFill="1" applyBorder="1" applyAlignment="1">
      <alignment horizontal="center"/>
    </xf>
    <xf numFmtId="0" fontId="3" fillId="64" borderId="22" xfId="828" applyFill="1" applyBorder="1" applyAlignment="1">
      <alignment horizontal="center"/>
    </xf>
    <xf numFmtId="0" fontId="162" fillId="58" borderId="2" xfId="402" applyFont="1" applyFill="1" applyBorder="1" applyAlignment="1">
      <alignment horizontal="center" vertical="center"/>
    </xf>
    <xf numFmtId="0" fontId="163" fillId="0" borderId="103" xfId="828" applyFont="1" applyBorder="1" applyAlignment="1">
      <alignment horizontal="center" vertical="center" wrapText="1"/>
    </xf>
    <xf numFmtId="0" fontId="163" fillId="0" borderId="50" xfId="828" applyFont="1" applyBorder="1" applyAlignment="1">
      <alignment horizontal="center" vertical="center" wrapText="1"/>
    </xf>
    <xf numFmtId="0" fontId="163" fillId="0" borderId="104" xfId="828" applyFont="1" applyBorder="1" applyAlignment="1">
      <alignment horizontal="center" vertical="center" wrapText="1"/>
    </xf>
    <xf numFmtId="0" fontId="163" fillId="59" borderId="104" xfId="828" applyFont="1" applyFill="1" applyBorder="1" applyAlignment="1">
      <alignment horizontal="center" vertical="center" wrapText="1"/>
    </xf>
    <xf numFmtId="0" fontId="163" fillId="0" borderId="105" xfId="828" applyFont="1" applyBorder="1" applyAlignment="1">
      <alignment horizontal="center" vertical="center" wrapText="1"/>
    </xf>
    <xf numFmtId="0" fontId="163" fillId="0" borderId="106" xfId="828" applyFont="1" applyBorder="1" applyAlignment="1">
      <alignment horizontal="center" vertical="center" wrapText="1"/>
    </xf>
    <xf numFmtId="0" fontId="163" fillId="0" borderId="107" xfId="828" applyFont="1" applyBorder="1" applyAlignment="1">
      <alignment horizontal="center" vertical="center" wrapText="1"/>
    </xf>
    <xf numFmtId="0" fontId="163" fillId="0" borderId="108" xfId="828" applyFont="1" applyBorder="1" applyAlignment="1">
      <alignment horizontal="center" vertical="center" wrapText="1"/>
    </xf>
    <xf numFmtId="0" fontId="164" fillId="0" borderId="26" xfId="828" applyFont="1" applyBorder="1" applyAlignment="1">
      <alignment horizontal="center" vertical="center" wrapText="1"/>
    </xf>
    <xf numFmtId="0" fontId="164" fillId="59" borderId="26" xfId="828" applyFont="1" applyFill="1" applyBorder="1" applyAlignment="1">
      <alignment horizontal="center" vertical="center" wrapText="1"/>
    </xf>
    <xf numFmtId="0" fontId="162" fillId="58" borderId="1" xfId="402" applyFont="1" applyFill="1" applyBorder="1" applyAlignment="1">
      <alignment vertical="center"/>
    </xf>
    <xf numFmtId="0" fontId="162" fillId="58" borderId="1" xfId="402" applyFont="1" applyFill="1" applyBorder="1" applyAlignment="1">
      <alignment horizontal="center" vertical="center"/>
    </xf>
    <xf numFmtId="0" fontId="162" fillId="59" borderId="1" xfId="402" applyFont="1" applyFill="1" applyBorder="1" applyAlignment="1">
      <alignment horizontal="center" vertical="center"/>
    </xf>
    <xf numFmtId="178" fontId="162" fillId="58" borderId="1" xfId="402" applyNumberFormat="1" applyFont="1" applyFill="1" applyBorder="1" applyAlignment="1">
      <alignment horizontal="center" vertical="center"/>
    </xf>
    <xf numFmtId="0" fontId="3" fillId="0" borderId="1" xfId="402" applyBorder="1" applyAlignment="1">
      <alignment vertical="center"/>
    </xf>
    <xf numFmtId="0" fontId="3" fillId="0" borderId="2" xfId="402" applyBorder="1" applyAlignment="1">
      <alignment vertical="center"/>
    </xf>
    <xf numFmtId="3" fontId="165" fillId="0" borderId="1" xfId="244" applyNumberFormat="1" applyFont="1" applyBorder="1" applyAlignment="1" applyProtection="1">
      <alignment horizontal="right"/>
    </xf>
    <xf numFmtId="179" fontId="3" fillId="0" borderId="1" xfId="829" applyNumberFormat="1"/>
    <xf numFmtId="179" fontId="3" fillId="0" borderId="1" xfId="749" applyNumberFormat="1"/>
    <xf numFmtId="179" fontId="3" fillId="0" borderId="1" xfId="830" applyNumberFormat="1"/>
    <xf numFmtId="179" fontId="3" fillId="0" borderId="1" xfId="831" applyNumberFormat="1"/>
    <xf numFmtId="179" fontId="3" fillId="0" borderId="1" xfId="832" applyNumberFormat="1"/>
    <xf numFmtId="179" fontId="3" fillId="59" borderId="1" xfId="749" applyNumberFormat="1" applyFill="1"/>
    <xf numFmtId="179" fontId="3" fillId="0" borderId="1" xfId="402" applyNumberFormat="1" applyBorder="1" applyAlignment="1">
      <alignment vertical="center"/>
    </xf>
    <xf numFmtId="178" fontId="166" fillId="65" borderId="1" xfId="833" applyNumberFormat="1" applyFont="1" applyFill="1" applyBorder="1" applyAlignment="1" applyProtection="1">
      <alignment vertical="center"/>
    </xf>
    <xf numFmtId="3" fontId="0" fillId="0" borderId="0" xfId="0" applyNumberFormat="1"/>
    <xf numFmtId="179" fontId="3" fillId="0" borderId="1" xfId="834" applyNumberFormat="1"/>
    <xf numFmtId="3" fontId="3" fillId="0" borderId="1" xfId="835" applyNumberFormat="1" applyBorder="1" applyAlignment="1">
      <alignment vertical="center"/>
    </xf>
    <xf numFmtId="179" fontId="3" fillId="0" borderId="1" xfId="836" applyNumberFormat="1"/>
    <xf numFmtId="0" fontId="3" fillId="0" borderId="1" xfId="828" applyBorder="1"/>
    <xf numFmtId="179" fontId="3" fillId="0" borderId="1" xfId="837" applyNumberFormat="1"/>
    <xf numFmtId="37" fontId="3" fillId="0" borderId="1" xfId="838" applyNumberFormat="1" applyFont="1" applyFill="1" applyBorder="1" applyProtection="1"/>
    <xf numFmtId="179" fontId="3" fillId="0" borderId="109" xfId="402" applyNumberFormat="1" applyBorder="1" applyAlignment="1">
      <alignment vertical="center"/>
    </xf>
    <xf numFmtId="37" fontId="3" fillId="0" borderId="1" xfId="828" applyNumberFormat="1" applyBorder="1"/>
    <xf numFmtId="179" fontId="3" fillId="0" borderId="1" xfId="828" applyNumberFormat="1" applyBorder="1"/>
    <xf numFmtId="0" fontId="3" fillId="0" borderId="1" xfId="749"/>
    <xf numFmtId="0" fontId="3" fillId="0" borderId="2" xfId="749" applyBorder="1"/>
    <xf numFmtId="178" fontId="166" fillId="65" borderId="1" xfId="839" applyNumberFormat="1" applyFont="1" applyFill="1" applyBorder="1" applyAlignment="1" applyProtection="1">
      <alignment vertical="center"/>
    </xf>
    <xf numFmtId="178" fontId="166" fillId="65" borderId="1" xfId="840" applyNumberFormat="1" applyFont="1" applyFill="1" applyBorder="1" applyAlignment="1" applyProtection="1">
      <alignment vertical="center"/>
    </xf>
    <xf numFmtId="0" fontId="162" fillId="58" borderId="2" xfId="402" applyFont="1" applyFill="1" applyBorder="1" applyAlignment="1">
      <alignment vertical="center"/>
    </xf>
    <xf numFmtId="179" fontId="162" fillId="58" borderId="110" xfId="402" applyNumberFormat="1" applyFont="1" applyFill="1" applyBorder="1" applyAlignment="1">
      <alignment vertical="center"/>
    </xf>
    <xf numFmtId="179" fontId="162" fillId="58" borderId="109" xfId="402" applyNumberFormat="1" applyFont="1" applyFill="1" applyBorder="1" applyAlignment="1">
      <alignment vertical="center"/>
    </xf>
    <xf numFmtId="179" fontId="162" fillId="58" borderId="1" xfId="402" applyNumberFormat="1" applyFont="1" applyFill="1" applyBorder="1" applyAlignment="1">
      <alignment vertical="center"/>
    </xf>
    <xf numFmtId="179" fontId="162" fillId="59" borderId="1" xfId="402" applyNumberFormat="1" applyFont="1" applyFill="1" applyBorder="1" applyAlignment="1">
      <alignment vertical="center"/>
    </xf>
    <xf numFmtId="179" fontId="162" fillId="58" borderId="2" xfId="402" applyNumberFormat="1" applyFont="1" applyFill="1" applyBorder="1" applyAlignment="1">
      <alignment vertical="center"/>
    </xf>
    <xf numFmtId="178" fontId="162" fillId="58" borderId="1" xfId="838" applyNumberFormat="1" applyFont="1" applyFill="1" applyBorder="1" applyAlignment="1" applyProtection="1">
      <alignment vertical="center"/>
    </xf>
    <xf numFmtId="179" fontId="162" fillId="58" borderId="111" xfId="402" applyNumberFormat="1" applyFont="1" applyFill="1" applyBorder="1" applyAlignment="1">
      <alignment vertical="center"/>
    </xf>
    <xf numFmtId="179" fontId="162" fillId="58" borderId="97" xfId="402" applyNumberFormat="1" applyFont="1" applyFill="1" applyBorder="1" applyAlignment="1">
      <alignment vertical="center"/>
    </xf>
    <xf numFmtId="0" fontId="3" fillId="0" borderId="17" xfId="828" applyBorder="1"/>
    <xf numFmtId="0" fontId="3" fillId="0" borderId="46" xfId="828" applyBorder="1"/>
    <xf numFmtId="178" fontId="0" fillId="0" borderId="1" xfId="838" applyNumberFormat="1" applyFont="1" applyBorder="1" applyProtection="1"/>
    <xf numFmtId="0" fontId="3" fillId="0" borderId="28" xfId="828" applyBorder="1"/>
    <xf numFmtId="0" fontId="162" fillId="59" borderId="1" xfId="402" applyFont="1" applyFill="1" applyBorder="1" applyAlignment="1">
      <alignment vertical="center"/>
    </xf>
    <xf numFmtId="0" fontId="162" fillId="58" borderId="111" xfId="402" applyFont="1" applyFill="1" applyBorder="1" applyAlignment="1">
      <alignment vertical="center"/>
    </xf>
    <xf numFmtId="37" fontId="165" fillId="0" borderId="42" xfId="244" applyNumberFormat="1" applyFont="1" applyBorder="1" applyProtection="1"/>
    <xf numFmtId="178" fontId="166" fillId="65" borderId="1" xfId="841" applyNumberFormat="1" applyFont="1" applyFill="1" applyBorder="1" applyAlignment="1" applyProtection="1">
      <alignment vertical="center"/>
    </xf>
    <xf numFmtId="178" fontId="3" fillId="0" borderId="0" xfId="838" applyNumberFormat="1" applyFont="1" applyFill="1" applyAlignment="1" applyProtection="1">
      <alignment vertical="center"/>
    </xf>
    <xf numFmtId="178" fontId="166" fillId="65" borderId="1" xfId="842" applyNumberFormat="1" applyFont="1" applyFill="1" applyBorder="1" applyAlignment="1" applyProtection="1">
      <alignment vertical="center"/>
    </xf>
    <xf numFmtId="37" fontId="165" fillId="0" borderId="112" xfId="244" applyNumberFormat="1" applyFont="1" applyBorder="1" applyProtection="1"/>
    <xf numFmtId="37" fontId="165" fillId="0" borderId="113" xfId="244" applyNumberFormat="1" applyFont="1" applyBorder="1" applyProtection="1"/>
    <xf numFmtId="178" fontId="166" fillId="65" borderId="1" xfId="843" applyNumberFormat="1" applyFont="1" applyFill="1" applyBorder="1" applyAlignment="1" applyProtection="1">
      <alignment vertical="center"/>
    </xf>
    <xf numFmtId="178" fontId="166" fillId="65" borderId="1" xfId="844" applyNumberFormat="1" applyFont="1" applyFill="1" applyBorder="1" applyAlignment="1" applyProtection="1">
      <alignment vertical="center"/>
    </xf>
    <xf numFmtId="179" fontId="3" fillId="59" borderId="1" xfId="402" applyNumberFormat="1" applyFill="1" applyBorder="1" applyAlignment="1">
      <alignment vertical="center"/>
    </xf>
    <xf numFmtId="37" fontId="165" fillId="0" borderId="114" xfId="244" applyNumberFormat="1" applyFont="1" applyBorder="1" applyProtection="1"/>
    <xf numFmtId="37" fontId="165" fillId="0" borderId="4" xfId="244" applyNumberFormat="1" applyFont="1" applyBorder="1" applyAlignment="1" applyProtection="1"/>
    <xf numFmtId="3" fontId="167" fillId="66" borderId="1" xfId="845">
      <alignment vertical="center"/>
    </xf>
    <xf numFmtId="3" fontId="167" fillId="66" borderId="1" xfId="846">
      <alignment vertical="center"/>
    </xf>
    <xf numFmtId="3" fontId="167" fillId="66" borderId="1" xfId="847">
      <alignment vertical="center"/>
    </xf>
    <xf numFmtId="165" fontId="3" fillId="0" borderId="110" xfId="402" applyNumberFormat="1" applyBorder="1" applyAlignment="1">
      <alignment vertical="center"/>
    </xf>
    <xf numFmtId="165" fontId="3" fillId="59" borderId="110" xfId="402" applyNumberFormat="1" applyFill="1" applyBorder="1" applyAlignment="1">
      <alignment vertical="center"/>
    </xf>
    <xf numFmtId="178" fontId="166" fillId="67" borderId="3" xfId="0" applyNumberFormat="1" applyFont="1" applyFill="1" applyBorder="1" applyAlignment="1">
      <alignment vertical="center"/>
    </xf>
    <xf numFmtId="3" fontId="0" fillId="0" borderId="46" xfId="0" applyNumberFormat="1" applyBorder="1"/>
    <xf numFmtId="179" fontId="4" fillId="59" borderId="1" xfId="847" applyNumberFormat="1" applyFont="1" applyFill="1">
      <alignment vertical="center"/>
    </xf>
    <xf numFmtId="37" fontId="165" fillId="0" borderId="4" xfId="848" applyNumberFormat="1" applyFont="1" applyBorder="1" applyAlignment="1" applyProtection="1"/>
    <xf numFmtId="165" fontId="3" fillId="0" borderId="1" xfId="402" applyNumberFormat="1" applyBorder="1" applyAlignment="1">
      <alignment vertical="center"/>
    </xf>
    <xf numFmtId="0" fontId="168" fillId="52" borderId="2" xfId="402" applyFont="1" applyFill="1" applyBorder="1" applyAlignment="1">
      <alignment vertical="center"/>
    </xf>
    <xf numFmtId="179" fontId="4" fillId="52" borderId="110" xfId="402" applyNumberFormat="1" applyFont="1" applyFill="1" applyBorder="1" applyAlignment="1">
      <alignment vertical="center"/>
    </xf>
    <xf numFmtId="179" fontId="4" fillId="52" borderId="109" xfId="402" applyNumberFormat="1" applyFont="1" applyFill="1" applyBorder="1" applyAlignment="1">
      <alignment vertical="center"/>
    </xf>
    <xf numFmtId="0" fontId="3" fillId="0" borderId="0" xfId="402" applyAlignment="1">
      <alignment vertical="center"/>
    </xf>
    <xf numFmtId="0" fontId="3" fillId="0" borderId="17" xfId="402" applyBorder="1" applyAlignment="1">
      <alignment vertical="center"/>
    </xf>
    <xf numFmtId="0" fontId="3" fillId="0" borderId="46" xfId="402" applyBorder="1" applyAlignment="1">
      <alignment vertical="center"/>
    </xf>
    <xf numFmtId="178" fontId="166" fillId="65" borderId="1" xfId="849" applyNumberFormat="1" applyFont="1" applyFill="1" applyBorder="1" applyAlignment="1" applyProtection="1">
      <alignment vertical="center"/>
    </xf>
    <xf numFmtId="3" fontId="32" fillId="0" borderId="42" xfId="835" applyNumberFormat="1" applyFont="1" applyBorder="1" applyAlignment="1">
      <alignment vertical="center"/>
    </xf>
    <xf numFmtId="179" fontId="3" fillId="0" borderId="1" xfId="850" applyNumberFormat="1"/>
    <xf numFmtId="179" fontId="3" fillId="0" borderId="115" xfId="402" applyNumberFormat="1" applyBorder="1" applyAlignment="1">
      <alignment vertical="center"/>
    </xf>
    <xf numFmtId="179" fontId="3" fillId="0" borderId="110" xfId="402" applyNumberFormat="1" applyBorder="1" applyAlignment="1">
      <alignment vertical="center"/>
    </xf>
    <xf numFmtId="179" fontId="3" fillId="0" borderId="116" xfId="402" applyNumberFormat="1" applyBorder="1" applyAlignment="1">
      <alignment vertical="center"/>
    </xf>
    <xf numFmtId="178" fontId="0" fillId="0" borderId="0" xfId="838" applyNumberFormat="1" applyFont="1" applyBorder="1" applyProtection="1"/>
    <xf numFmtId="178" fontId="166" fillId="65" borderId="1" xfId="851" applyNumberFormat="1" applyFont="1" applyFill="1" applyBorder="1" applyAlignment="1" applyProtection="1">
      <alignment vertical="center"/>
    </xf>
    <xf numFmtId="0" fontId="162" fillId="0" borderId="2" xfId="402" applyFont="1" applyBorder="1" applyAlignment="1">
      <alignment vertical="center"/>
    </xf>
    <xf numFmtId="37" fontId="100" fillId="0" borderId="4" xfId="244" applyNumberFormat="1" applyFont="1" applyBorder="1" applyAlignment="1" applyProtection="1"/>
    <xf numFmtId="178" fontId="166" fillId="65" borderId="1" xfId="852" applyNumberFormat="1" applyFont="1" applyFill="1" applyBorder="1" applyAlignment="1" applyProtection="1">
      <alignment vertical="center"/>
    </xf>
    <xf numFmtId="179" fontId="4" fillId="44" borderId="1" xfId="847" applyNumberFormat="1" applyFont="1" applyFill="1">
      <alignment vertical="center"/>
    </xf>
    <xf numFmtId="179" fontId="168" fillId="52" borderId="117" xfId="402" applyNumberFormat="1" applyFont="1" applyFill="1" applyBorder="1" applyAlignment="1">
      <alignment vertical="center"/>
    </xf>
    <xf numFmtId="179" fontId="168" fillId="52" borderId="118" xfId="402" applyNumberFormat="1" applyFont="1" applyFill="1" applyBorder="1" applyAlignment="1">
      <alignment vertical="center"/>
    </xf>
    <xf numFmtId="179" fontId="168" fillId="52" borderId="56" xfId="402" applyNumberFormat="1" applyFont="1" applyFill="1" applyBorder="1" applyAlignment="1">
      <alignment vertical="center"/>
    </xf>
    <xf numFmtId="179" fontId="168" fillId="59" borderId="56" xfId="402" applyNumberFormat="1" applyFont="1" applyFill="1" applyBorder="1" applyAlignment="1">
      <alignment vertical="center"/>
    </xf>
    <xf numFmtId="178" fontId="168" fillId="52" borderId="56" xfId="838" applyNumberFormat="1" applyFont="1" applyFill="1" applyBorder="1" applyAlignment="1" applyProtection="1">
      <alignment vertical="center"/>
    </xf>
    <xf numFmtId="179" fontId="162" fillId="58" borderId="56" xfId="402" applyNumberFormat="1" applyFont="1" applyFill="1" applyBorder="1" applyAlignment="1">
      <alignment vertical="center"/>
    </xf>
    <xf numFmtId="179" fontId="168" fillId="52" borderId="96" xfId="402" applyNumberFormat="1" applyFont="1" applyFill="1" applyBorder="1" applyAlignment="1">
      <alignment vertical="center"/>
    </xf>
    <xf numFmtId="0" fontId="15" fillId="0" borderId="0" xfId="828" applyFont="1"/>
    <xf numFmtId="165" fontId="0" fillId="0" borderId="0" xfId="838" applyNumberFormat="1" applyFont="1" applyProtection="1"/>
    <xf numFmtId="0" fontId="7" fillId="68" borderId="4" xfId="0" applyFont="1" applyFill="1" applyBorder="1" applyAlignment="1">
      <alignment horizontal="left" vertical="top"/>
    </xf>
    <xf numFmtId="0" fontId="7" fillId="68" borderId="4" xfId="0" applyFont="1" applyFill="1" applyBorder="1" applyAlignment="1">
      <alignment horizontal="left" vertical="top" wrapText="1"/>
    </xf>
    <xf numFmtId="0" fontId="7" fillId="12" borderId="4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68" borderId="0" xfId="0" applyFont="1" applyFill="1" applyAlignment="1">
      <alignment horizontal="left" vertical="top"/>
    </xf>
    <xf numFmtId="0" fontId="7" fillId="68" borderId="0" xfId="0" applyFont="1" applyFill="1" applyAlignment="1">
      <alignment horizontal="left" vertical="top" wrapText="1"/>
    </xf>
    <xf numFmtId="0" fontId="160" fillId="57" borderId="0" xfId="827"/>
    <xf numFmtId="0" fontId="7" fillId="69" borderId="0" xfId="0" applyFont="1" applyFill="1" applyAlignment="1">
      <alignment horizontal="left" vertical="top" wrapText="1"/>
    </xf>
    <xf numFmtId="43" fontId="0" fillId="0" borderId="0" xfId="1" applyFont="1"/>
    <xf numFmtId="43" fontId="6" fillId="0" borderId="0" xfId="1" applyFont="1"/>
    <xf numFmtId="0" fontId="0" fillId="12" borderId="0" xfId="0" applyFill="1"/>
    <xf numFmtId="0" fontId="0" fillId="12" borderId="0" xfId="0" applyFill="1" applyAlignment="1">
      <alignment horizontal="right"/>
    </xf>
    <xf numFmtId="43" fontId="0" fillId="12" borderId="0" xfId="1" applyFont="1" applyFill="1"/>
    <xf numFmtId="43" fontId="6" fillId="12" borderId="0" xfId="1" applyFont="1" applyFill="1"/>
    <xf numFmtId="43" fontId="0" fillId="12" borderId="0" xfId="0" applyNumberFormat="1" applyFill="1"/>
    <xf numFmtId="0" fontId="27" fillId="0" borderId="1" xfId="0" applyFont="1" applyBorder="1"/>
    <xf numFmtId="0" fontId="27" fillId="12" borderId="1" xfId="0" applyFont="1" applyFill="1" applyBorder="1"/>
    <xf numFmtId="0" fontId="13" fillId="0" borderId="116" xfId="0" applyFont="1" applyBorder="1"/>
    <xf numFmtId="166" fontId="169" fillId="2" borderId="2" xfId="2" applyNumberFormat="1" applyFont="1" applyFill="1" applyBorder="1" applyAlignment="1">
      <alignment vertical="center"/>
    </xf>
    <xf numFmtId="0" fontId="169" fillId="0" borderId="2" xfId="0" applyFont="1" applyBorder="1" applyAlignment="1">
      <alignment horizontal="center" vertical="center"/>
    </xf>
    <xf numFmtId="0" fontId="26" fillId="7" borderId="79" xfId="0" applyFont="1" applyFill="1" applyBorder="1" applyAlignment="1">
      <alignment horizontal="left"/>
    </xf>
    <xf numFmtId="0" fontId="0" fillId="7" borderId="16" xfId="0" applyFill="1" applyBorder="1" applyAlignment="1">
      <alignment horizontal="right"/>
    </xf>
    <xf numFmtId="0" fontId="0" fillId="7" borderId="119" xfId="0" applyFill="1" applyBorder="1" applyAlignment="1">
      <alignment horizontal="right"/>
    </xf>
    <xf numFmtId="0" fontId="6" fillId="8" borderId="0" xfId="0" applyFont="1" applyFill="1" applyAlignment="1">
      <alignment horizontal="center"/>
    </xf>
    <xf numFmtId="0" fontId="26" fillId="7" borderId="17" xfId="0" applyFont="1" applyFill="1" applyBorder="1" applyAlignment="1">
      <alignment horizontal="left"/>
    </xf>
    <xf numFmtId="0" fontId="0" fillId="7" borderId="18" xfId="0" applyFill="1" applyBorder="1" applyAlignment="1">
      <alignment horizontal="right"/>
    </xf>
    <xf numFmtId="0" fontId="26" fillId="7" borderId="53" xfId="0" applyFont="1" applyFill="1" applyBorder="1" applyAlignment="1">
      <alignment horizontal="left"/>
    </xf>
    <xf numFmtId="0" fontId="0" fillId="7" borderId="54" xfId="0" applyFill="1" applyBorder="1" applyAlignment="1">
      <alignment horizontal="right"/>
    </xf>
    <xf numFmtId="0" fontId="0" fillId="7" borderId="55" xfId="0" applyFill="1" applyBorder="1" applyAlignment="1">
      <alignment horizontal="right"/>
    </xf>
    <xf numFmtId="0" fontId="0" fillId="0" borderId="1" xfId="0" applyBorder="1" applyAlignment="1">
      <alignment horizontal="center"/>
    </xf>
    <xf numFmtId="180" fontId="6" fillId="0" borderId="0" xfId="0" applyNumberFormat="1" applyFont="1"/>
    <xf numFmtId="164" fontId="29" fillId="4" borderId="1" xfId="0" applyNumberFormat="1" applyFont="1" applyFill="1" applyBorder="1" applyProtection="1">
      <protection locked="0"/>
    </xf>
    <xf numFmtId="0" fontId="12" fillId="0" borderId="0" xfId="0" applyFont="1"/>
    <xf numFmtId="181" fontId="0" fillId="0" borderId="1" xfId="0" applyNumberFormat="1" applyBorder="1"/>
    <xf numFmtId="164" fontId="13" fillId="3" borderId="1" xfId="2" applyNumberFormat="1" applyFont="1" applyFill="1" applyBorder="1" applyAlignment="1">
      <alignment horizontal="center" vertical="center" wrapText="1"/>
    </xf>
    <xf numFmtId="164" fontId="29" fillId="8" borderId="1" xfId="0" applyNumberFormat="1" applyFont="1" applyFill="1" applyBorder="1"/>
    <xf numFmtId="0" fontId="29" fillId="8" borderId="1" xfId="0" applyFont="1" applyFill="1" applyBorder="1"/>
    <xf numFmtId="181" fontId="6" fillId="3" borderId="1" xfId="0" applyNumberFormat="1" applyFont="1" applyFill="1" applyBorder="1"/>
    <xf numFmtId="0" fontId="170" fillId="0" borderId="0" xfId="0" applyFont="1"/>
    <xf numFmtId="43" fontId="3" fillId="0" borderId="0" xfId="1" applyFont="1"/>
    <xf numFmtId="43" fontId="3" fillId="0" borderId="0" xfId="828" applyNumberFormat="1"/>
    <xf numFmtId="164" fontId="29" fillId="4" borderId="29" xfId="1" applyNumberFormat="1" applyFont="1" applyFill="1" applyBorder="1" applyProtection="1">
      <protection locked="0"/>
    </xf>
    <xf numFmtId="164" fontId="124" fillId="0" borderId="69" xfId="1" applyNumberFormat="1" applyFont="1" applyBorder="1"/>
    <xf numFmtId="164" fontId="29" fillId="4" borderId="74" xfId="1" applyNumberFormat="1" applyFont="1" applyFill="1" applyBorder="1" applyProtection="1">
      <protection locked="0"/>
    </xf>
    <xf numFmtId="164" fontId="29" fillId="4" borderId="1" xfId="1" applyNumberFormat="1" applyFont="1" applyFill="1" applyBorder="1" applyProtection="1">
      <protection locked="0"/>
    </xf>
    <xf numFmtId="164" fontId="29" fillId="0" borderId="1" xfId="1" applyNumberFormat="1" applyFont="1" applyBorder="1"/>
    <xf numFmtId="164" fontId="29" fillId="4" borderId="25" xfId="1" applyNumberFormat="1" applyFont="1" applyFill="1" applyBorder="1" applyProtection="1">
      <protection locked="0"/>
    </xf>
    <xf numFmtId="164" fontId="124" fillId="7" borderId="22" xfId="1" applyNumberFormat="1" applyFont="1" applyFill="1" applyBorder="1"/>
    <xf numFmtId="164" fontId="26" fillId="0" borderId="56" xfId="1" applyNumberFormat="1" applyFont="1" applyBorder="1"/>
    <xf numFmtId="164" fontId="26" fillId="7" borderId="56" xfId="1" applyNumberFormat="1" applyFont="1" applyFill="1" applyBorder="1"/>
    <xf numFmtId="164" fontId="26" fillId="0" borderId="4" xfId="1" applyNumberFormat="1" applyFont="1" applyBorder="1"/>
    <xf numFmtId="164" fontId="0" fillId="4" borderId="1" xfId="1" applyNumberFormat="1" applyFont="1" applyFill="1" applyBorder="1" applyProtection="1">
      <protection locked="0"/>
    </xf>
    <xf numFmtId="164" fontId="0" fillId="8" borderId="1" xfId="1" applyNumberFormat="1" applyFont="1" applyFill="1" applyBorder="1" applyProtection="1"/>
    <xf numFmtId="164" fontId="6" fillId="43" borderId="4" xfId="1" applyNumberFormat="1" applyFont="1" applyFill="1" applyBorder="1" applyProtection="1"/>
    <xf numFmtId="164" fontId="0" fillId="4" borderId="1" xfId="0" applyNumberFormat="1" applyFill="1" applyBorder="1" applyProtection="1">
      <protection locked="0"/>
    </xf>
    <xf numFmtId="164" fontId="0" fillId="8" borderId="1" xfId="0" applyNumberFormat="1" applyFill="1" applyBorder="1"/>
    <xf numFmtId="164" fontId="0" fillId="43" borderId="4" xfId="0" applyNumberFormat="1" applyFill="1" applyBorder="1"/>
    <xf numFmtId="164" fontId="6" fillId="43" borderId="4" xfId="0" applyNumberFormat="1" applyFont="1" applyFill="1" applyBorder="1"/>
    <xf numFmtId="164" fontId="0" fillId="8" borderId="74" xfId="0" applyNumberFormat="1" applyFill="1" applyBorder="1"/>
    <xf numFmtId="164" fontId="0" fillId="0" borderId="1" xfId="0" applyNumberFormat="1" applyBorder="1"/>
    <xf numFmtId="164" fontId="0" fillId="0" borderId="74" xfId="0" applyNumberFormat="1" applyBorder="1"/>
    <xf numFmtId="164" fontId="0" fillId="4" borderId="56" xfId="0" applyNumberFormat="1" applyFill="1" applyBorder="1" applyProtection="1">
      <protection locked="0"/>
    </xf>
    <xf numFmtId="164" fontId="0" fillId="44" borderId="4" xfId="0" applyNumberFormat="1" applyFill="1" applyBorder="1"/>
    <xf numFmtId="164" fontId="0" fillId="4" borderId="74" xfId="0" applyNumberFormat="1" applyFill="1" applyBorder="1" applyProtection="1">
      <protection locked="0"/>
    </xf>
    <xf numFmtId="164" fontId="0" fillId="0" borderId="4" xfId="0" applyNumberFormat="1" applyBorder="1"/>
    <xf numFmtId="0" fontId="27" fillId="0" borderId="0" xfId="0" applyFont="1"/>
    <xf numFmtId="43" fontId="0" fillId="0" borderId="0" xfId="1" applyFont="1" applyFill="1"/>
    <xf numFmtId="0" fontId="13" fillId="0" borderId="0" xfId="0" applyFont="1"/>
    <xf numFmtId="0" fontId="142" fillId="0" borderId="0" xfId="0" applyFont="1"/>
    <xf numFmtId="0" fontId="13" fillId="0" borderId="1" xfId="0" applyFont="1" applyBorder="1" applyAlignment="1">
      <alignment horizontal="center"/>
    </xf>
    <xf numFmtId="0" fontId="27" fillId="0" borderId="2" xfId="0" applyFont="1" applyBorder="1" applyAlignment="1">
      <alignment horizontal="center" wrapText="1"/>
    </xf>
    <xf numFmtId="17" fontId="13" fillId="0" borderId="45" xfId="0" applyNumberFormat="1" applyFont="1" applyBorder="1" applyAlignment="1">
      <alignment horizontal="center"/>
    </xf>
    <xf numFmtId="0" fontId="13" fillId="3" borderId="45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27" fillId="0" borderId="12" xfId="0" applyFont="1" applyBorder="1"/>
    <xf numFmtId="0" fontId="171" fillId="0" borderId="0" xfId="0" applyFont="1"/>
    <xf numFmtId="0" fontId="13" fillId="0" borderId="115" xfId="0" applyFont="1" applyBorder="1"/>
    <xf numFmtId="43" fontId="0" fillId="0" borderId="0" xfId="1" applyFont="1" applyBorder="1"/>
    <xf numFmtId="43" fontId="0" fillId="3" borderId="0" xfId="1" applyFont="1" applyFill="1" applyBorder="1"/>
    <xf numFmtId="43" fontId="0" fillId="0" borderId="0" xfId="1" applyFont="1" applyFill="1" applyBorder="1"/>
    <xf numFmtId="43" fontId="6" fillId="0" borderId="116" xfId="1" applyFont="1" applyBorder="1"/>
    <xf numFmtId="164" fontId="0" fillId="3" borderId="0" xfId="1" applyNumberFormat="1" applyFont="1" applyFill="1" applyBorder="1"/>
    <xf numFmtId="164" fontId="6" fillId="0" borderId="116" xfId="1" applyNumberFormat="1" applyFont="1" applyBorder="1"/>
    <xf numFmtId="0" fontId="13" fillId="0" borderId="12" xfId="0" applyFont="1" applyBorder="1"/>
    <xf numFmtId="0" fontId="13" fillId="0" borderId="115" xfId="0" applyFont="1" applyBorder="1" applyAlignment="1">
      <alignment horizontal="right"/>
    </xf>
    <xf numFmtId="43" fontId="0" fillId="0" borderId="69" xfId="1" applyFont="1" applyBorder="1"/>
    <xf numFmtId="43" fontId="0" fillId="3" borderId="69" xfId="1" applyFont="1" applyFill="1" applyBorder="1"/>
    <xf numFmtId="43" fontId="0" fillId="0" borderId="69" xfId="1" applyFont="1" applyFill="1" applyBorder="1"/>
    <xf numFmtId="43" fontId="0" fillId="0" borderId="120" xfId="1" applyFont="1" applyBorder="1"/>
    <xf numFmtId="43" fontId="6" fillId="0" borderId="56" xfId="1" applyFont="1" applyBorder="1"/>
    <xf numFmtId="0" fontId="27" fillId="0" borderId="9" xfId="0" applyFont="1" applyBorder="1"/>
    <xf numFmtId="0" fontId="27" fillId="0" borderId="26" xfId="0" applyFont="1" applyBorder="1"/>
    <xf numFmtId="0" fontId="171" fillId="0" borderId="26" xfId="0" applyFont="1" applyBorder="1"/>
    <xf numFmtId="0" fontId="13" fillId="0" borderId="11" xfId="0" applyFont="1" applyBorder="1" applyAlignment="1">
      <alignment horizontal="right"/>
    </xf>
    <xf numFmtId="0" fontId="13" fillId="0" borderId="26" xfId="0" applyFont="1" applyBorder="1" applyAlignment="1">
      <alignment horizontal="right"/>
    </xf>
    <xf numFmtId="43" fontId="0" fillId="0" borderId="26" xfId="1" applyFont="1" applyBorder="1"/>
    <xf numFmtId="43" fontId="0" fillId="0" borderId="26" xfId="1" applyFont="1" applyFill="1" applyBorder="1"/>
    <xf numFmtId="0" fontId="0" fillId="0" borderId="11" xfId="0" applyBorder="1"/>
    <xf numFmtId="43" fontId="6" fillId="0" borderId="3" xfId="1" applyFont="1" applyBorder="1"/>
    <xf numFmtId="0" fontId="27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178" fontId="27" fillId="0" borderId="0" xfId="0" applyNumberFormat="1" applyFont="1" applyAlignment="1">
      <alignment horizontal="right"/>
    </xf>
    <xf numFmtId="1" fontId="27" fillId="0" borderId="0" xfId="0" applyNumberFormat="1" applyFont="1"/>
    <xf numFmtId="43" fontId="27" fillId="0" borderId="0" xfId="1" applyFont="1" applyFill="1" applyBorder="1"/>
    <xf numFmtId="43" fontId="27" fillId="0" borderId="0" xfId="1" applyFont="1" applyFill="1" applyBorder="1" applyProtection="1">
      <protection locked="0"/>
    </xf>
    <xf numFmtId="0" fontId="153" fillId="0" borderId="98" xfId="0" applyFont="1" applyBorder="1" applyAlignment="1">
      <alignment vertical="center"/>
    </xf>
    <xf numFmtId="0" fontId="153" fillId="0" borderId="100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/>
    </xf>
    <xf numFmtId="0" fontId="106" fillId="0" borderId="2" xfId="821" applyBorder="1"/>
    <xf numFmtId="0" fontId="106" fillId="0" borderId="30" xfId="821" applyBorder="1"/>
    <xf numFmtId="0" fontId="106" fillId="0" borderId="25" xfId="821" applyBorder="1"/>
    <xf numFmtId="0" fontId="10" fillId="8" borderId="13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0" fillId="7" borderId="0" xfId="0" applyFill="1" applyAlignment="1">
      <alignment horizontal="left" wrapText="1"/>
    </xf>
    <xf numFmtId="0" fontId="10" fillId="8" borderId="13" xfId="0" applyFont="1" applyFill="1" applyBorder="1" applyAlignment="1">
      <alignment horizontal="center"/>
    </xf>
    <xf numFmtId="0" fontId="10" fillId="8" borderId="14" xfId="0" applyFont="1" applyFill="1" applyBorder="1" applyAlignment="1">
      <alignment horizontal="center"/>
    </xf>
    <xf numFmtId="0" fontId="10" fillId="8" borderId="15" xfId="0" applyFont="1" applyFill="1" applyBorder="1" applyAlignment="1">
      <alignment horizontal="center"/>
    </xf>
    <xf numFmtId="14" fontId="27" fillId="0" borderId="13" xfId="0" applyNumberFormat="1" applyFont="1" applyBorder="1" applyAlignment="1">
      <alignment horizontal="center"/>
    </xf>
    <xf numFmtId="14" fontId="27" fillId="0" borderId="14" xfId="0" applyNumberFormat="1" applyFont="1" applyBorder="1" applyAlignment="1">
      <alignment horizontal="center"/>
    </xf>
    <xf numFmtId="14" fontId="27" fillId="0" borderId="15" xfId="0" applyNumberFormat="1" applyFont="1" applyBorder="1" applyAlignment="1">
      <alignment horizontal="center"/>
    </xf>
    <xf numFmtId="0" fontId="0" fillId="51" borderId="0" xfId="0" applyFill="1" applyAlignment="1">
      <alignment horizontal="left" vertical="center" wrapText="1"/>
    </xf>
    <xf numFmtId="0" fontId="0" fillId="7" borderId="0" xfId="0" applyFill="1" applyAlignment="1">
      <alignment horizontal="right"/>
    </xf>
    <xf numFmtId="0" fontId="10" fillId="8" borderId="13" xfId="0" quotePrefix="1" applyFont="1" applyFill="1" applyBorder="1" applyAlignment="1">
      <alignment horizontal="center"/>
    </xf>
    <xf numFmtId="0" fontId="10" fillId="8" borderId="14" xfId="0" quotePrefix="1" applyFont="1" applyFill="1" applyBorder="1" applyAlignment="1">
      <alignment horizontal="center"/>
    </xf>
    <xf numFmtId="0" fontId="10" fillId="8" borderId="15" xfId="0" quotePrefix="1" applyFont="1" applyFill="1" applyBorder="1" applyAlignment="1">
      <alignment horizontal="center"/>
    </xf>
    <xf numFmtId="0" fontId="0" fillId="51" borderId="0" xfId="0" applyFill="1" applyAlignment="1">
      <alignment horizontal="left" vertical="top" wrapText="1"/>
    </xf>
    <xf numFmtId="0" fontId="11" fillId="7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/>
    <xf numFmtId="0" fontId="0" fillId="51" borderId="0" xfId="0" applyFill="1" applyAlignment="1">
      <alignment horizontal="left" wrapText="1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45" xfId="0" applyFont="1" applyFill="1" applyBorder="1" applyAlignment="1" applyProtection="1">
      <alignment horizontal="center" vertical="center"/>
      <protection locked="0"/>
    </xf>
    <xf numFmtId="0" fontId="5" fillId="3" borderId="25" xfId="0" applyFont="1" applyFill="1" applyBorder="1" applyAlignment="1" applyProtection="1">
      <alignment horizontal="center" vertical="center"/>
      <protection locked="0"/>
    </xf>
    <xf numFmtId="166" fontId="27" fillId="2" borderId="5" xfId="2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3" borderId="21" xfId="2" applyFont="1" applyFill="1" applyBorder="1" applyAlignment="1">
      <alignment vertical="center"/>
    </xf>
    <xf numFmtId="0" fontId="13" fillId="3" borderId="22" xfId="2" applyFont="1" applyFill="1" applyBorder="1" applyAlignment="1">
      <alignment vertical="center"/>
    </xf>
    <xf numFmtId="0" fontId="29" fillId="0" borderId="2" xfId="0" applyFont="1" applyBorder="1" applyAlignment="1">
      <alignment horizontal="left"/>
    </xf>
    <xf numFmtId="0" fontId="29" fillId="0" borderId="45" xfId="0" applyFont="1" applyBorder="1" applyAlignment="1">
      <alignment horizontal="left"/>
    </xf>
    <xf numFmtId="0" fontId="29" fillId="0" borderId="25" xfId="0" applyFont="1" applyBorder="1" applyAlignment="1">
      <alignment horizontal="left"/>
    </xf>
    <xf numFmtId="0" fontId="29" fillId="4" borderId="2" xfId="0" applyFont="1" applyFill="1" applyBorder="1" applyAlignment="1" applyProtection="1">
      <alignment wrapText="1"/>
      <protection locked="0"/>
    </xf>
    <xf numFmtId="0" fontId="29" fillId="4" borderId="45" xfId="0" applyFont="1" applyFill="1" applyBorder="1" applyAlignment="1" applyProtection="1">
      <alignment wrapText="1"/>
      <protection locked="0"/>
    </xf>
    <xf numFmtId="0" fontId="29" fillId="4" borderId="25" xfId="0" applyFont="1" applyFill="1" applyBorder="1" applyAlignment="1" applyProtection="1">
      <alignment wrapText="1"/>
      <protection locked="0"/>
    </xf>
    <xf numFmtId="166" fontId="125" fillId="2" borderId="5" xfId="2" applyNumberFormat="1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6" xfId="0" applyFont="1" applyBorder="1" applyProtection="1">
      <protection locked="0"/>
    </xf>
    <xf numFmtId="0" fontId="29" fillId="0" borderId="7" xfId="0" applyFont="1" applyBorder="1" applyProtection="1">
      <protection locked="0"/>
    </xf>
    <xf numFmtId="0" fontId="29" fillId="0" borderId="8" xfId="0" applyFont="1" applyBorder="1" applyProtection="1">
      <protection locked="0"/>
    </xf>
    <xf numFmtId="0" fontId="29" fillId="0" borderId="9" xfId="0" applyFont="1" applyBorder="1" applyProtection="1">
      <protection locked="0"/>
    </xf>
    <xf numFmtId="0" fontId="29" fillId="0" borderId="26" xfId="0" applyFont="1" applyBorder="1" applyProtection="1">
      <protection locked="0"/>
    </xf>
    <xf numFmtId="0" fontId="29" fillId="0" borderId="11" xfId="0" applyFont="1" applyBorder="1" applyProtection="1">
      <protection locked="0"/>
    </xf>
    <xf numFmtId="0" fontId="29" fillId="0" borderId="6" xfId="0" applyFont="1" applyBorder="1" applyAlignment="1" applyProtection="1">
      <alignment wrapText="1"/>
      <protection locked="0"/>
    </xf>
    <xf numFmtId="0" fontId="29" fillId="0" borderId="7" xfId="0" applyFont="1" applyBorder="1" applyAlignment="1" applyProtection="1">
      <alignment wrapText="1"/>
      <protection locked="0"/>
    </xf>
    <xf numFmtId="0" fontId="29" fillId="0" borderId="8" xfId="0" applyFont="1" applyBorder="1" applyAlignment="1" applyProtection="1">
      <alignment wrapText="1"/>
      <protection locked="0"/>
    </xf>
    <xf numFmtId="0" fontId="29" fillId="0" borderId="9" xfId="0" applyFont="1" applyBorder="1" applyAlignment="1" applyProtection="1">
      <alignment wrapText="1"/>
      <protection locked="0"/>
    </xf>
    <xf numFmtId="0" fontId="29" fillId="0" borderId="26" xfId="0" applyFont="1" applyBorder="1" applyAlignment="1" applyProtection="1">
      <alignment wrapText="1"/>
      <protection locked="0"/>
    </xf>
    <xf numFmtId="0" fontId="29" fillId="0" borderId="11" xfId="0" applyFont="1" applyBorder="1" applyAlignment="1" applyProtection="1">
      <alignment wrapText="1"/>
      <protection locked="0"/>
    </xf>
    <xf numFmtId="0" fontId="29" fillId="0" borderId="6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9" xfId="0" applyFont="1" applyBorder="1" applyAlignment="1" applyProtection="1">
      <alignment horizontal="center" vertical="center"/>
      <protection locked="0"/>
    </xf>
    <xf numFmtId="0" fontId="29" fillId="0" borderId="26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>
      <alignment vertical="center" wrapText="1"/>
    </xf>
    <xf numFmtId="0" fontId="29" fillId="0" borderId="25" xfId="0" applyFont="1" applyBorder="1" applyAlignment="1">
      <alignment vertical="center" wrapText="1"/>
    </xf>
    <xf numFmtId="0" fontId="148" fillId="0" borderId="0" xfId="0" applyFont="1" applyAlignment="1">
      <alignment wrapText="1"/>
    </xf>
    <xf numFmtId="0" fontId="29" fillId="0" borderId="2" xfId="0" applyFont="1" applyBorder="1" applyAlignment="1">
      <alignment wrapText="1"/>
    </xf>
    <xf numFmtId="0" fontId="29" fillId="0" borderId="25" xfId="0" applyFont="1" applyBorder="1" applyAlignment="1">
      <alignment wrapText="1"/>
    </xf>
    <xf numFmtId="0" fontId="26" fillId="0" borderId="2" xfId="0" applyFont="1" applyBorder="1"/>
    <xf numFmtId="0" fontId="29" fillId="0" borderId="25" xfId="0" applyFont="1" applyBorder="1"/>
    <xf numFmtId="0" fontId="29" fillId="0" borderId="2" xfId="0" applyFont="1" applyBorder="1" applyAlignment="1">
      <alignment vertical="center" wrapText="1"/>
    </xf>
    <xf numFmtId="0" fontId="118" fillId="0" borderId="64" xfId="0" applyFont="1" applyBorder="1" applyAlignment="1">
      <alignment horizontal="left" vertical="center" wrapText="1" readingOrder="1"/>
    </xf>
    <xf numFmtId="0" fontId="118" fillId="0" borderId="65" xfId="0" applyFont="1" applyBorder="1" applyAlignment="1">
      <alignment horizontal="left" vertical="center" wrapText="1" readingOrder="1"/>
    </xf>
    <xf numFmtId="0" fontId="119" fillId="0" borderId="66" xfId="0" applyFont="1" applyBorder="1" applyAlignment="1">
      <alignment horizontal="left" vertical="center" wrapText="1" readingOrder="1"/>
    </xf>
    <xf numFmtId="0" fontId="119" fillId="0" borderId="62" xfId="0" applyFont="1" applyBorder="1" applyAlignment="1">
      <alignment horizontal="right" vertical="center" wrapText="1" readingOrder="1"/>
    </xf>
    <xf numFmtId="0" fontId="119" fillId="0" borderId="57" xfId="0" applyFont="1" applyBorder="1" applyAlignment="1">
      <alignment horizontal="left" vertical="center" wrapText="1" readingOrder="1"/>
    </xf>
    <xf numFmtId="49" fontId="119" fillId="0" borderId="2" xfId="0" applyNumberFormat="1" applyFont="1" applyBorder="1" applyAlignment="1">
      <alignment horizontal="left" vertical="center" wrapText="1" readingOrder="1"/>
    </xf>
    <xf numFmtId="49" fontId="119" fillId="0" borderId="25" xfId="0" applyNumberFormat="1" applyFont="1" applyBorder="1" applyAlignment="1">
      <alignment horizontal="left" vertical="center" wrapText="1" readingOrder="1"/>
    </xf>
    <xf numFmtId="43" fontId="119" fillId="0" borderId="71" xfId="1" applyFont="1" applyBorder="1" applyAlignment="1">
      <alignment horizontal="right" vertical="center" wrapText="1" readingOrder="1"/>
    </xf>
    <xf numFmtId="43" fontId="119" fillId="0" borderId="25" xfId="1" applyFont="1" applyBorder="1" applyAlignment="1">
      <alignment horizontal="right" vertical="center" wrapText="1" readingOrder="1"/>
    </xf>
    <xf numFmtId="0" fontId="119" fillId="0" borderId="2" xfId="0" applyFont="1" applyBorder="1" applyAlignment="1">
      <alignment horizontal="left" vertical="center" wrapText="1" readingOrder="1"/>
    </xf>
    <xf numFmtId="0" fontId="119" fillId="0" borderId="45" xfId="0" applyFont="1" applyBorder="1" applyAlignment="1">
      <alignment horizontal="left" vertical="center" wrapText="1" readingOrder="1"/>
    </xf>
    <xf numFmtId="0" fontId="118" fillId="0" borderId="68" xfId="0" applyFont="1" applyBorder="1" applyAlignment="1">
      <alignment horizontal="left" vertical="center" wrapText="1" readingOrder="1"/>
    </xf>
    <xf numFmtId="0" fontId="118" fillId="0" borderId="2" xfId="0" applyFont="1" applyBorder="1" applyAlignment="1">
      <alignment horizontal="left" vertical="center" wrapText="1" readingOrder="1"/>
    </xf>
    <xf numFmtId="0" fontId="118" fillId="0" borderId="25" xfId="0" applyFont="1" applyBorder="1" applyAlignment="1">
      <alignment horizontal="left" vertical="center" wrapText="1" readingOrder="1"/>
    </xf>
    <xf numFmtId="49" fontId="119" fillId="0" borderId="59" xfId="0" applyNumberFormat="1" applyFont="1" applyBorder="1" applyAlignment="1">
      <alignment horizontal="right" vertical="center" wrapText="1" readingOrder="1"/>
    </xf>
    <xf numFmtId="43" fontId="118" fillId="0" borderId="72" xfId="0" applyNumberFormat="1" applyFont="1" applyBorder="1" applyAlignment="1">
      <alignment horizontal="right" vertical="center" wrapText="1" readingOrder="1"/>
    </xf>
    <xf numFmtId="0" fontId="6" fillId="0" borderId="73" xfId="0" applyFont="1" applyBorder="1" applyAlignment="1">
      <alignment horizontal="right" vertical="center" wrapText="1" readingOrder="1"/>
    </xf>
    <xf numFmtId="0" fontId="6" fillId="0" borderId="9" xfId="0" applyFont="1" applyBorder="1" applyAlignment="1">
      <alignment horizontal="right" vertical="center" wrapText="1" readingOrder="1"/>
    </xf>
    <xf numFmtId="0" fontId="6" fillId="0" borderId="11" xfId="0" applyFont="1" applyBorder="1" applyAlignment="1">
      <alignment horizontal="right" vertical="center" wrapText="1" readingOrder="1"/>
    </xf>
    <xf numFmtId="49" fontId="118" fillId="0" borderId="0" xfId="0" applyNumberFormat="1" applyFont="1" applyAlignment="1">
      <alignment horizontal="center" vertical="center" wrapText="1" readingOrder="1"/>
    </xf>
    <xf numFmtId="0" fontId="119" fillId="0" borderId="59" xfId="0" applyFont="1" applyBorder="1" applyAlignment="1">
      <alignment horizontal="left" vertical="center" wrapText="1" readingOrder="1"/>
    </xf>
    <xf numFmtId="43" fontId="119" fillId="0" borderId="59" xfId="1" applyFont="1" applyBorder="1" applyAlignment="1">
      <alignment horizontal="right" vertical="center" wrapText="1" readingOrder="1"/>
    </xf>
    <xf numFmtId="43" fontId="118" fillId="0" borderId="2" xfId="1" applyFont="1" applyBorder="1" applyAlignment="1">
      <alignment horizontal="right" vertical="center" wrapText="1" readingOrder="1"/>
    </xf>
    <xf numFmtId="43" fontId="6" fillId="0" borderId="25" xfId="1" applyFont="1" applyBorder="1" applyAlignment="1">
      <alignment horizontal="right" vertical="center" wrapText="1" readingOrder="1"/>
    </xf>
    <xf numFmtId="0" fontId="118" fillId="0" borderId="62" xfId="0" applyFont="1" applyBorder="1" applyAlignment="1">
      <alignment horizontal="left" vertical="center" wrapText="1" readingOrder="1"/>
    </xf>
    <xf numFmtId="43" fontId="119" fillId="0" borderId="62" xfId="1" applyFont="1" applyBorder="1" applyAlignment="1">
      <alignment horizontal="right" vertical="center" wrapText="1" readingOrder="1"/>
    </xf>
    <xf numFmtId="0" fontId="119" fillId="0" borderId="64" xfId="0" applyFont="1" applyBorder="1" applyAlignment="1">
      <alignment horizontal="left" vertical="center" wrapText="1" readingOrder="1"/>
    </xf>
    <xf numFmtId="43" fontId="119" fillId="0" borderId="70" xfId="1" applyFont="1" applyBorder="1" applyAlignment="1">
      <alignment horizontal="right" vertical="center" wrapText="1" readingOrder="1"/>
    </xf>
    <xf numFmtId="0" fontId="119" fillId="0" borderId="65" xfId="0" applyFont="1" applyBorder="1" applyAlignment="1">
      <alignment horizontal="left" vertical="center" wrapText="1" readingOrder="1"/>
    </xf>
    <xf numFmtId="0" fontId="119" fillId="0" borderId="63" xfId="0" applyFont="1" applyBorder="1" applyAlignment="1">
      <alignment horizontal="left" vertical="center" wrapText="1" readingOrder="1"/>
    </xf>
    <xf numFmtId="0" fontId="136" fillId="0" borderId="80" xfId="0" applyFont="1" applyBorder="1" applyAlignment="1">
      <alignment horizontal="left"/>
    </xf>
    <xf numFmtId="0" fontId="136" fillId="0" borderId="81" xfId="0" applyFont="1" applyBorder="1" applyAlignment="1">
      <alignment horizontal="left"/>
    </xf>
    <xf numFmtId="0" fontId="136" fillId="0" borderId="102" xfId="0" applyFont="1" applyBorder="1" applyAlignment="1">
      <alignment horizontal="left"/>
    </xf>
    <xf numFmtId="0" fontId="26" fillId="0" borderId="21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130" fillId="49" borderId="79" xfId="0" applyFont="1" applyFill="1" applyBorder="1" applyAlignment="1">
      <alignment horizontal="center" vertical="center" wrapText="1"/>
    </xf>
    <xf numFmtId="0" fontId="130" fillId="49" borderId="16" xfId="0" applyFont="1" applyFill="1" applyBorder="1" applyAlignment="1">
      <alignment horizontal="center" vertical="center" wrapText="1"/>
    </xf>
    <xf numFmtId="0" fontId="130" fillId="49" borderId="51" xfId="0" applyFont="1" applyFill="1" applyBorder="1" applyAlignment="1">
      <alignment horizontal="center" vertical="center" wrapText="1"/>
    </xf>
    <xf numFmtId="0" fontId="130" fillId="49" borderId="53" xfId="0" applyFont="1" applyFill="1" applyBorder="1" applyAlignment="1">
      <alignment horizontal="center" wrapText="1"/>
    </xf>
    <xf numFmtId="0" fontId="130" fillId="49" borderId="54" xfId="0" applyFont="1" applyFill="1" applyBorder="1" applyAlignment="1">
      <alignment horizontal="center" wrapText="1"/>
    </xf>
    <xf numFmtId="0" fontId="130" fillId="49" borderId="55" xfId="0" applyFont="1" applyFill="1" applyBorder="1" applyAlignment="1">
      <alignment horizontal="center" wrapText="1"/>
    </xf>
    <xf numFmtId="0" fontId="130" fillId="49" borderId="17" xfId="0" applyFont="1" applyFill="1" applyBorder="1" applyAlignment="1">
      <alignment horizontal="center" vertical="center" wrapText="1"/>
    </xf>
    <xf numFmtId="0" fontId="130" fillId="49" borderId="0" xfId="0" applyFont="1" applyFill="1" applyAlignment="1">
      <alignment horizontal="center" vertical="center" wrapText="1"/>
    </xf>
    <xf numFmtId="0" fontId="130" fillId="49" borderId="4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right"/>
    </xf>
    <xf numFmtId="0" fontId="6" fillId="0" borderId="45" xfId="0" applyFont="1" applyBorder="1" applyAlignment="1">
      <alignment horizontal="right"/>
    </xf>
    <xf numFmtId="0" fontId="6" fillId="0" borderId="111" xfId="0" applyFont="1" applyBorder="1" applyAlignment="1">
      <alignment horizontal="right"/>
    </xf>
    <xf numFmtId="182" fontId="13" fillId="0" borderId="2" xfId="0" applyNumberFormat="1" applyFont="1" applyBorder="1" applyAlignment="1">
      <alignment horizontal="center"/>
    </xf>
    <xf numFmtId="182" fontId="13" fillId="0" borderId="45" xfId="0" applyNumberFormat="1" applyFont="1" applyBorder="1" applyAlignment="1">
      <alignment horizontal="center"/>
    </xf>
    <xf numFmtId="182" fontId="13" fillId="0" borderId="111" xfId="0" applyNumberFormat="1" applyFont="1" applyBorder="1" applyAlignment="1">
      <alignment horizontal="center"/>
    </xf>
    <xf numFmtId="0" fontId="6" fillId="3" borderId="2" xfId="0" applyFont="1" applyFill="1" applyBorder="1" applyAlignment="1">
      <alignment horizontal="right"/>
    </xf>
    <xf numFmtId="0" fontId="6" fillId="3" borderId="45" xfId="0" applyFont="1" applyFill="1" applyBorder="1" applyAlignment="1">
      <alignment horizontal="right"/>
    </xf>
    <xf numFmtId="0" fontId="6" fillId="3" borderId="111" xfId="0" applyFont="1" applyFill="1" applyBorder="1" applyAlignment="1">
      <alignment horizontal="right"/>
    </xf>
    <xf numFmtId="0" fontId="0" fillId="0" borderId="74" xfId="0" applyBorder="1"/>
    <xf numFmtId="0" fontId="6" fillId="0" borderId="2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111" xfId="0" applyFont="1" applyBorder="1" applyAlignment="1">
      <alignment horizontal="left" vertical="center"/>
    </xf>
    <xf numFmtId="0" fontId="0" fillId="8" borderId="1" xfId="0" applyFill="1" applyBorder="1" applyAlignment="1">
      <alignment horizontal="right"/>
    </xf>
    <xf numFmtId="164" fontId="13" fillId="3" borderId="2" xfId="2" applyNumberFormat="1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111" xfId="0" applyFont="1" applyBorder="1" applyAlignment="1">
      <alignment horizontal="center" vertical="center"/>
    </xf>
    <xf numFmtId="0" fontId="0" fillId="0" borderId="2" xfId="0" applyBorder="1"/>
    <xf numFmtId="0" fontId="0" fillId="0" borderId="45" xfId="0" applyBorder="1"/>
    <xf numFmtId="0" fontId="0" fillId="0" borderId="111" xfId="0" applyBorder="1"/>
    <xf numFmtId="0" fontId="6" fillId="0" borderId="1" xfId="0" applyFont="1" applyBorder="1" applyAlignment="1">
      <alignment horizontal="right"/>
    </xf>
    <xf numFmtId="0" fontId="0" fillId="0" borderId="1" xfId="0" applyBorder="1"/>
    <xf numFmtId="164" fontId="13" fillId="3" borderId="2" xfId="2" applyNumberFormat="1" applyFont="1" applyFill="1" applyBorder="1" applyAlignment="1">
      <alignment horizontal="center" vertical="center" wrapText="1"/>
    </xf>
  </cellXfs>
  <cellStyles count="853">
    <cellStyle name="%" xfId="144" xr:uid="{00000000-0005-0000-0000-000000000000}"/>
    <cellStyle name="% 2" xfId="145" xr:uid="{00000000-0005-0000-0000-000001000000}"/>
    <cellStyle name="% 2 2" xfId="514" xr:uid="{00000000-0005-0000-0000-000002000000}"/>
    <cellStyle name="%_2014-15 SBS Invoice Plans v2" xfId="146" xr:uid="{00000000-0005-0000-0000-000003000000}"/>
    <cellStyle name="%_2014-15 SBS Invoice Plans v2 2" xfId="515" xr:uid="{00000000-0005-0000-0000-000004000000}"/>
    <cellStyle name="%_Academies Summary 2010-11  2011-12 (4)" xfId="147" xr:uid="{00000000-0005-0000-0000-000005000000}"/>
    <cellStyle name="%_Academies Summary 2010-11  2011-12 (4) 2" xfId="516" xr:uid="{00000000-0005-0000-0000-000006000000}"/>
    <cellStyle name="%_GAG pupil numbers 09-09-11 (2)" xfId="148" xr:uid="{00000000-0005-0000-0000-000007000000}"/>
    <cellStyle name="%_GAG pupil numbers 09-09-11 (2) 2" xfId="517" xr:uid="{00000000-0005-0000-0000-000008000000}"/>
    <cellStyle name="%_Pupil Premium Accrual &amp; Recon 12-13" xfId="149" xr:uid="{00000000-0005-0000-0000-000009000000}"/>
    <cellStyle name="%_Pupil Premium Accrual &amp; Recon 12-13 2" xfId="518" xr:uid="{00000000-0005-0000-0000-00000A000000}"/>
    <cellStyle name="%_Pupil Premium Invoice Plan 2013-14" xfId="150" xr:uid="{00000000-0005-0000-0000-00000B000000}"/>
    <cellStyle name="%_Pupil Premium Invoice Plan 2013-14 2" xfId="519" xr:uid="{00000000-0005-0000-0000-00000C000000}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823" xr:uid="{C686E2DE-717E-4825-A914-B99EA517A2E0}"/>
    <cellStyle name="]_x000d__x000a_Zoomed=1_x000d__x000a_Row=0_x000d__x000a_Column=0_x000d__x000a_Height=0_x000d__x000a_Width=0_x000d__x000a_FontName=FoxFont_x000d__x000a_FontStyle=0_x000d__x000a_FontSize=9_x000d__x000a_PrtFontName=FoxPrin" xfId="4" xr:uid="{00000000-0005-0000-0000-00000D000000}"/>
    <cellStyle name="]_x000d__x000a_Zoomed=1_x000d__x000a_Row=0_x000d__x000a_Column=0_x000d__x000a_Height=0_x000d__x000a_Width=0_x000d__x000a_FontName=FoxFont_x000d__x000a_FontStyle=0_x000d__x000a_FontSize=9_x000d__x000a_PrtFontName=FoxPrin 2" xfId="151" xr:uid="{00000000-0005-0000-0000-00000E000000}"/>
    <cellStyle name="]_x000d__x000a_Zoomed=1_x000d__x000a_Row=0_x000d__x000a_Column=0_x000d__x000a_Height=0_x000d__x000a_Width=0_x000d__x000a_FontName=FoxFont_x000d__x000a_FontStyle=0_x000d__x000a_FontSize=9_x000d__x000a_PrtFontName=FoxPrin 2 2" xfId="520" xr:uid="{00000000-0005-0000-0000-00000F000000}"/>
    <cellStyle name="]_x000d__x000a_Zoomed=1_x000d__x000a_Row=0_x000d__x000a_Column=0_x000d__x000a_Height=0_x000d__x000a_Width=0_x000d__x000a_FontName=FoxFont_x000d__x000a_FontStyle=0_x000d__x000a_FontSize=9_x000d__x000a_PrtFontName=FoxPrin 3" xfId="152" xr:uid="{00000000-0005-0000-0000-000010000000}"/>
    <cellStyle name="]_x000d__x000a_Zoomed=1_x000d__x000a_Row=0_x000d__x000a_Column=0_x000d__x000a_Height=0_x000d__x000a_Width=0_x000d__x000a_FontName=FoxFont_x000d__x000a_FontStyle=0_x000d__x000a_FontSize=9_x000d__x000a_PrtFontName=FoxPrin 3 2" xfId="521" xr:uid="{00000000-0005-0000-0000-000011000000}"/>
    <cellStyle name="]_x000d__x000a_Zoomed=1_x000d__x000a_Row=0_x000d__x000a_Column=0_x000d__x000a_Height=0_x000d__x000a_Width=0_x000d__x000a_FontName=FoxFont_x000d__x000a_FontStyle=0_x000d__x000a_FontSize=9_x000d__x000a_PrtFontName=FoxPrin_Academies Summary 2010-11  2011-12 (4)" xfId="153" xr:uid="{00000000-0005-0000-0000-000012000000}"/>
    <cellStyle name="_38006 University Academy Keighley MFG Calculation" xfId="154" xr:uid="{00000000-0005-0000-0000-000013000000}"/>
    <cellStyle name="0,0_x000d__x000a_NA_x000d__x000a_" xfId="155" xr:uid="{00000000-0005-0000-0000-000014000000}"/>
    <cellStyle name="0,0_x000d__x000a_NA_x000d__x000a_ 2" xfId="522" xr:uid="{00000000-0005-0000-0000-000015000000}"/>
    <cellStyle name="20% - Accent1 2" xfId="157" xr:uid="{00000000-0005-0000-0000-000016000000}"/>
    <cellStyle name="20% - Accent1 3" xfId="158" xr:uid="{00000000-0005-0000-0000-000017000000}"/>
    <cellStyle name="20% - Accent1 4" xfId="619" xr:uid="{00000000-0005-0000-0000-000018000000}"/>
    <cellStyle name="20% - Accent1 5" xfId="156" xr:uid="{00000000-0005-0000-0000-000019000000}"/>
    <cellStyle name="20% - Accent2 2" xfId="160" xr:uid="{00000000-0005-0000-0000-00001A000000}"/>
    <cellStyle name="20% - Accent2 3" xfId="161" xr:uid="{00000000-0005-0000-0000-00001B000000}"/>
    <cellStyle name="20% - Accent2 4" xfId="620" xr:uid="{00000000-0005-0000-0000-00001C000000}"/>
    <cellStyle name="20% - Accent2 5" xfId="159" xr:uid="{00000000-0005-0000-0000-00001D000000}"/>
    <cellStyle name="20% - Accent3 2" xfId="163" xr:uid="{00000000-0005-0000-0000-00001E000000}"/>
    <cellStyle name="20% - Accent3 3" xfId="164" xr:uid="{00000000-0005-0000-0000-00001F000000}"/>
    <cellStyle name="20% - Accent3 4" xfId="621" xr:uid="{00000000-0005-0000-0000-000020000000}"/>
    <cellStyle name="20% - Accent3 5" xfId="162" xr:uid="{00000000-0005-0000-0000-000021000000}"/>
    <cellStyle name="20% - Accent4 2" xfId="166" xr:uid="{00000000-0005-0000-0000-000022000000}"/>
    <cellStyle name="20% - Accent4 3" xfId="167" xr:uid="{00000000-0005-0000-0000-000023000000}"/>
    <cellStyle name="20% - Accent4 4" xfId="165" xr:uid="{00000000-0005-0000-0000-000024000000}"/>
    <cellStyle name="20% - Accent5 2" xfId="169" xr:uid="{00000000-0005-0000-0000-000025000000}"/>
    <cellStyle name="20% - Accent5 3" xfId="170" xr:uid="{00000000-0005-0000-0000-000026000000}"/>
    <cellStyle name="20% - Accent5 4" xfId="622" xr:uid="{00000000-0005-0000-0000-000027000000}"/>
    <cellStyle name="20% - Accent5 5" xfId="168" xr:uid="{00000000-0005-0000-0000-000028000000}"/>
    <cellStyle name="20% - Accent6 2" xfId="172" xr:uid="{00000000-0005-0000-0000-000029000000}"/>
    <cellStyle name="20% - Accent6 3" xfId="173" xr:uid="{00000000-0005-0000-0000-00002A000000}"/>
    <cellStyle name="20% - Accent6 4" xfId="623" xr:uid="{00000000-0005-0000-0000-00002B000000}"/>
    <cellStyle name="20% - Accent6 5" xfId="171" xr:uid="{00000000-0005-0000-0000-00002C000000}"/>
    <cellStyle name="40% - Accent1 2" xfId="175" xr:uid="{00000000-0005-0000-0000-00002D000000}"/>
    <cellStyle name="40% - Accent1 3" xfId="176" xr:uid="{00000000-0005-0000-0000-00002E000000}"/>
    <cellStyle name="40% - Accent1 4" xfId="624" xr:uid="{00000000-0005-0000-0000-00002F000000}"/>
    <cellStyle name="40% - Accent1 5" xfId="174" xr:uid="{00000000-0005-0000-0000-000030000000}"/>
    <cellStyle name="40% - Accent2 2" xfId="178" xr:uid="{00000000-0005-0000-0000-000031000000}"/>
    <cellStyle name="40% - Accent2 3" xfId="179" xr:uid="{00000000-0005-0000-0000-000032000000}"/>
    <cellStyle name="40% - Accent2 4" xfId="625" xr:uid="{00000000-0005-0000-0000-000033000000}"/>
    <cellStyle name="40% - Accent2 5" xfId="177" xr:uid="{00000000-0005-0000-0000-000034000000}"/>
    <cellStyle name="40% - Accent3 2" xfId="181" xr:uid="{00000000-0005-0000-0000-000035000000}"/>
    <cellStyle name="40% - Accent3 3" xfId="182" xr:uid="{00000000-0005-0000-0000-000036000000}"/>
    <cellStyle name="40% - Accent3 4" xfId="626" xr:uid="{00000000-0005-0000-0000-000037000000}"/>
    <cellStyle name="40% - Accent3 5" xfId="180" xr:uid="{00000000-0005-0000-0000-000038000000}"/>
    <cellStyle name="40% - Accent4 2" xfId="184" xr:uid="{00000000-0005-0000-0000-000039000000}"/>
    <cellStyle name="40% - Accent4 3" xfId="185" xr:uid="{00000000-0005-0000-0000-00003A000000}"/>
    <cellStyle name="40% - Accent4 4" xfId="183" xr:uid="{00000000-0005-0000-0000-00003B000000}"/>
    <cellStyle name="40% - Accent5 2" xfId="187" xr:uid="{00000000-0005-0000-0000-00003C000000}"/>
    <cellStyle name="40% - Accent5 3" xfId="188" xr:uid="{00000000-0005-0000-0000-00003D000000}"/>
    <cellStyle name="40% - Accent5 4" xfId="627" xr:uid="{00000000-0005-0000-0000-00003E000000}"/>
    <cellStyle name="40% - Accent5 5" xfId="186" xr:uid="{00000000-0005-0000-0000-00003F000000}"/>
    <cellStyle name="40% - Accent6 2" xfId="190" xr:uid="{00000000-0005-0000-0000-000040000000}"/>
    <cellStyle name="40% - Accent6 3" xfId="191" xr:uid="{00000000-0005-0000-0000-000041000000}"/>
    <cellStyle name="40% - Accent6 4" xfId="628" xr:uid="{00000000-0005-0000-0000-000042000000}"/>
    <cellStyle name="40% - Accent6 5" xfId="189" xr:uid="{00000000-0005-0000-0000-000043000000}"/>
    <cellStyle name="60% - Accent1 2" xfId="193" xr:uid="{00000000-0005-0000-0000-000044000000}"/>
    <cellStyle name="60% - Accent1 3" xfId="194" xr:uid="{00000000-0005-0000-0000-000045000000}"/>
    <cellStyle name="60% - Accent1 4" xfId="629" xr:uid="{00000000-0005-0000-0000-000046000000}"/>
    <cellStyle name="60% - Accent1 5" xfId="192" xr:uid="{00000000-0005-0000-0000-000047000000}"/>
    <cellStyle name="60% - Accent2 2" xfId="196" xr:uid="{00000000-0005-0000-0000-000048000000}"/>
    <cellStyle name="60% - Accent2 3" xfId="197" xr:uid="{00000000-0005-0000-0000-000049000000}"/>
    <cellStyle name="60% - Accent2 4" xfId="630" xr:uid="{00000000-0005-0000-0000-00004A000000}"/>
    <cellStyle name="60% - Accent2 5" xfId="195" xr:uid="{00000000-0005-0000-0000-00004B000000}"/>
    <cellStyle name="60% - Accent3 2" xfId="199" xr:uid="{00000000-0005-0000-0000-00004C000000}"/>
    <cellStyle name="60% - Accent3 3" xfId="200" xr:uid="{00000000-0005-0000-0000-00004D000000}"/>
    <cellStyle name="60% - Accent3 4" xfId="631" xr:uid="{00000000-0005-0000-0000-00004E000000}"/>
    <cellStyle name="60% - Accent3 5" xfId="198" xr:uid="{00000000-0005-0000-0000-00004F000000}"/>
    <cellStyle name="60% - Accent4 2" xfId="202" xr:uid="{00000000-0005-0000-0000-000050000000}"/>
    <cellStyle name="60% - Accent4 3" xfId="203" xr:uid="{00000000-0005-0000-0000-000051000000}"/>
    <cellStyle name="60% - Accent4 4" xfId="632" xr:uid="{00000000-0005-0000-0000-000052000000}"/>
    <cellStyle name="60% - Accent4 5" xfId="201" xr:uid="{00000000-0005-0000-0000-000053000000}"/>
    <cellStyle name="60% - Accent5 2" xfId="205" xr:uid="{00000000-0005-0000-0000-000054000000}"/>
    <cellStyle name="60% - Accent5 3" xfId="206" xr:uid="{00000000-0005-0000-0000-000055000000}"/>
    <cellStyle name="60% - Accent5 4" xfId="633" xr:uid="{00000000-0005-0000-0000-000056000000}"/>
    <cellStyle name="60% - Accent5 5" xfId="204" xr:uid="{00000000-0005-0000-0000-000057000000}"/>
    <cellStyle name="60% - Accent6 2" xfId="208" xr:uid="{00000000-0005-0000-0000-000058000000}"/>
    <cellStyle name="60% - Accent6 3" xfId="209" xr:uid="{00000000-0005-0000-0000-000059000000}"/>
    <cellStyle name="60% - Accent6 4" xfId="634" xr:uid="{00000000-0005-0000-0000-00005A000000}"/>
    <cellStyle name="60% - Accent6 5" xfId="207" xr:uid="{00000000-0005-0000-0000-00005B000000}"/>
    <cellStyle name="Accent1 2" xfId="211" xr:uid="{00000000-0005-0000-0000-00005C000000}"/>
    <cellStyle name="Accent1 3" xfId="212" xr:uid="{00000000-0005-0000-0000-00005D000000}"/>
    <cellStyle name="Accent1 4" xfId="635" xr:uid="{00000000-0005-0000-0000-00005E000000}"/>
    <cellStyle name="Accent1 5" xfId="210" xr:uid="{00000000-0005-0000-0000-00005F000000}"/>
    <cellStyle name="Accent2 2" xfId="214" xr:uid="{00000000-0005-0000-0000-000060000000}"/>
    <cellStyle name="Accent2 3" xfId="215" xr:uid="{00000000-0005-0000-0000-000061000000}"/>
    <cellStyle name="Accent2 4" xfId="636" xr:uid="{00000000-0005-0000-0000-000062000000}"/>
    <cellStyle name="Accent2 5" xfId="213" xr:uid="{00000000-0005-0000-0000-000063000000}"/>
    <cellStyle name="Accent3 2" xfId="217" xr:uid="{00000000-0005-0000-0000-000064000000}"/>
    <cellStyle name="Accent3 3" xfId="218" xr:uid="{00000000-0005-0000-0000-000065000000}"/>
    <cellStyle name="Accent3 4" xfId="637" xr:uid="{00000000-0005-0000-0000-000066000000}"/>
    <cellStyle name="Accent3 5" xfId="216" xr:uid="{00000000-0005-0000-0000-000067000000}"/>
    <cellStyle name="Accent4 2" xfId="220" xr:uid="{00000000-0005-0000-0000-000068000000}"/>
    <cellStyle name="Accent4 3" xfId="221" xr:uid="{00000000-0005-0000-0000-000069000000}"/>
    <cellStyle name="Accent4 4" xfId="638" xr:uid="{00000000-0005-0000-0000-00006A000000}"/>
    <cellStyle name="Accent4 5" xfId="219" xr:uid="{00000000-0005-0000-0000-00006B000000}"/>
    <cellStyle name="Accent5 2" xfId="223" xr:uid="{00000000-0005-0000-0000-00006C000000}"/>
    <cellStyle name="Accent5 3" xfId="224" xr:uid="{00000000-0005-0000-0000-00006D000000}"/>
    <cellStyle name="Accent5 4" xfId="639" xr:uid="{00000000-0005-0000-0000-00006E000000}"/>
    <cellStyle name="Accent5 5" xfId="706" xr:uid="{00000000-0005-0000-0000-00006F000000}"/>
    <cellStyle name="Accent5 6" xfId="222" xr:uid="{00000000-0005-0000-0000-000070000000}"/>
    <cellStyle name="Accent6 2" xfId="226" xr:uid="{00000000-0005-0000-0000-000071000000}"/>
    <cellStyle name="Accent6 3" xfId="227" xr:uid="{00000000-0005-0000-0000-000072000000}"/>
    <cellStyle name="Accent6 4" xfId="640" xr:uid="{00000000-0005-0000-0000-000073000000}"/>
    <cellStyle name="Accent6 5" xfId="225" xr:uid="{00000000-0005-0000-0000-000074000000}"/>
    <cellStyle name="Accounting" xfId="228" xr:uid="{00000000-0005-0000-0000-000075000000}"/>
    <cellStyle name="Accounting 2" xfId="523" xr:uid="{00000000-0005-0000-0000-000076000000}"/>
    <cellStyle name="Accounting 2 2" xfId="788" xr:uid="{00000000-0005-0000-0000-000077000000}"/>
    <cellStyle name="Accounting 3" xfId="761" xr:uid="{00000000-0005-0000-0000-000078000000}"/>
    <cellStyle name="Bad 2" xfId="230" xr:uid="{00000000-0005-0000-0000-000079000000}"/>
    <cellStyle name="Bad 3" xfId="231" xr:uid="{00000000-0005-0000-0000-00007A000000}"/>
    <cellStyle name="Bad 4" xfId="508" xr:uid="{00000000-0005-0000-0000-00007B000000}"/>
    <cellStyle name="Bad 5" xfId="229" xr:uid="{00000000-0005-0000-0000-00007C000000}"/>
    <cellStyle name="Budget" xfId="232" xr:uid="{00000000-0005-0000-0000-00007D000000}"/>
    <cellStyle name="Budget 2" xfId="524" xr:uid="{00000000-0005-0000-0000-00007E000000}"/>
    <cellStyle name="Calc - White" xfId="233" xr:uid="{00000000-0005-0000-0000-00007F000000}"/>
    <cellStyle name="Calc - White 2" xfId="525" xr:uid="{00000000-0005-0000-0000-000080000000}"/>
    <cellStyle name="Calculation 2" xfId="235" xr:uid="{00000000-0005-0000-0000-000081000000}"/>
    <cellStyle name="Calculation 2 2" xfId="709" xr:uid="{00000000-0005-0000-0000-000082000000}"/>
    <cellStyle name="Calculation 3" xfId="236" xr:uid="{00000000-0005-0000-0000-000083000000}"/>
    <cellStyle name="Calculation 3 2" xfId="710" xr:uid="{00000000-0005-0000-0000-000084000000}"/>
    <cellStyle name="Calculation 4" xfId="641" xr:uid="{00000000-0005-0000-0000-000085000000}"/>
    <cellStyle name="Calculation 5" xfId="708" xr:uid="{00000000-0005-0000-0000-000086000000}"/>
    <cellStyle name="Calculation 6" xfId="234" xr:uid="{00000000-0005-0000-0000-000087000000}"/>
    <cellStyle name="centre across selection" xfId="237" xr:uid="{00000000-0005-0000-0000-000088000000}"/>
    <cellStyle name="Check Cell 2" xfId="239" xr:uid="{00000000-0005-0000-0000-000089000000}"/>
    <cellStyle name="Check Cell 3" xfId="240" xr:uid="{00000000-0005-0000-0000-00008A000000}"/>
    <cellStyle name="Check Cell 4" xfId="642" xr:uid="{00000000-0005-0000-0000-00008B000000}"/>
    <cellStyle name="Check Cell 5" xfId="238" xr:uid="{00000000-0005-0000-0000-00008C000000}"/>
    <cellStyle name="Comma" xfId="1" builtinId="3"/>
    <cellStyle name="Comma 10" xfId="820" xr:uid="{82B1A8DE-7DF1-4357-B871-50D04A4F32C0}"/>
    <cellStyle name="Comma 2" xfId="6" xr:uid="{00000000-0005-0000-0000-00008E000000}"/>
    <cellStyle name="Comma 2 10" xfId="242" xr:uid="{00000000-0005-0000-0000-00008F000000}"/>
    <cellStyle name="Comma 2 10 2" xfId="643" xr:uid="{00000000-0005-0000-0000-000090000000}"/>
    <cellStyle name="Comma 2 10 2 2" xfId="799" xr:uid="{00000000-0005-0000-0000-000091000000}"/>
    <cellStyle name="Comma 2 10 3" xfId="763" xr:uid="{00000000-0005-0000-0000-000092000000}"/>
    <cellStyle name="Comma 2 11" xfId="243" xr:uid="{00000000-0005-0000-0000-000093000000}"/>
    <cellStyle name="Comma 2 11 2" xfId="644" xr:uid="{00000000-0005-0000-0000-000094000000}"/>
    <cellStyle name="Comma 2 11 2 2" xfId="800" xr:uid="{00000000-0005-0000-0000-000095000000}"/>
    <cellStyle name="Comma 2 11 3" xfId="764" xr:uid="{00000000-0005-0000-0000-000096000000}"/>
    <cellStyle name="Comma 2 12" xfId="526" xr:uid="{00000000-0005-0000-0000-000097000000}"/>
    <cellStyle name="Comma 2 12 2" xfId="789" xr:uid="{00000000-0005-0000-0000-000098000000}"/>
    <cellStyle name="Comma 2 13" xfId="241" xr:uid="{00000000-0005-0000-0000-000099000000}"/>
    <cellStyle name="Comma 2 13 2" xfId="762" xr:uid="{00000000-0005-0000-0000-00009A000000}"/>
    <cellStyle name="Comma 2 14" xfId="754" xr:uid="{00000000-0005-0000-0000-00009B000000}"/>
    <cellStyle name="Comma 2 16" xfId="838" xr:uid="{2EAF713B-6FF3-448E-8265-7C1CA0704801}"/>
    <cellStyle name="Comma 2 2" xfId="244" xr:uid="{00000000-0005-0000-0000-00009C000000}"/>
    <cellStyle name="Comma 2 2 2" xfId="527" xr:uid="{00000000-0005-0000-0000-00009D000000}"/>
    <cellStyle name="Comma 2 2 2 2" xfId="790" xr:uid="{00000000-0005-0000-0000-00009E000000}"/>
    <cellStyle name="Comma 2 2 3" xfId="765" xr:uid="{00000000-0005-0000-0000-00009F000000}"/>
    <cellStyle name="Comma 2 3" xfId="245" xr:uid="{00000000-0005-0000-0000-0000A0000000}"/>
    <cellStyle name="Comma 2 3 2" xfId="645" xr:uid="{00000000-0005-0000-0000-0000A1000000}"/>
    <cellStyle name="Comma 2 3 2 2" xfId="801" xr:uid="{00000000-0005-0000-0000-0000A2000000}"/>
    <cellStyle name="Comma 2 3 3" xfId="766" xr:uid="{00000000-0005-0000-0000-0000A3000000}"/>
    <cellStyle name="Comma 2 4" xfId="246" xr:uid="{00000000-0005-0000-0000-0000A4000000}"/>
    <cellStyle name="Comma 2 4 2" xfId="646" xr:uid="{00000000-0005-0000-0000-0000A5000000}"/>
    <cellStyle name="Comma 2 4 2 2" xfId="802" xr:uid="{00000000-0005-0000-0000-0000A6000000}"/>
    <cellStyle name="Comma 2 4 3" xfId="767" xr:uid="{00000000-0005-0000-0000-0000A7000000}"/>
    <cellStyle name="Comma 2 5" xfId="247" xr:uid="{00000000-0005-0000-0000-0000A8000000}"/>
    <cellStyle name="Comma 2 5 2" xfId="647" xr:uid="{00000000-0005-0000-0000-0000A9000000}"/>
    <cellStyle name="Comma 2 5 2 2" xfId="803" xr:uid="{00000000-0005-0000-0000-0000AA000000}"/>
    <cellStyle name="Comma 2 5 3" xfId="768" xr:uid="{00000000-0005-0000-0000-0000AB000000}"/>
    <cellStyle name="Comma 2 6" xfId="248" xr:uid="{00000000-0005-0000-0000-0000AC000000}"/>
    <cellStyle name="Comma 2 6 2" xfId="648" xr:uid="{00000000-0005-0000-0000-0000AD000000}"/>
    <cellStyle name="Comma 2 6 2 2" xfId="804" xr:uid="{00000000-0005-0000-0000-0000AE000000}"/>
    <cellStyle name="Comma 2 6 3" xfId="769" xr:uid="{00000000-0005-0000-0000-0000AF000000}"/>
    <cellStyle name="Comma 2 7" xfId="249" xr:uid="{00000000-0005-0000-0000-0000B0000000}"/>
    <cellStyle name="Comma 2 7 2" xfId="649" xr:uid="{00000000-0005-0000-0000-0000B1000000}"/>
    <cellStyle name="Comma 2 7 2 2" xfId="805" xr:uid="{00000000-0005-0000-0000-0000B2000000}"/>
    <cellStyle name="Comma 2 7 3" xfId="770" xr:uid="{00000000-0005-0000-0000-0000B3000000}"/>
    <cellStyle name="Comma 2 8" xfId="250" xr:uid="{00000000-0005-0000-0000-0000B4000000}"/>
    <cellStyle name="Comma 2 8 2" xfId="650" xr:uid="{00000000-0005-0000-0000-0000B5000000}"/>
    <cellStyle name="Comma 2 8 2 2" xfId="806" xr:uid="{00000000-0005-0000-0000-0000B6000000}"/>
    <cellStyle name="Comma 2 8 3" xfId="771" xr:uid="{00000000-0005-0000-0000-0000B7000000}"/>
    <cellStyle name="Comma 2 9" xfId="251" xr:uid="{00000000-0005-0000-0000-0000B8000000}"/>
    <cellStyle name="Comma 2 9 2" xfId="651" xr:uid="{00000000-0005-0000-0000-0000B9000000}"/>
    <cellStyle name="Comma 2 9 2 2" xfId="807" xr:uid="{00000000-0005-0000-0000-0000BA000000}"/>
    <cellStyle name="Comma 2 9 3" xfId="772" xr:uid="{00000000-0005-0000-0000-0000BB000000}"/>
    <cellStyle name="Comma 2_Pupil Premium Dep Payments" xfId="252" xr:uid="{00000000-0005-0000-0000-0000BC000000}"/>
    <cellStyle name="Comma 270" xfId="852" xr:uid="{B949D28C-325D-4065-A2B0-296C2A45EC85}"/>
    <cellStyle name="Comma 271" xfId="849" xr:uid="{CA7F734E-D9B4-4691-B9C5-9145D27F1400}"/>
    <cellStyle name="Comma 273" xfId="851" xr:uid="{79D777B1-29D1-4161-86A2-2FDE2736D40B}"/>
    <cellStyle name="Comma 275" xfId="833" xr:uid="{863B6701-4E68-48BA-BF1C-4393145A0B64}"/>
    <cellStyle name="Comma 276" xfId="839" xr:uid="{4509EC74-030E-4FCD-B24B-E992D6091041}"/>
    <cellStyle name="Comma 277" xfId="840" xr:uid="{9540828F-B1B6-4C9C-8CBD-2B874414195B}"/>
    <cellStyle name="Comma 279" xfId="841" xr:uid="{D9784DA9-4320-4AD4-A211-07EE84B6B66A}"/>
    <cellStyle name="Comma 280" xfId="842" xr:uid="{44EFA6B2-580E-4171-B15B-BDDD3C3E0924}"/>
    <cellStyle name="Comma 281" xfId="843" xr:uid="{8DB550AE-903D-4456-9316-A73BAEB1A5AB}"/>
    <cellStyle name="Comma 282" xfId="844" xr:uid="{458FAE49-AD5B-45F3-8066-1366CCC78728}"/>
    <cellStyle name="Comma 3" xfId="7" xr:uid="{00000000-0005-0000-0000-0000BD000000}"/>
    <cellStyle name="Comma 3 2" xfId="254" xr:uid="{00000000-0005-0000-0000-0000BE000000}"/>
    <cellStyle name="Comma 3 2 2" xfId="652" xr:uid="{00000000-0005-0000-0000-0000BF000000}"/>
    <cellStyle name="Comma 3 2 2 2" xfId="808" xr:uid="{00000000-0005-0000-0000-0000C0000000}"/>
    <cellStyle name="Comma 3 2 3" xfId="774" xr:uid="{00000000-0005-0000-0000-0000C1000000}"/>
    <cellStyle name="Comma 3 3" xfId="255" xr:uid="{00000000-0005-0000-0000-0000C2000000}"/>
    <cellStyle name="Comma 3 3 2" xfId="775" xr:uid="{00000000-0005-0000-0000-0000C3000000}"/>
    <cellStyle name="Comma 3 4" xfId="653" xr:uid="{00000000-0005-0000-0000-0000C4000000}"/>
    <cellStyle name="Comma 3 4 2" xfId="809" xr:uid="{00000000-0005-0000-0000-0000C5000000}"/>
    <cellStyle name="Comma 3 5" xfId="253" xr:uid="{00000000-0005-0000-0000-0000C6000000}"/>
    <cellStyle name="Comma 3 5 2" xfId="773" xr:uid="{00000000-0005-0000-0000-0000C7000000}"/>
    <cellStyle name="Comma 3 6" xfId="755" xr:uid="{00000000-0005-0000-0000-0000C8000000}"/>
    <cellStyle name="Comma 4" xfId="8" xr:uid="{00000000-0005-0000-0000-0000C9000000}"/>
    <cellStyle name="Comma 4 2" xfId="509" xr:uid="{00000000-0005-0000-0000-0000CA000000}"/>
    <cellStyle name="Comma 4 2 2" xfId="618" xr:uid="{00000000-0005-0000-0000-0000CB000000}"/>
    <cellStyle name="Comma 4 2 2 2" xfId="798" xr:uid="{00000000-0005-0000-0000-0000CC000000}"/>
    <cellStyle name="Comma 4 2 3" xfId="787" xr:uid="{00000000-0005-0000-0000-0000CD000000}"/>
    <cellStyle name="Comma 4 3" xfId="528" xr:uid="{00000000-0005-0000-0000-0000CE000000}"/>
    <cellStyle name="Comma 4 3 2" xfId="791" xr:uid="{00000000-0005-0000-0000-0000CF000000}"/>
    <cellStyle name="Comma 4 4" xfId="756" xr:uid="{00000000-0005-0000-0000-0000D0000000}"/>
    <cellStyle name="Comma 5" xfId="9" xr:uid="{00000000-0005-0000-0000-0000D1000000}"/>
    <cellStyle name="Comma 5 2" xfId="654" xr:uid="{00000000-0005-0000-0000-0000D2000000}"/>
    <cellStyle name="Comma 5 2 2" xfId="810" xr:uid="{00000000-0005-0000-0000-0000D3000000}"/>
    <cellStyle name="Comma 5 3" xfId="256" xr:uid="{00000000-0005-0000-0000-0000D4000000}"/>
    <cellStyle name="Comma 5 3 2" xfId="776" xr:uid="{00000000-0005-0000-0000-0000D5000000}"/>
    <cellStyle name="Comma 5 4" xfId="757" xr:uid="{00000000-0005-0000-0000-0000D6000000}"/>
    <cellStyle name="Comma 517 2" xfId="848" xr:uid="{7340E058-D2D1-4E82-9C70-B02F808F6729}"/>
    <cellStyle name="Comma 6" xfId="5" xr:uid="{00000000-0005-0000-0000-0000D7000000}"/>
    <cellStyle name="Comma 6 2" xfId="655" xr:uid="{00000000-0005-0000-0000-0000D8000000}"/>
    <cellStyle name="Comma 6 2 2" xfId="811" xr:uid="{00000000-0005-0000-0000-0000D9000000}"/>
    <cellStyle name="Comma 6 3" xfId="257" xr:uid="{00000000-0005-0000-0000-0000DA000000}"/>
    <cellStyle name="Comma 6 3 2" xfId="777" xr:uid="{00000000-0005-0000-0000-0000DB000000}"/>
    <cellStyle name="Comma 6 4" xfId="753" xr:uid="{00000000-0005-0000-0000-0000DC000000}"/>
    <cellStyle name="Comma 7" xfId="258" xr:uid="{00000000-0005-0000-0000-0000DD000000}"/>
    <cellStyle name="Comma 7 2" xfId="529" xr:uid="{00000000-0005-0000-0000-0000DE000000}"/>
    <cellStyle name="Comma 7 2 2" xfId="792" xr:uid="{00000000-0005-0000-0000-0000DF000000}"/>
    <cellStyle name="Comma 7 3" xfId="778" xr:uid="{00000000-0005-0000-0000-0000E0000000}"/>
    <cellStyle name="Comma 8" xfId="656" xr:uid="{00000000-0005-0000-0000-0000E1000000}"/>
    <cellStyle name="Comma 8 2" xfId="812" xr:uid="{00000000-0005-0000-0000-0000E2000000}"/>
    <cellStyle name="Comma 9" xfId="752" xr:uid="{00000000-0005-0000-0000-0000E3000000}"/>
    <cellStyle name="Comma(2)" xfId="259" xr:uid="{00000000-0005-0000-0000-0000E4000000}"/>
    <cellStyle name="Comma(2) 2" xfId="530" xr:uid="{00000000-0005-0000-0000-0000E5000000}"/>
    <cellStyle name="Comma0" xfId="260" xr:uid="{00000000-0005-0000-0000-0000E6000000}"/>
    <cellStyle name="Comma0 2" xfId="261" xr:uid="{00000000-0005-0000-0000-0000E7000000}"/>
    <cellStyle name="Comma0 2 2" xfId="532" xr:uid="{00000000-0005-0000-0000-0000E8000000}"/>
    <cellStyle name="Comma0 3" xfId="262" xr:uid="{00000000-0005-0000-0000-0000E9000000}"/>
    <cellStyle name="Comma0 3 2" xfId="533" xr:uid="{00000000-0005-0000-0000-0000EA000000}"/>
    <cellStyle name="Comma0 4" xfId="531" xr:uid="{00000000-0005-0000-0000-0000EB000000}"/>
    <cellStyle name="Comments" xfId="263" xr:uid="{00000000-0005-0000-0000-0000EC000000}"/>
    <cellStyle name="crude conversion" xfId="264" xr:uid="{00000000-0005-0000-0000-0000ED000000}"/>
    <cellStyle name="Currency 2" xfId="10" xr:uid="{00000000-0005-0000-0000-0000EE000000}"/>
    <cellStyle name="Currency 2 2" xfId="265" xr:uid="{00000000-0005-0000-0000-0000EF000000}"/>
    <cellStyle name="Currency 2 2 2" xfId="657" xr:uid="{00000000-0005-0000-0000-0000F0000000}"/>
    <cellStyle name="Currency 2 2 2 2" xfId="813" xr:uid="{00000000-0005-0000-0000-0000F1000000}"/>
    <cellStyle name="Currency 2 2 3" xfId="779" xr:uid="{00000000-0005-0000-0000-0000F2000000}"/>
    <cellStyle name="Currency 2 3" xfId="534" xr:uid="{00000000-0005-0000-0000-0000F3000000}"/>
    <cellStyle name="Currency 2 3 2" xfId="793" xr:uid="{00000000-0005-0000-0000-0000F4000000}"/>
    <cellStyle name="Currency 2 4" xfId="758" xr:uid="{00000000-0005-0000-0000-0000F5000000}"/>
    <cellStyle name="Currency 3" xfId="266" xr:uid="{00000000-0005-0000-0000-0000F6000000}"/>
    <cellStyle name="Currency 3 2" xfId="535" xr:uid="{00000000-0005-0000-0000-0000F7000000}"/>
    <cellStyle name="Currency 3 2 2" xfId="794" xr:uid="{00000000-0005-0000-0000-0000F8000000}"/>
    <cellStyle name="Currency 3 3" xfId="780" xr:uid="{00000000-0005-0000-0000-0000F9000000}"/>
    <cellStyle name="Currency 4" xfId="748" xr:uid="{00000000-0005-0000-0000-0000FA000000}"/>
    <cellStyle name="Currency 4 2" xfId="815" xr:uid="{00000000-0005-0000-0000-0000FB000000}"/>
    <cellStyle name="Currency0" xfId="267" xr:uid="{00000000-0005-0000-0000-0000FC000000}"/>
    <cellStyle name="Currency0 2" xfId="536" xr:uid="{00000000-0005-0000-0000-0000FD000000}"/>
    <cellStyle name="Data Enter" xfId="268" xr:uid="{00000000-0005-0000-0000-0000FE000000}"/>
    <cellStyle name="Data_Total" xfId="269" xr:uid="{00000000-0005-0000-0000-0000FF000000}"/>
    <cellStyle name="DetailStyleText" xfId="270" xr:uid="{00000000-0005-0000-0000-000000010000}"/>
    <cellStyle name="DM" xfId="271" xr:uid="{00000000-0005-0000-0000-000001010000}"/>
    <cellStyle name="Emphasis 1" xfId="272" xr:uid="{00000000-0005-0000-0000-000002010000}"/>
    <cellStyle name="Emphasis 2" xfId="273" xr:uid="{00000000-0005-0000-0000-000003010000}"/>
    <cellStyle name="Emphasis 3" xfId="274" xr:uid="{00000000-0005-0000-0000-000004010000}"/>
    <cellStyle name="Estimated" xfId="11" xr:uid="{00000000-0005-0000-0000-000005010000}"/>
    <cellStyle name="Euro" xfId="275" xr:uid="{00000000-0005-0000-0000-000006010000}"/>
    <cellStyle name="Euro 2" xfId="276" xr:uid="{00000000-0005-0000-0000-000007010000}"/>
    <cellStyle name="Euro 2 2" xfId="537" xr:uid="{00000000-0005-0000-0000-000008010000}"/>
    <cellStyle name="Euro 3" xfId="277" xr:uid="{00000000-0005-0000-0000-000009010000}"/>
    <cellStyle name="Euro 3 2" xfId="538" xr:uid="{00000000-0005-0000-0000-00000A010000}"/>
    <cellStyle name="Èurrency [0]" xfId="278" xr:uid="{00000000-0005-0000-0000-00000B010000}"/>
    <cellStyle name="Èurrency [0] 2" xfId="658" xr:uid="{00000000-0005-0000-0000-00000C010000}"/>
    <cellStyle name="Èurrency [0] 2 2" xfId="814" xr:uid="{00000000-0005-0000-0000-00000D010000}"/>
    <cellStyle name="Èurrency [0] 3" xfId="781" xr:uid="{00000000-0005-0000-0000-00000E010000}"/>
    <cellStyle name="Explanatory Text 2" xfId="280" xr:uid="{00000000-0005-0000-0000-00000F010000}"/>
    <cellStyle name="Explanatory Text 3" xfId="281" xr:uid="{00000000-0005-0000-0000-000010010000}"/>
    <cellStyle name="Explanatory Text 4" xfId="659" xr:uid="{00000000-0005-0000-0000-000011010000}"/>
    <cellStyle name="Explanatory Text 5" xfId="279" xr:uid="{00000000-0005-0000-0000-000012010000}"/>
    <cellStyle name="external input" xfId="12" xr:uid="{00000000-0005-0000-0000-000013010000}"/>
    <cellStyle name="FactSheet" xfId="282" xr:uid="{00000000-0005-0000-0000-000014010000}"/>
    <cellStyle name="FinancialTitleStyle" xfId="283" xr:uid="{00000000-0005-0000-0000-000015010000}"/>
    <cellStyle name="Fixed" xfId="284" xr:uid="{00000000-0005-0000-0000-000016010000}"/>
    <cellStyle name="Fixed 2" xfId="285" xr:uid="{00000000-0005-0000-0000-000017010000}"/>
    <cellStyle name="Fixed 2 2" xfId="540" xr:uid="{00000000-0005-0000-0000-000018010000}"/>
    <cellStyle name="Fixed 3" xfId="286" xr:uid="{00000000-0005-0000-0000-000019010000}"/>
    <cellStyle name="Fixed 3 2" xfId="541" xr:uid="{00000000-0005-0000-0000-00001A010000}"/>
    <cellStyle name="Fixed 4" xfId="539" xr:uid="{00000000-0005-0000-0000-00001B010000}"/>
    <cellStyle name="Good" xfId="827" builtinId="26"/>
    <cellStyle name="Good 2" xfId="288" xr:uid="{00000000-0005-0000-0000-00001C010000}"/>
    <cellStyle name="Good 3" xfId="289" xr:uid="{00000000-0005-0000-0000-00001D010000}"/>
    <cellStyle name="Good 4" xfId="660" xr:uid="{00000000-0005-0000-0000-00001E010000}"/>
    <cellStyle name="Good 5" xfId="287" xr:uid="{00000000-0005-0000-0000-00001F010000}"/>
    <cellStyle name="Grant" xfId="290" xr:uid="{00000000-0005-0000-0000-000020010000}"/>
    <cellStyle name="Header" xfId="13" xr:uid="{00000000-0005-0000-0000-000021010000}"/>
    <cellStyle name="HeaderGrant" xfId="14" xr:uid="{00000000-0005-0000-0000-000022010000}"/>
    <cellStyle name="HeaderGrant 2" xfId="661" xr:uid="{00000000-0005-0000-0000-000023010000}"/>
    <cellStyle name="HeaderGrant 3" xfId="291" xr:uid="{00000000-0005-0000-0000-000024010000}"/>
    <cellStyle name="HeaderGrant 3 2" xfId="782" xr:uid="{00000000-0005-0000-0000-000025010000}"/>
    <cellStyle name="HeaderLEA" xfId="15" xr:uid="{00000000-0005-0000-0000-000026010000}"/>
    <cellStyle name="Heading 1 2" xfId="293" xr:uid="{00000000-0005-0000-0000-000027010000}"/>
    <cellStyle name="Heading 1 3" xfId="294" xr:uid="{00000000-0005-0000-0000-000028010000}"/>
    <cellStyle name="Heading 1 4" xfId="662" xr:uid="{00000000-0005-0000-0000-000029010000}"/>
    <cellStyle name="Heading 1 5" xfId="292" xr:uid="{00000000-0005-0000-0000-00002A010000}"/>
    <cellStyle name="Heading 2 2" xfId="296" xr:uid="{00000000-0005-0000-0000-00002B010000}"/>
    <cellStyle name="Heading 2 3" xfId="297" xr:uid="{00000000-0005-0000-0000-00002C010000}"/>
    <cellStyle name="Heading 2 4" xfId="663" xr:uid="{00000000-0005-0000-0000-00002D010000}"/>
    <cellStyle name="Heading 2 5" xfId="295" xr:uid="{00000000-0005-0000-0000-00002E010000}"/>
    <cellStyle name="Heading 3 2" xfId="299" xr:uid="{00000000-0005-0000-0000-00002F010000}"/>
    <cellStyle name="Heading 3 3" xfId="300" xr:uid="{00000000-0005-0000-0000-000030010000}"/>
    <cellStyle name="Heading 3 4" xfId="664" xr:uid="{00000000-0005-0000-0000-000031010000}"/>
    <cellStyle name="Heading 3 5" xfId="298" xr:uid="{00000000-0005-0000-0000-000032010000}"/>
    <cellStyle name="Heading 4 2" xfId="302" xr:uid="{00000000-0005-0000-0000-000033010000}"/>
    <cellStyle name="Heading 4 3" xfId="303" xr:uid="{00000000-0005-0000-0000-000034010000}"/>
    <cellStyle name="Heading 4 4" xfId="665" xr:uid="{00000000-0005-0000-0000-000035010000}"/>
    <cellStyle name="Heading 4 5" xfId="301" xr:uid="{00000000-0005-0000-0000-000036010000}"/>
    <cellStyle name="Headings" xfId="304" xr:uid="{00000000-0005-0000-0000-000037010000}"/>
    <cellStyle name="Hyperlink" xfId="821" builtinId="8"/>
    <cellStyle name="Hyperlink 2" xfId="305" xr:uid="{00000000-0005-0000-0000-000038010000}"/>
    <cellStyle name="Hyperlink 2 2" xfId="306" xr:uid="{00000000-0005-0000-0000-000039010000}"/>
    <cellStyle name="Hyperlink 2 2 2" xfId="543" xr:uid="{00000000-0005-0000-0000-00003A010000}"/>
    <cellStyle name="Hyperlink 2 3" xfId="542" xr:uid="{00000000-0005-0000-0000-00003B010000}"/>
    <cellStyle name="Hyperlink 3" xfId="307" xr:uid="{00000000-0005-0000-0000-00003C010000}"/>
    <cellStyle name="Hyperlink 4" xfId="308" xr:uid="{00000000-0005-0000-0000-00003D010000}"/>
    <cellStyle name="Hyperlink 5" xfId="825" xr:uid="{922768DC-C42D-43F8-A21F-3385949AF8DD}"/>
    <cellStyle name="Imported" xfId="16" xr:uid="{00000000-0005-0000-0000-00003E010000}"/>
    <cellStyle name="Input 10" xfId="309" xr:uid="{00000000-0005-0000-0000-00003F010000}"/>
    <cellStyle name="input 2" xfId="310" xr:uid="{00000000-0005-0000-0000-000040010000}"/>
    <cellStyle name="Input 3" xfId="311" xr:uid="{00000000-0005-0000-0000-000041010000}"/>
    <cellStyle name="Input 3 2" xfId="712" xr:uid="{00000000-0005-0000-0000-000042010000}"/>
    <cellStyle name="Input 4" xfId="312" xr:uid="{00000000-0005-0000-0000-000043010000}"/>
    <cellStyle name="Input 4 2" xfId="713" xr:uid="{00000000-0005-0000-0000-000044010000}"/>
    <cellStyle name="Input 5" xfId="313" xr:uid="{00000000-0005-0000-0000-000045010000}"/>
    <cellStyle name="Input 5 2" xfId="714" xr:uid="{00000000-0005-0000-0000-000046010000}"/>
    <cellStyle name="Input 6" xfId="666" xr:uid="{00000000-0005-0000-0000-000047010000}"/>
    <cellStyle name="Input 7" xfId="667" xr:uid="{00000000-0005-0000-0000-000048010000}"/>
    <cellStyle name="Input 8" xfId="711" xr:uid="{00000000-0005-0000-0000-000049010000}"/>
    <cellStyle name="Input 9" xfId="715" xr:uid="{00000000-0005-0000-0000-00004A010000}"/>
    <cellStyle name="input(0)" xfId="314" xr:uid="{00000000-0005-0000-0000-00004B010000}"/>
    <cellStyle name="Input(2)" xfId="315" xr:uid="{00000000-0005-0000-0000-00004C010000}"/>
    <cellStyle name="LEAName" xfId="17" xr:uid="{00000000-0005-0000-0000-00004D010000}"/>
    <cellStyle name="LEAName 2" xfId="668" xr:uid="{00000000-0005-0000-0000-00004E010000}"/>
    <cellStyle name="LEANumber" xfId="18" xr:uid="{00000000-0005-0000-0000-00004F010000}"/>
    <cellStyle name="LEANumber 2" xfId="669" xr:uid="{00000000-0005-0000-0000-000050010000}"/>
    <cellStyle name="Linked Cell 2" xfId="317" xr:uid="{00000000-0005-0000-0000-000051010000}"/>
    <cellStyle name="Linked Cell 3" xfId="318" xr:uid="{00000000-0005-0000-0000-000052010000}"/>
    <cellStyle name="Linked Cell 4" xfId="670" xr:uid="{00000000-0005-0000-0000-000053010000}"/>
    <cellStyle name="Linked Cell 5" xfId="316" xr:uid="{00000000-0005-0000-0000-000054010000}"/>
    <cellStyle name="log projection" xfId="19" xr:uid="{00000000-0005-0000-0000-000055010000}"/>
    <cellStyle name="log projection 2" xfId="716" xr:uid="{00000000-0005-0000-0000-000056010000}"/>
    <cellStyle name="log projection 3" xfId="319" xr:uid="{00000000-0005-0000-0000-000057010000}"/>
    <cellStyle name="Neutral 2" xfId="321" xr:uid="{00000000-0005-0000-0000-000058010000}"/>
    <cellStyle name="Neutral 3" xfId="322" xr:uid="{00000000-0005-0000-0000-000059010000}"/>
    <cellStyle name="Neutral 4" xfId="671" xr:uid="{00000000-0005-0000-0000-00005A010000}"/>
    <cellStyle name="Neutral 5" xfId="705" xr:uid="{00000000-0005-0000-0000-00005B010000}"/>
    <cellStyle name="Neutral 6" xfId="320" xr:uid="{00000000-0005-0000-0000-00005C010000}"/>
    <cellStyle name="New_normal" xfId="323" xr:uid="{00000000-0005-0000-0000-00005D010000}"/>
    <cellStyle name="Normal" xfId="0" builtinId="0"/>
    <cellStyle name="Normal - Style1" xfId="324" xr:uid="{00000000-0005-0000-0000-00005F010000}"/>
    <cellStyle name="Normal - Style2" xfId="325" xr:uid="{00000000-0005-0000-0000-000060010000}"/>
    <cellStyle name="Normal - Style3" xfId="326" xr:uid="{00000000-0005-0000-0000-000061010000}"/>
    <cellStyle name="Normal - Style4" xfId="327" xr:uid="{00000000-0005-0000-0000-000062010000}"/>
    <cellStyle name="Normal - Style5" xfId="328" xr:uid="{00000000-0005-0000-0000-000063010000}"/>
    <cellStyle name="Normal 10" xfId="20" xr:uid="{00000000-0005-0000-0000-000064010000}"/>
    <cellStyle name="Normal 10 2" xfId="330" xr:uid="{00000000-0005-0000-0000-000065010000}"/>
    <cellStyle name="Normal 10 2 2" xfId="672" xr:uid="{00000000-0005-0000-0000-000066010000}"/>
    <cellStyle name="Normal 10 3" xfId="331" xr:uid="{00000000-0005-0000-0000-000067010000}"/>
    <cellStyle name="Normal 10 3 2" xfId="544" xr:uid="{00000000-0005-0000-0000-000068010000}"/>
    <cellStyle name="Normal 10 4" xfId="329" xr:uid="{00000000-0005-0000-0000-000069010000}"/>
    <cellStyle name="Normal 10_2014-15 SBS Invoice Plans v2" xfId="332" xr:uid="{00000000-0005-0000-0000-00006A010000}"/>
    <cellStyle name="Normal 100" xfId="129" xr:uid="{00000000-0005-0000-0000-00006B010000}"/>
    <cellStyle name="Normal 101" xfId="130" xr:uid="{00000000-0005-0000-0000-00006C010000}"/>
    <cellStyle name="Normal 102" xfId="131" xr:uid="{00000000-0005-0000-0000-00006D010000}"/>
    <cellStyle name="Normal 103" xfId="132" xr:uid="{00000000-0005-0000-0000-00006E010000}"/>
    <cellStyle name="Normal 104" xfId="133" xr:uid="{00000000-0005-0000-0000-00006F010000}"/>
    <cellStyle name="Normal 105" xfId="134" xr:uid="{00000000-0005-0000-0000-000070010000}"/>
    <cellStyle name="Normal 106" xfId="135" xr:uid="{00000000-0005-0000-0000-000071010000}"/>
    <cellStyle name="Normal 107" xfId="136" xr:uid="{00000000-0005-0000-0000-000072010000}"/>
    <cellStyle name="Normal 108" xfId="137" xr:uid="{00000000-0005-0000-0000-000073010000}"/>
    <cellStyle name="Normal 109" xfId="3" xr:uid="{00000000-0005-0000-0000-000074010000}"/>
    <cellStyle name="Normal 11" xfId="21" xr:uid="{00000000-0005-0000-0000-000075010000}"/>
    <cellStyle name="Normal 11 2" xfId="334" xr:uid="{00000000-0005-0000-0000-000076010000}"/>
    <cellStyle name="Normal 11 3" xfId="333" xr:uid="{00000000-0005-0000-0000-000077010000}"/>
    <cellStyle name="Normal 11_2014-15 SBS Invoice Plans v2" xfId="335" xr:uid="{00000000-0005-0000-0000-000078010000}"/>
    <cellStyle name="Normal 110" xfId="143" xr:uid="{00000000-0005-0000-0000-000079010000}"/>
    <cellStyle name="Normal 110 2" xfId="760" xr:uid="{00000000-0005-0000-0000-00007A010000}"/>
    <cellStyle name="Normal 111" xfId="750" xr:uid="{00000000-0005-0000-0000-00007B010000}"/>
    <cellStyle name="Normal 112" xfId="751" xr:uid="{00000000-0005-0000-0000-00007C010000}"/>
    <cellStyle name="Normal 113" xfId="816" xr:uid="{00000000-0005-0000-0000-00007D010000}"/>
    <cellStyle name="Normal 114" xfId="818" xr:uid="{00000000-0005-0000-0000-00007E010000}"/>
    <cellStyle name="Normal 115" xfId="819" xr:uid="{F1E8EA7D-9358-46F1-A026-A36580DF9F9F}"/>
    <cellStyle name="Normal 116" xfId="822" xr:uid="{3BBA114E-59BA-479E-B765-ABF916109117}"/>
    <cellStyle name="Normal 12" xfId="22" xr:uid="{00000000-0005-0000-0000-00007F010000}"/>
    <cellStyle name="Normal 12 2" xfId="336" xr:uid="{00000000-0005-0000-0000-000080010000}"/>
    <cellStyle name="Normal 12 3" xfId="545" xr:uid="{00000000-0005-0000-0000-000081010000}"/>
    <cellStyle name="Normal 13" xfId="23" xr:uid="{00000000-0005-0000-0000-000082010000}"/>
    <cellStyle name="Normal 13 2" xfId="338" xr:uid="{00000000-0005-0000-0000-000083010000}"/>
    <cellStyle name="Normal 13 2 2" xfId="547" xr:uid="{00000000-0005-0000-0000-000084010000}"/>
    <cellStyle name="Normal 13 2 2 2" xfId="796" xr:uid="{00000000-0005-0000-0000-000085010000}"/>
    <cellStyle name="Normal 13 2 3" xfId="784" xr:uid="{00000000-0005-0000-0000-000086010000}"/>
    <cellStyle name="Normal 13 3" xfId="546" xr:uid="{00000000-0005-0000-0000-000087010000}"/>
    <cellStyle name="Normal 13 3 2" xfId="795" xr:uid="{00000000-0005-0000-0000-000088010000}"/>
    <cellStyle name="Normal 13 4" xfId="337" xr:uid="{00000000-0005-0000-0000-000089010000}"/>
    <cellStyle name="Normal 13 4 2" xfId="783" xr:uid="{00000000-0005-0000-0000-00008A010000}"/>
    <cellStyle name="Normal 131" xfId="142" xr:uid="{00000000-0005-0000-0000-00008B010000}"/>
    <cellStyle name="Normal 14" xfId="24" xr:uid="{00000000-0005-0000-0000-00008C010000}"/>
    <cellStyle name="Normal 14 2" xfId="339" xr:uid="{00000000-0005-0000-0000-00008D010000}"/>
    <cellStyle name="Normal 14 2 2" xfId="549" xr:uid="{00000000-0005-0000-0000-00008E010000}"/>
    <cellStyle name="Normal 14 3" xfId="548" xr:uid="{00000000-0005-0000-0000-00008F010000}"/>
    <cellStyle name="Normal 15" xfId="25" xr:uid="{00000000-0005-0000-0000-000090010000}"/>
    <cellStyle name="Normal 15 2" xfId="340" xr:uid="{00000000-0005-0000-0000-000091010000}"/>
    <cellStyle name="Normal 15 2 2" xfId="551" xr:uid="{00000000-0005-0000-0000-000092010000}"/>
    <cellStyle name="Normal 15 3" xfId="550" xr:uid="{00000000-0005-0000-0000-000093010000}"/>
    <cellStyle name="Normal 16" xfId="26" xr:uid="{00000000-0005-0000-0000-000094010000}"/>
    <cellStyle name="Normal 16 2" xfId="342" xr:uid="{00000000-0005-0000-0000-000095010000}"/>
    <cellStyle name="Normal 16 3" xfId="341" xr:uid="{00000000-0005-0000-0000-000096010000}"/>
    <cellStyle name="Normal 16_SEN Support calculator 2014_15 (2)" xfId="510" xr:uid="{00000000-0005-0000-0000-000097010000}"/>
    <cellStyle name="Normal 17" xfId="47" xr:uid="{00000000-0005-0000-0000-000098010000}"/>
    <cellStyle name="Normal 17 2" xfId="343" xr:uid="{00000000-0005-0000-0000-000099010000}"/>
    <cellStyle name="Normal 17 3" xfId="552" xr:uid="{00000000-0005-0000-0000-00009A010000}"/>
    <cellStyle name="Normal 18" xfId="48" xr:uid="{00000000-0005-0000-0000-00009B010000}"/>
    <cellStyle name="Normal 18 2" xfId="345" xr:uid="{00000000-0005-0000-0000-00009C010000}"/>
    <cellStyle name="Normal 18 3" xfId="346" xr:uid="{00000000-0005-0000-0000-00009D010000}"/>
    <cellStyle name="Normal 18 3 2" xfId="554" xr:uid="{00000000-0005-0000-0000-00009E010000}"/>
    <cellStyle name="Normal 18 4" xfId="553" xr:uid="{00000000-0005-0000-0000-00009F010000}"/>
    <cellStyle name="Normal 18 5" xfId="344" xr:uid="{00000000-0005-0000-0000-0000A0010000}"/>
    <cellStyle name="Normal 19" xfId="49" xr:uid="{00000000-0005-0000-0000-0000A1010000}"/>
    <cellStyle name="Normal 19 2" xfId="348" xr:uid="{00000000-0005-0000-0000-0000A2010000}"/>
    <cellStyle name="Normal 19 3" xfId="347" xr:uid="{00000000-0005-0000-0000-0000A3010000}"/>
    <cellStyle name="Normal 19_SEN Support calculator 2014_15 (2)" xfId="511" xr:uid="{00000000-0005-0000-0000-0000A4010000}"/>
    <cellStyle name="Normal 2" xfId="27" xr:uid="{00000000-0005-0000-0000-0000A5010000}"/>
    <cellStyle name="Normal 2 10" xfId="350" xr:uid="{00000000-0005-0000-0000-0000A6010000}"/>
    <cellStyle name="Normal 2 10 2" xfId="673" xr:uid="{00000000-0005-0000-0000-0000A7010000}"/>
    <cellStyle name="Normal 2 11" xfId="351" xr:uid="{00000000-0005-0000-0000-0000A8010000}"/>
    <cellStyle name="Normal 2 11 2" xfId="674" xr:uid="{00000000-0005-0000-0000-0000A9010000}"/>
    <cellStyle name="Normal 2 12" xfId="352" xr:uid="{00000000-0005-0000-0000-0000AA010000}"/>
    <cellStyle name="Normal 2 12 2" xfId="675" xr:uid="{00000000-0005-0000-0000-0000AB010000}"/>
    <cellStyle name="Normal 2 13" xfId="353" xr:uid="{00000000-0005-0000-0000-0000AC010000}"/>
    <cellStyle name="Normal 2 13 2" xfId="676" xr:uid="{00000000-0005-0000-0000-0000AD010000}"/>
    <cellStyle name="Normal 2 14" xfId="354" xr:uid="{00000000-0005-0000-0000-0000AE010000}"/>
    <cellStyle name="Normal 2 14 2" xfId="555" xr:uid="{00000000-0005-0000-0000-0000AF010000}"/>
    <cellStyle name="Normal 2 15" xfId="349" xr:uid="{00000000-0005-0000-0000-0000B0010000}"/>
    <cellStyle name="Normal 2 16" xfId="828" xr:uid="{1ECE71D0-EB70-46A4-B5D6-AFF4B9FDDF5E}"/>
    <cellStyle name="Normal 2 2" xfId="28" xr:uid="{00000000-0005-0000-0000-0000B1010000}"/>
    <cellStyle name="Normal 2 2 10" xfId="356" xr:uid="{00000000-0005-0000-0000-0000B2010000}"/>
    <cellStyle name="Normal 2 2 11" xfId="357" xr:uid="{00000000-0005-0000-0000-0000B3010000}"/>
    <cellStyle name="Normal 2 2 12" xfId="556" xr:uid="{00000000-0005-0000-0000-0000B4010000}"/>
    <cellStyle name="Normal 2 2 13" xfId="355" xr:uid="{00000000-0005-0000-0000-0000B5010000}"/>
    <cellStyle name="Normal 2 2 14" xfId="824" xr:uid="{18994324-0A46-476A-8786-41D07AAFD15B}"/>
    <cellStyle name="Normal 2 2 2" xfId="358" xr:uid="{00000000-0005-0000-0000-0000B6010000}"/>
    <cellStyle name="Normal 2 2 2 2" xfId="359" xr:uid="{00000000-0005-0000-0000-0000B7010000}"/>
    <cellStyle name="Normal 2 2 2 2 2" xfId="557" xr:uid="{00000000-0005-0000-0000-0000B8010000}"/>
    <cellStyle name="Normal 2 2 2 3" xfId="360" xr:uid="{00000000-0005-0000-0000-0000B9010000}"/>
    <cellStyle name="Normal 2 2 2 3 2" xfId="558" xr:uid="{00000000-0005-0000-0000-0000BA010000}"/>
    <cellStyle name="Normal 2 2 2 4" xfId="361" xr:uid="{00000000-0005-0000-0000-0000BB010000}"/>
    <cellStyle name="Normal 2 2 2 4 2" xfId="559" xr:uid="{00000000-0005-0000-0000-0000BC010000}"/>
    <cellStyle name="Normal 2 2 2 5" xfId="362" xr:uid="{00000000-0005-0000-0000-0000BD010000}"/>
    <cellStyle name="Normal 2 2 2 5 2" xfId="560" xr:uid="{00000000-0005-0000-0000-0000BE010000}"/>
    <cellStyle name="Normal 2 2 2 6" xfId="363" xr:uid="{00000000-0005-0000-0000-0000BF010000}"/>
    <cellStyle name="Normal 2 2 2 6 2" xfId="561" xr:uid="{00000000-0005-0000-0000-0000C0010000}"/>
    <cellStyle name="Normal 2 2 2 7" xfId="364" xr:uid="{00000000-0005-0000-0000-0000C1010000}"/>
    <cellStyle name="Normal 2 2 2 7 2" xfId="562" xr:uid="{00000000-0005-0000-0000-0000C2010000}"/>
    <cellStyle name="Normal 2 2 2_Book2" xfId="365" xr:uid="{00000000-0005-0000-0000-0000C3010000}"/>
    <cellStyle name="Normal 2 2 3" xfId="366" xr:uid="{00000000-0005-0000-0000-0000C4010000}"/>
    <cellStyle name="Normal 2 2 3 2" xfId="563" xr:uid="{00000000-0005-0000-0000-0000C5010000}"/>
    <cellStyle name="Normal 2 2 4" xfId="367" xr:uid="{00000000-0005-0000-0000-0000C6010000}"/>
    <cellStyle name="Normal 2 2 4 2" xfId="564" xr:uid="{00000000-0005-0000-0000-0000C7010000}"/>
    <cellStyle name="Normal 2 2 5" xfId="368" xr:uid="{00000000-0005-0000-0000-0000C8010000}"/>
    <cellStyle name="Normal 2 2 5 2" xfId="565" xr:uid="{00000000-0005-0000-0000-0000C9010000}"/>
    <cellStyle name="Normal 2 2 6" xfId="369" xr:uid="{00000000-0005-0000-0000-0000CA010000}"/>
    <cellStyle name="Normal 2 2 6 2" xfId="566" xr:uid="{00000000-0005-0000-0000-0000CB010000}"/>
    <cellStyle name="Normal 2 2 7" xfId="370" xr:uid="{00000000-0005-0000-0000-0000CC010000}"/>
    <cellStyle name="Normal 2 2 8" xfId="371" xr:uid="{00000000-0005-0000-0000-0000CD010000}"/>
    <cellStyle name="Normal 2 2 9" xfId="372" xr:uid="{00000000-0005-0000-0000-0000CE010000}"/>
    <cellStyle name="Normal 2 2_2014-15 SBS Invoice Plans v2" xfId="373" xr:uid="{00000000-0005-0000-0000-0000CF010000}"/>
    <cellStyle name="Normal 2 3" xfId="374" xr:uid="{00000000-0005-0000-0000-0000D0010000}"/>
    <cellStyle name="Normal 2 3 2" xfId="375" xr:uid="{00000000-0005-0000-0000-0000D1010000}"/>
    <cellStyle name="Normal 2 3 2 2" xfId="567" xr:uid="{00000000-0005-0000-0000-0000D2010000}"/>
    <cellStyle name="Normal 2 3_Book2" xfId="376" xr:uid="{00000000-0005-0000-0000-0000D3010000}"/>
    <cellStyle name="Normal 2 4" xfId="377" xr:uid="{00000000-0005-0000-0000-0000D4010000}"/>
    <cellStyle name="Normal 2 4 2" xfId="677" xr:uid="{00000000-0005-0000-0000-0000D5010000}"/>
    <cellStyle name="Normal 2 5" xfId="378" xr:uid="{00000000-0005-0000-0000-0000D6010000}"/>
    <cellStyle name="Normal 2 6" xfId="379" xr:uid="{00000000-0005-0000-0000-0000D7010000}"/>
    <cellStyle name="Normal 2 6 2" xfId="568" xr:uid="{00000000-0005-0000-0000-0000D8010000}"/>
    <cellStyle name="Normal 2 7" xfId="380" xr:uid="{00000000-0005-0000-0000-0000D9010000}"/>
    <cellStyle name="Normal 2 8" xfId="381" xr:uid="{00000000-0005-0000-0000-0000DA010000}"/>
    <cellStyle name="Normal 2 9" xfId="382" xr:uid="{00000000-0005-0000-0000-0000DB010000}"/>
    <cellStyle name="Normal 2 9 2" xfId="678" xr:uid="{00000000-0005-0000-0000-0000DC010000}"/>
    <cellStyle name="Normal 2_2013-14 OLA Contacts and TOP UPS v2" xfId="383" xr:uid="{00000000-0005-0000-0000-0000DD010000}"/>
    <cellStyle name="Normal 20" xfId="50" xr:uid="{00000000-0005-0000-0000-0000DE010000}"/>
    <cellStyle name="Normal 20 2" xfId="385" xr:uid="{00000000-0005-0000-0000-0000DF010000}"/>
    <cellStyle name="Normal 20 3" xfId="384" xr:uid="{00000000-0005-0000-0000-0000E0010000}"/>
    <cellStyle name="Normal 20_SEN Support calculator 2014_15 (2)" xfId="512" xr:uid="{00000000-0005-0000-0000-0000E1010000}"/>
    <cellStyle name="Normal 21" xfId="51" xr:uid="{00000000-0005-0000-0000-0000E2010000}"/>
    <cellStyle name="Normal 21 2" xfId="569" xr:uid="{00000000-0005-0000-0000-0000E3010000}"/>
    <cellStyle name="Normal 21 3" xfId="386" xr:uid="{00000000-0005-0000-0000-0000E4010000}"/>
    <cellStyle name="Normal 22" xfId="52" xr:uid="{00000000-0005-0000-0000-0000E5010000}"/>
    <cellStyle name="Normal 22 2" xfId="570" xr:uid="{00000000-0005-0000-0000-0000E6010000}"/>
    <cellStyle name="Normal 22 3" xfId="387" xr:uid="{00000000-0005-0000-0000-0000E7010000}"/>
    <cellStyle name="Normal 23" xfId="53" xr:uid="{00000000-0005-0000-0000-0000E8010000}"/>
    <cellStyle name="Normal 23 2" xfId="506" xr:uid="{00000000-0005-0000-0000-0000E9010000}"/>
    <cellStyle name="Normal 23 2 2" xfId="617" xr:uid="{00000000-0005-0000-0000-0000EA010000}"/>
    <cellStyle name="Normal 23 3" xfId="747" xr:uid="{00000000-0005-0000-0000-0000EB010000}"/>
    <cellStyle name="Normal 23 4" xfId="388" xr:uid="{00000000-0005-0000-0000-0000EC010000}"/>
    <cellStyle name="Normal 24" xfId="29" xr:uid="{00000000-0005-0000-0000-0000ED010000}"/>
    <cellStyle name="Normal 24 2" xfId="571" xr:uid="{00000000-0005-0000-0000-0000EE010000}"/>
    <cellStyle name="Normal 24 3" xfId="389" xr:uid="{00000000-0005-0000-0000-0000EF010000}"/>
    <cellStyle name="Normal 25" xfId="54" xr:uid="{00000000-0005-0000-0000-0000F0010000}"/>
    <cellStyle name="Normal 25 2" xfId="572" xr:uid="{00000000-0005-0000-0000-0000F1010000}"/>
    <cellStyle name="Normal 25 3" xfId="717" xr:uid="{00000000-0005-0000-0000-0000F2010000}"/>
    <cellStyle name="Normal 26" xfId="55" xr:uid="{00000000-0005-0000-0000-0000F3010000}"/>
    <cellStyle name="Normal 26 2" xfId="573" xr:uid="{00000000-0005-0000-0000-0000F4010000}"/>
    <cellStyle name="Normal 26 3" xfId="718" xr:uid="{00000000-0005-0000-0000-0000F5010000}"/>
    <cellStyle name="Normal 26 4" xfId="390" xr:uid="{00000000-0005-0000-0000-0000F6010000}"/>
    <cellStyle name="Normal 27" xfId="56" xr:uid="{00000000-0005-0000-0000-0000F7010000}"/>
    <cellStyle name="Normal 27 2" xfId="574" xr:uid="{00000000-0005-0000-0000-0000F8010000}"/>
    <cellStyle name="Normal 27 3" xfId="719" xr:uid="{00000000-0005-0000-0000-0000F9010000}"/>
    <cellStyle name="Normal 28" xfId="57" xr:uid="{00000000-0005-0000-0000-0000FA010000}"/>
    <cellStyle name="Normal 28 2" xfId="575" xr:uid="{00000000-0005-0000-0000-0000FB010000}"/>
    <cellStyle name="Normal 28 3" xfId="720" xr:uid="{00000000-0005-0000-0000-0000FC010000}"/>
    <cellStyle name="Normal 29" xfId="58" xr:uid="{00000000-0005-0000-0000-0000FD010000}"/>
    <cellStyle name="Normal 29 2" xfId="576" xr:uid="{00000000-0005-0000-0000-0000FE010000}"/>
    <cellStyle name="Normal 29 3" xfId="721" xr:uid="{00000000-0005-0000-0000-0000FF010000}"/>
    <cellStyle name="Normal 29 4" xfId="391" xr:uid="{00000000-0005-0000-0000-000000020000}"/>
    <cellStyle name="Normal 3" xfId="30" xr:uid="{00000000-0005-0000-0000-000001020000}"/>
    <cellStyle name="Normal 3 10" xfId="393" xr:uid="{00000000-0005-0000-0000-000002020000}"/>
    <cellStyle name="Normal 3 11" xfId="394" xr:uid="{00000000-0005-0000-0000-000003020000}"/>
    <cellStyle name="Normal 3 12" xfId="679" xr:uid="{00000000-0005-0000-0000-000004020000}"/>
    <cellStyle name="Normal 3 13" xfId="392" xr:uid="{00000000-0005-0000-0000-000005020000}"/>
    <cellStyle name="Normal 3 2" xfId="141" xr:uid="{00000000-0005-0000-0000-000006020000}"/>
    <cellStyle name="Normal 3 2 2" xfId="396" xr:uid="{00000000-0005-0000-0000-000007020000}"/>
    <cellStyle name="Normal 3 2 2 2" xfId="680" xr:uid="{00000000-0005-0000-0000-000008020000}"/>
    <cellStyle name="Normal 3 2 3" xfId="397" xr:uid="{00000000-0005-0000-0000-000009020000}"/>
    <cellStyle name="Normal 3 2 3 2" xfId="681" xr:uid="{00000000-0005-0000-0000-00000A020000}"/>
    <cellStyle name="Normal 3 2 4" xfId="398" xr:uid="{00000000-0005-0000-0000-00000B020000}"/>
    <cellStyle name="Normal 3 2 4 2" xfId="682" xr:uid="{00000000-0005-0000-0000-00000C020000}"/>
    <cellStyle name="Normal 3 2 5" xfId="399" xr:uid="{00000000-0005-0000-0000-00000D020000}"/>
    <cellStyle name="Normal 3 2 5 2" xfId="683" xr:uid="{00000000-0005-0000-0000-00000E020000}"/>
    <cellStyle name="Normal 3 2 6" xfId="400" xr:uid="{00000000-0005-0000-0000-00000F020000}"/>
    <cellStyle name="Normal 3 2 6 2" xfId="684" xr:uid="{00000000-0005-0000-0000-000010020000}"/>
    <cellStyle name="Normal 3 2 7" xfId="685" xr:uid="{00000000-0005-0000-0000-000011020000}"/>
    <cellStyle name="Normal 3 2 8" xfId="395" xr:uid="{00000000-0005-0000-0000-000012020000}"/>
    <cellStyle name="Normal 3 2_Main Allocation Sheet" xfId="401" xr:uid="{00000000-0005-0000-0000-000013020000}"/>
    <cellStyle name="Normal 3 3" xfId="402" xr:uid="{00000000-0005-0000-0000-000014020000}"/>
    <cellStyle name="Normal 3 3 2" xfId="577" xr:uid="{00000000-0005-0000-0000-000015020000}"/>
    <cellStyle name="Normal 3 4" xfId="403" xr:uid="{00000000-0005-0000-0000-000016020000}"/>
    <cellStyle name="Normal 3 5" xfId="404" xr:uid="{00000000-0005-0000-0000-000017020000}"/>
    <cellStyle name="Normal 3 6" xfId="405" xr:uid="{00000000-0005-0000-0000-000018020000}"/>
    <cellStyle name="Normal 3 7" xfId="406" xr:uid="{00000000-0005-0000-0000-000019020000}"/>
    <cellStyle name="Normal 3 8" xfId="407" xr:uid="{00000000-0005-0000-0000-00001A020000}"/>
    <cellStyle name="Normal 3 9" xfId="408" xr:uid="{00000000-0005-0000-0000-00001B020000}"/>
    <cellStyle name="Normal 3_2014-15 SBS Invoice Plans v2" xfId="409" xr:uid="{00000000-0005-0000-0000-00001C020000}"/>
    <cellStyle name="Normal 30" xfId="59" xr:uid="{00000000-0005-0000-0000-00001D020000}"/>
    <cellStyle name="Normal 30 2" xfId="578" xr:uid="{00000000-0005-0000-0000-00001E020000}"/>
    <cellStyle name="Normal 30 3" xfId="722" xr:uid="{00000000-0005-0000-0000-00001F020000}"/>
    <cellStyle name="Normal 31" xfId="60" xr:uid="{00000000-0005-0000-0000-000020020000}"/>
    <cellStyle name="Normal 31 2" xfId="579" xr:uid="{00000000-0005-0000-0000-000021020000}"/>
    <cellStyle name="Normal 31 3" xfId="723" xr:uid="{00000000-0005-0000-0000-000022020000}"/>
    <cellStyle name="Normal 31 4" xfId="410" xr:uid="{00000000-0005-0000-0000-000023020000}"/>
    <cellStyle name="Normal 32" xfId="61" xr:uid="{00000000-0005-0000-0000-000024020000}"/>
    <cellStyle name="Normal 32 2" xfId="580" xr:uid="{00000000-0005-0000-0000-000025020000}"/>
    <cellStyle name="Normal 32 3" xfId="724" xr:uid="{00000000-0005-0000-0000-000026020000}"/>
    <cellStyle name="Normal 32 4" xfId="411" xr:uid="{00000000-0005-0000-0000-000027020000}"/>
    <cellStyle name="Normal 33" xfId="62" xr:uid="{00000000-0005-0000-0000-000028020000}"/>
    <cellStyle name="Normal 33 2" xfId="581" xr:uid="{00000000-0005-0000-0000-000029020000}"/>
    <cellStyle name="Normal 33 3" xfId="725" xr:uid="{00000000-0005-0000-0000-00002A020000}"/>
    <cellStyle name="Normal 34" xfId="63" xr:uid="{00000000-0005-0000-0000-00002B020000}"/>
    <cellStyle name="Normal 34 2" xfId="582" xr:uid="{00000000-0005-0000-0000-00002C020000}"/>
    <cellStyle name="Normal 34 3" xfId="726" xr:uid="{00000000-0005-0000-0000-00002D020000}"/>
    <cellStyle name="Normal 35" xfId="64" xr:uid="{00000000-0005-0000-0000-00002E020000}"/>
    <cellStyle name="Normal 35 2" xfId="686" xr:uid="{00000000-0005-0000-0000-00002F020000}"/>
    <cellStyle name="Normal 35 3" xfId="412" xr:uid="{00000000-0005-0000-0000-000030020000}"/>
    <cellStyle name="Normal 36" xfId="65" xr:uid="{00000000-0005-0000-0000-000031020000}"/>
    <cellStyle name="Normal 36 2" xfId="583" xr:uid="{00000000-0005-0000-0000-000032020000}"/>
    <cellStyle name="Normal 36 3" xfId="727" xr:uid="{00000000-0005-0000-0000-000033020000}"/>
    <cellStyle name="Normal 37" xfId="66" xr:uid="{00000000-0005-0000-0000-000034020000}"/>
    <cellStyle name="Normal 37 2" xfId="413" xr:uid="{00000000-0005-0000-0000-000035020000}"/>
    <cellStyle name="Normal 38" xfId="67" xr:uid="{00000000-0005-0000-0000-000036020000}"/>
    <cellStyle name="Normal 38 2" xfId="584" xr:uid="{00000000-0005-0000-0000-000037020000}"/>
    <cellStyle name="Normal 38 3" xfId="728" xr:uid="{00000000-0005-0000-0000-000038020000}"/>
    <cellStyle name="Normal 39" xfId="68" xr:uid="{00000000-0005-0000-0000-000039020000}"/>
    <cellStyle name="Normal 39 2" xfId="585" xr:uid="{00000000-0005-0000-0000-00003A020000}"/>
    <cellStyle name="Normal 39 3" xfId="729" xr:uid="{00000000-0005-0000-0000-00003B020000}"/>
    <cellStyle name="Normal 4" xfId="31" xr:uid="{00000000-0005-0000-0000-00003C020000}"/>
    <cellStyle name="Normal 4 10" xfId="414" xr:uid="{00000000-0005-0000-0000-00003D020000}"/>
    <cellStyle name="Normal 4 2" xfId="139" xr:uid="{00000000-0005-0000-0000-00003E020000}"/>
    <cellStyle name="Normal 4 2 2" xfId="687" xr:uid="{00000000-0005-0000-0000-00003F020000}"/>
    <cellStyle name="Normal 4 2 3" xfId="415" xr:uid="{00000000-0005-0000-0000-000040020000}"/>
    <cellStyle name="Normal 4 2 4" xfId="140" xr:uid="{00000000-0005-0000-0000-000041020000}"/>
    <cellStyle name="Normal 4 3" xfId="416" xr:uid="{00000000-0005-0000-0000-000042020000}"/>
    <cellStyle name="Normal 4 4" xfId="417" xr:uid="{00000000-0005-0000-0000-000043020000}"/>
    <cellStyle name="Normal 4 5" xfId="418" xr:uid="{00000000-0005-0000-0000-000044020000}"/>
    <cellStyle name="Normal 4 6" xfId="419" xr:uid="{00000000-0005-0000-0000-000045020000}"/>
    <cellStyle name="Normal 4 7" xfId="420" xr:uid="{00000000-0005-0000-0000-000046020000}"/>
    <cellStyle name="Normal 4 8" xfId="421" xr:uid="{00000000-0005-0000-0000-000047020000}"/>
    <cellStyle name="Normal 4 9" xfId="688" xr:uid="{00000000-0005-0000-0000-000048020000}"/>
    <cellStyle name="Normal 4_2014-15 SBS Invoice Plans v2" xfId="422" xr:uid="{00000000-0005-0000-0000-000049020000}"/>
    <cellStyle name="Normal 40" xfId="69" xr:uid="{00000000-0005-0000-0000-00004A020000}"/>
    <cellStyle name="Normal 40 2" xfId="586" xr:uid="{00000000-0005-0000-0000-00004B020000}"/>
    <cellStyle name="Normal 40 3" xfId="730" xr:uid="{00000000-0005-0000-0000-00004C020000}"/>
    <cellStyle name="Normal 41" xfId="70" xr:uid="{00000000-0005-0000-0000-00004D020000}"/>
    <cellStyle name="Normal 41 2" xfId="587" xr:uid="{00000000-0005-0000-0000-00004E020000}"/>
    <cellStyle name="Normal 41 3" xfId="731" xr:uid="{00000000-0005-0000-0000-00004F020000}"/>
    <cellStyle name="Normal 42" xfId="71" xr:uid="{00000000-0005-0000-0000-000050020000}"/>
    <cellStyle name="Normal 42 2" xfId="507" xr:uid="{00000000-0005-0000-0000-000051020000}"/>
    <cellStyle name="Normal 43" xfId="72" xr:uid="{00000000-0005-0000-0000-000052020000}"/>
    <cellStyle name="Normal 43 2" xfId="513" xr:uid="{00000000-0005-0000-0000-000053020000}"/>
    <cellStyle name="Normal 44" xfId="73" xr:uid="{00000000-0005-0000-0000-000054020000}"/>
    <cellStyle name="Normal 44 2" xfId="707" xr:uid="{00000000-0005-0000-0000-000055020000}"/>
    <cellStyle name="Normal 45" xfId="74" xr:uid="{00000000-0005-0000-0000-000056020000}"/>
    <cellStyle name="Normal 45 2" xfId="745" xr:uid="{00000000-0005-0000-0000-000057020000}"/>
    <cellStyle name="Normal 46" xfId="75" xr:uid="{00000000-0005-0000-0000-000058020000}"/>
    <cellStyle name="Normal 47" xfId="76" xr:uid="{00000000-0005-0000-0000-000059020000}"/>
    <cellStyle name="Normal 47 2" xfId="746" xr:uid="{00000000-0005-0000-0000-00005A020000}"/>
    <cellStyle name="Normal 48" xfId="77" xr:uid="{00000000-0005-0000-0000-00005B020000}"/>
    <cellStyle name="Normal 49" xfId="78" xr:uid="{00000000-0005-0000-0000-00005C020000}"/>
    <cellStyle name="Normal 5" xfId="32" xr:uid="{00000000-0005-0000-0000-00005D020000}"/>
    <cellStyle name="Normal 5 11" xfId="826" xr:uid="{4148F931-38AD-4264-9C4B-C217E1E4E7E8}"/>
    <cellStyle name="Normal 5 2" xfId="424" xr:uid="{00000000-0005-0000-0000-00005E020000}"/>
    <cellStyle name="Normal 5 3" xfId="689" xr:uid="{00000000-0005-0000-0000-00005F020000}"/>
    <cellStyle name="Normal 5 4" xfId="704" xr:uid="{00000000-0005-0000-0000-000060020000}"/>
    <cellStyle name="Normal 5 5" xfId="423" xr:uid="{00000000-0005-0000-0000-000061020000}"/>
    <cellStyle name="Normal 5_2014-15 SBS Invoice Plans v2" xfId="425" xr:uid="{00000000-0005-0000-0000-000062020000}"/>
    <cellStyle name="Normal 50" xfId="79" xr:uid="{00000000-0005-0000-0000-000063020000}"/>
    <cellStyle name="Normal 51" xfId="80" xr:uid="{00000000-0005-0000-0000-000064020000}"/>
    <cellStyle name="Normal 52" xfId="81" xr:uid="{00000000-0005-0000-0000-000065020000}"/>
    <cellStyle name="Normal 53" xfId="82" xr:uid="{00000000-0005-0000-0000-000066020000}"/>
    <cellStyle name="Normal 54" xfId="83" xr:uid="{00000000-0005-0000-0000-000067020000}"/>
    <cellStyle name="Normal 55" xfId="84" xr:uid="{00000000-0005-0000-0000-000068020000}"/>
    <cellStyle name="Normal 56" xfId="85" xr:uid="{00000000-0005-0000-0000-000069020000}"/>
    <cellStyle name="Normal 57" xfId="86" xr:uid="{00000000-0005-0000-0000-00006A020000}"/>
    <cellStyle name="Normal 58" xfId="87" xr:uid="{00000000-0005-0000-0000-00006B020000}"/>
    <cellStyle name="Normal 59" xfId="88" xr:uid="{00000000-0005-0000-0000-00006C020000}"/>
    <cellStyle name="Normal 6" xfId="33" xr:uid="{00000000-0005-0000-0000-00006D020000}"/>
    <cellStyle name="Normal 6 2" xfId="427" xr:uid="{00000000-0005-0000-0000-00006E020000}"/>
    <cellStyle name="Normal 6 2 2" xfId="588" xr:uid="{00000000-0005-0000-0000-00006F020000}"/>
    <cellStyle name="Normal 6 3" xfId="690" xr:uid="{00000000-0005-0000-0000-000070020000}"/>
    <cellStyle name="Normal 6 4" xfId="426" xr:uid="{00000000-0005-0000-0000-000071020000}"/>
    <cellStyle name="Normal 6_2014-15 SBS Invoice Plans v2" xfId="428" xr:uid="{00000000-0005-0000-0000-000072020000}"/>
    <cellStyle name="Normal 60" xfId="89" xr:uid="{00000000-0005-0000-0000-000073020000}"/>
    <cellStyle name="Normal 61" xfId="90" xr:uid="{00000000-0005-0000-0000-000074020000}"/>
    <cellStyle name="Normal 62" xfId="91" xr:uid="{00000000-0005-0000-0000-000075020000}"/>
    <cellStyle name="Normal 63" xfId="92" xr:uid="{00000000-0005-0000-0000-000076020000}"/>
    <cellStyle name="Normal 64" xfId="93" xr:uid="{00000000-0005-0000-0000-000077020000}"/>
    <cellStyle name="Normal 65" xfId="94" xr:uid="{00000000-0005-0000-0000-000078020000}"/>
    <cellStyle name="Normal 66" xfId="95" xr:uid="{00000000-0005-0000-0000-000079020000}"/>
    <cellStyle name="Normal 67" xfId="96" xr:uid="{00000000-0005-0000-0000-00007A020000}"/>
    <cellStyle name="Normal 68" xfId="97" xr:uid="{00000000-0005-0000-0000-00007B020000}"/>
    <cellStyle name="Normal 69" xfId="98" xr:uid="{00000000-0005-0000-0000-00007C020000}"/>
    <cellStyle name="Normal 7" xfId="34" xr:uid="{00000000-0005-0000-0000-00007D020000}"/>
    <cellStyle name="Normal 7 2" xfId="430" xr:uid="{00000000-0005-0000-0000-00007E020000}"/>
    <cellStyle name="Normal 7 2 2" xfId="589" xr:uid="{00000000-0005-0000-0000-00007F020000}"/>
    <cellStyle name="Normal 7 3" xfId="691" xr:uid="{00000000-0005-0000-0000-000080020000}"/>
    <cellStyle name="Normal 7 4" xfId="429" xr:uid="{00000000-0005-0000-0000-000081020000}"/>
    <cellStyle name="Normal 7_2014-15 SBS Invoice Plans v2" xfId="431" xr:uid="{00000000-0005-0000-0000-000082020000}"/>
    <cellStyle name="Normal 70" xfId="99" xr:uid="{00000000-0005-0000-0000-000083020000}"/>
    <cellStyle name="Normal 71" xfId="100" xr:uid="{00000000-0005-0000-0000-000084020000}"/>
    <cellStyle name="Normal 72" xfId="101" xr:uid="{00000000-0005-0000-0000-000085020000}"/>
    <cellStyle name="Normal 73" xfId="102" xr:uid="{00000000-0005-0000-0000-000086020000}"/>
    <cellStyle name="Normal 74" xfId="103" xr:uid="{00000000-0005-0000-0000-000087020000}"/>
    <cellStyle name="Normal 75" xfId="104" xr:uid="{00000000-0005-0000-0000-000088020000}"/>
    <cellStyle name="Normal 76" xfId="105" xr:uid="{00000000-0005-0000-0000-000089020000}"/>
    <cellStyle name="Normal 77" xfId="106" xr:uid="{00000000-0005-0000-0000-00008A020000}"/>
    <cellStyle name="Normal 78" xfId="107" xr:uid="{00000000-0005-0000-0000-00008B020000}"/>
    <cellStyle name="Normal 79" xfId="108" xr:uid="{00000000-0005-0000-0000-00008C020000}"/>
    <cellStyle name="Normal 8" xfId="35" xr:uid="{00000000-0005-0000-0000-00008D020000}"/>
    <cellStyle name="Normal 8 2" xfId="432" xr:uid="{00000000-0005-0000-0000-00008E020000}"/>
    <cellStyle name="Normal 8 2 2" xfId="591" xr:uid="{00000000-0005-0000-0000-00008F020000}"/>
    <cellStyle name="Normal 8 3" xfId="590" xr:uid="{00000000-0005-0000-0000-000090020000}"/>
    <cellStyle name="Normal 80" xfId="109" xr:uid="{00000000-0005-0000-0000-000091020000}"/>
    <cellStyle name="Normal 81" xfId="110" xr:uid="{00000000-0005-0000-0000-000092020000}"/>
    <cellStyle name="Normal 82" xfId="111" xr:uid="{00000000-0005-0000-0000-000093020000}"/>
    <cellStyle name="Normal 83" xfId="112" xr:uid="{00000000-0005-0000-0000-000094020000}"/>
    <cellStyle name="Normal 84" xfId="113" xr:uid="{00000000-0005-0000-0000-000095020000}"/>
    <cellStyle name="Normal 85" xfId="114" xr:uid="{00000000-0005-0000-0000-000096020000}"/>
    <cellStyle name="Normal 86" xfId="115" xr:uid="{00000000-0005-0000-0000-000097020000}"/>
    <cellStyle name="Normal 87" xfId="116" xr:uid="{00000000-0005-0000-0000-000098020000}"/>
    <cellStyle name="Normal 88" xfId="117" xr:uid="{00000000-0005-0000-0000-000099020000}"/>
    <cellStyle name="Normal 89" xfId="118" xr:uid="{00000000-0005-0000-0000-00009A020000}"/>
    <cellStyle name="Normal 9" xfId="36" xr:uid="{00000000-0005-0000-0000-00009B020000}"/>
    <cellStyle name="Normal 9 2" xfId="434" xr:uid="{00000000-0005-0000-0000-00009C020000}"/>
    <cellStyle name="Normal 9 2 2" xfId="592" xr:uid="{00000000-0005-0000-0000-00009D020000}"/>
    <cellStyle name="Normal 9 2 2 2" xfId="797" xr:uid="{00000000-0005-0000-0000-00009E020000}"/>
    <cellStyle name="Normal 9 2 3" xfId="785" xr:uid="{00000000-0005-0000-0000-00009F020000}"/>
    <cellStyle name="Normal 9 3" xfId="435" xr:uid="{00000000-0005-0000-0000-0000A0020000}"/>
    <cellStyle name="Normal 9 3 2" xfId="593" xr:uid="{00000000-0005-0000-0000-0000A1020000}"/>
    <cellStyle name="Normal 9 4" xfId="433" xr:uid="{00000000-0005-0000-0000-0000A2020000}"/>
    <cellStyle name="Normal 9_2014-15 SBS Invoice Plans v2" xfId="436" xr:uid="{00000000-0005-0000-0000-0000A3020000}"/>
    <cellStyle name="Normal 90" xfId="119" xr:uid="{00000000-0005-0000-0000-0000A4020000}"/>
    <cellStyle name="Normal 91" xfId="120" xr:uid="{00000000-0005-0000-0000-0000A5020000}"/>
    <cellStyle name="Normal 92" xfId="121" xr:uid="{00000000-0005-0000-0000-0000A6020000}"/>
    <cellStyle name="Normal 93" xfId="122" xr:uid="{00000000-0005-0000-0000-0000A7020000}"/>
    <cellStyle name="Normal 94" xfId="123" xr:uid="{00000000-0005-0000-0000-0000A8020000}"/>
    <cellStyle name="Normal 95" xfId="124" xr:uid="{00000000-0005-0000-0000-0000A9020000}"/>
    <cellStyle name="Normal 96" xfId="125" xr:uid="{00000000-0005-0000-0000-0000AA020000}"/>
    <cellStyle name="Normal 97" xfId="126" xr:uid="{00000000-0005-0000-0000-0000AB020000}"/>
    <cellStyle name="Normal 98" xfId="127" xr:uid="{00000000-0005-0000-0000-0000AC020000}"/>
    <cellStyle name="Normal 99" xfId="128" xr:uid="{00000000-0005-0000-0000-0000AD020000}"/>
    <cellStyle name="Normal_DP11 2002 03" xfId="835" xr:uid="{6121AF95-0E93-4599-8312-DFBC8451DAAB}"/>
    <cellStyle name="Normal_Sheet2" xfId="2" xr:uid="{00000000-0005-0000-0000-0000AE020000}"/>
    <cellStyle name="NormalStyleCurrency" xfId="437" xr:uid="{00000000-0005-0000-0000-0000AF020000}"/>
    <cellStyle name="NormalStyleText" xfId="438" xr:uid="{00000000-0005-0000-0000-0000B0020000}"/>
    <cellStyle name="Note 2" xfId="440" xr:uid="{00000000-0005-0000-0000-0000B1020000}"/>
    <cellStyle name="Note 2 2" xfId="441" xr:uid="{00000000-0005-0000-0000-0000B2020000}"/>
    <cellStyle name="Note 2 2 2" xfId="596" xr:uid="{00000000-0005-0000-0000-0000B3020000}"/>
    <cellStyle name="Note 2 2 3" xfId="734" xr:uid="{00000000-0005-0000-0000-0000B4020000}"/>
    <cellStyle name="Note 2 3" xfId="595" xr:uid="{00000000-0005-0000-0000-0000B5020000}"/>
    <cellStyle name="Note 2 4" xfId="733" xr:uid="{00000000-0005-0000-0000-0000B6020000}"/>
    <cellStyle name="Note 2_Academies HAL development version 10May11" xfId="442" xr:uid="{00000000-0005-0000-0000-0000B7020000}"/>
    <cellStyle name="Note 3" xfId="443" xr:uid="{00000000-0005-0000-0000-0000B8020000}"/>
    <cellStyle name="Note 3 2" xfId="735" xr:uid="{00000000-0005-0000-0000-0000B9020000}"/>
    <cellStyle name="Note 4" xfId="444" xr:uid="{00000000-0005-0000-0000-0000BA020000}"/>
    <cellStyle name="Note 4 2" xfId="736" xr:uid="{00000000-0005-0000-0000-0000BB020000}"/>
    <cellStyle name="Note 5" xfId="445" xr:uid="{00000000-0005-0000-0000-0000BC020000}"/>
    <cellStyle name="Note 5 2" xfId="737" xr:uid="{00000000-0005-0000-0000-0000BD020000}"/>
    <cellStyle name="Note 6" xfId="446" xr:uid="{00000000-0005-0000-0000-0000BE020000}"/>
    <cellStyle name="Note 6 2" xfId="597" xr:uid="{00000000-0005-0000-0000-0000BF020000}"/>
    <cellStyle name="Note 6 3" xfId="738" xr:uid="{00000000-0005-0000-0000-0000C0020000}"/>
    <cellStyle name="Note 7" xfId="594" xr:uid="{00000000-0005-0000-0000-0000C1020000}"/>
    <cellStyle name="Note 8" xfId="732" xr:uid="{00000000-0005-0000-0000-0000C2020000}"/>
    <cellStyle name="Note 9" xfId="439" xr:uid="{00000000-0005-0000-0000-0000C3020000}"/>
    <cellStyle name="Notes" xfId="447" xr:uid="{00000000-0005-0000-0000-0000C4020000}"/>
    <cellStyle name="Number" xfId="37" xr:uid="{00000000-0005-0000-0000-0000C5020000}"/>
    <cellStyle name="Number 2" xfId="692" xr:uid="{00000000-0005-0000-0000-0000C6020000}"/>
    <cellStyle name="Output 2" xfId="449" xr:uid="{00000000-0005-0000-0000-0000C7020000}"/>
    <cellStyle name="Output 2 2" xfId="740" xr:uid="{00000000-0005-0000-0000-0000C8020000}"/>
    <cellStyle name="Output 3" xfId="450" xr:uid="{00000000-0005-0000-0000-0000C9020000}"/>
    <cellStyle name="Output 3 2" xfId="741" xr:uid="{00000000-0005-0000-0000-0000CA020000}"/>
    <cellStyle name="Output 4" xfId="693" xr:uid="{00000000-0005-0000-0000-0000CB020000}"/>
    <cellStyle name="Output 5" xfId="739" xr:uid="{00000000-0005-0000-0000-0000CC020000}"/>
    <cellStyle name="Output 6" xfId="448" xr:uid="{00000000-0005-0000-0000-0000CD020000}"/>
    <cellStyle name="Percent" xfId="817" builtinId="5"/>
    <cellStyle name="Percent 2" xfId="38" xr:uid="{00000000-0005-0000-0000-0000CF020000}"/>
    <cellStyle name="Percent 2 2" xfId="452" xr:uid="{00000000-0005-0000-0000-0000D0020000}"/>
    <cellStyle name="Percent 2 2 2" xfId="599" xr:uid="{00000000-0005-0000-0000-0000D1020000}"/>
    <cellStyle name="Percent 2 3" xfId="598" xr:uid="{00000000-0005-0000-0000-0000D2020000}"/>
    <cellStyle name="Percent 2 4" xfId="451" xr:uid="{00000000-0005-0000-0000-0000D3020000}"/>
    <cellStyle name="Percent 2 5" xfId="759" xr:uid="{00000000-0005-0000-0000-0000D4020000}"/>
    <cellStyle name="Percent 3" xfId="39" xr:uid="{00000000-0005-0000-0000-0000D5020000}"/>
    <cellStyle name="Percent 3 2" xfId="694" xr:uid="{00000000-0005-0000-0000-0000D6020000}"/>
    <cellStyle name="Percent 3 3" xfId="453" xr:uid="{00000000-0005-0000-0000-0000D7020000}"/>
    <cellStyle name="Percent 4" xfId="454" xr:uid="{00000000-0005-0000-0000-0000D8020000}"/>
    <cellStyle name="Percent 4 2" xfId="695" xr:uid="{00000000-0005-0000-0000-0000D9020000}"/>
    <cellStyle name="Percent 5" xfId="455" xr:uid="{00000000-0005-0000-0000-0000DA020000}"/>
    <cellStyle name="Percent 5 2" xfId="696" xr:uid="{00000000-0005-0000-0000-0000DB020000}"/>
    <cellStyle name="Percent 6" xfId="456" xr:uid="{00000000-0005-0000-0000-0000DC020000}"/>
    <cellStyle name="Percent 6 2" xfId="697" xr:uid="{00000000-0005-0000-0000-0000DD020000}"/>
    <cellStyle name="Percent 7" xfId="457" xr:uid="{00000000-0005-0000-0000-0000DE020000}"/>
    <cellStyle name="Percent 8" xfId="698" xr:uid="{00000000-0005-0000-0000-0000DF020000}"/>
    <cellStyle name="Percent(1)" xfId="458" xr:uid="{00000000-0005-0000-0000-0000E0020000}"/>
    <cellStyle name="Percent(1) 2" xfId="600" xr:uid="{00000000-0005-0000-0000-0000E1020000}"/>
    <cellStyle name="Percent(2)" xfId="459" xr:uid="{00000000-0005-0000-0000-0000E2020000}"/>
    <cellStyle name="Percent(2) 2" xfId="601" xr:uid="{00000000-0005-0000-0000-0000E3020000}"/>
    <cellStyle name="PRM" xfId="460" xr:uid="{00000000-0005-0000-0000-0000E4020000}"/>
    <cellStyle name="PRM 2" xfId="602" xr:uid="{00000000-0005-0000-0000-0000E5020000}"/>
    <cellStyle name="provisional PN158/97" xfId="40" xr:uid="{00000000-0005-0000-0000-0000E6020000}"/>
    <cellStyle name="PSChar" xfId="461" xr:uid="{00000000-0005-0000-0000-0000E7020000}"/>
    <cellStyle name="PSHeading" xfId="462" xr:uid="{00000000-0005-0000-0000-0000E8020000}"/>
    <cellStyle name="P嗴_x000c_〘 ńバ঒〘 " xfId="463" xr:uid="{00000000-0005-0000-0000-0000E9020000}"/>
    <cellStyle name="P嗴_x000c_〘 ńバ঒〘  2" xfId="464" xr:uid="{00000000-0005-0000-0000-0000EA020000}"/>
    <cellStyle name="P嗴_x000c_〘 ńバ঒〘  2 2" xfId="699" xr:uid="{00000000-0005-0000-0000-0000EB020000}"/>
    <cellStyle name="P嗴_x000c_〘 ńバ঒〘  3" xfId="700" xr:uid="{00000000-0005-0000-0000-0000EC020000}"/>
    <cellStyle name="P嗴_x000c_〘 ńバ঒〘 _Main Allocation Sheet" xfId="465" xr:uid="{00000000-0005-0000-0000-0000ED020000}"/>
    <cellStyle name="Row_Headings" xfId="466" xr:uid="{00000000-0005-0000-0000-0000EE020000}"/>
    <cellStyle name="S42 £" xfId="467" xr:uid="{00000000-0005-0000-0000-0000EF020000}"/>
    <cellStyle name="S42 £ 2" xfId="786" xr:uid="{00000000-0005-0000-0000-0000F0020000}"/>
    <cellStyle name="S42 Clmnhd" xfId="468" xr:uid="{00000000-0005-0000-0000-0000F1020000}"/>
    <cellStyle name="S42 k" xfId="469" xr:uid="{00000000-0005-0000-0000-0000F2020000}"/>
    <cellStyle name="S42 k TOT" xfId="470" xr:uid="{00000000-0005-0000-0000-0000F3020000}"/>
    <cellStyle name="S42 k_Schools_AEP_2011-12v3" xfId="471" xr:uid="{00000000-0005-0000-0000-0000F4020000}"/>
    <cellStyle name="S42 list" xfId="472" xr:uid="{00000000-0005-0000-0000-0000F5020000}"/>
    <cellStyle name="S42 percent" xfId="473" xr:uid="{00000000-0005-0000-0000-0000F6020000}"/>
    <cellStyle name="S42 SUB" xfId="474" xr:uid="{00000000-0005-0000-0000-0000F7020000}"/>
    <cellStyle name="Sheet Title" xfId="475" xr:uid="{00000000-0005-0000-0000-0000F8020000}"/>
    <cellStyle name="Source" xfId="476" xr:uid="{00000000-0005-0000-0000-0000F9020000}"/>
    <cellStyle name="Source 2" xfId="603" xr:uid="{00000000-0005-0000-0000-0000FA020000}"/>
    <cellStyle name="StandardStyle" xfId="749" xr:uid="{00000000-0005-0000-0000-0000FB020000}"/>
    <cellStyle name="StandardStyle 10" xfId="834" xr:uid="{927472ED-7979-405D-BD34-A79822861D3E}"/>
    <cellStyle name="StandardStyle 2 2" xfId="836" xr:uid="{4676D8FB-BE38-46F5-B70A-6BDF2EC820F4}"/>
    <cellStyle name="StandardStyle 2 3" xfId="829" xr:uid="{91D70321-C0CD-4A07-B722-444941535902}"/>
    <cellStyle name="StandardStyle 3" xfId="837" xr:uid="{BB141949-65F6-412D-8F60-6693DA53DA74}"/>
    <cellStyle name="StandardStyle 5 2" xfId="830" xr:uid="{10D8AB31-66C3-41A8-B48E-F5755B80B4DC}"/>
    <cellStyle name="StandardStyle 6 2" xfId="831" xr:uid="{DA4EE117-CBEE-415B-87E2-78274D708DA6}"/>
    <cellStyle name="StandardStyle 7" xfId="832" xr:uid="{ED8A07BB-186A-4B10-87C8-6E958DF41449}"/>
    <cellStyle name="StandardStyle 8 2" xfId="850" xr:uid="{1EBED2A7-20E3-4540-A83B-EF20304242A4}"/>
    <cellStyle name="Style 1" xfId="477" xr:uid="{00000000-0005-0000-0000-0000FC020000}"/>
    <cellStyle name="Style 1 2" xfId="478" xr:uid="{00000000-0005-0000-0000-0000FD020000}"/>
    <cellStyle name="Style 1 2 2" xfId="605" xr:uid="{00000000-0005-0000-0000-0000FE020000}"/>
    <cellStyle name="Style 1 3" xfId="479" xr:uid="{00000000-0005-0000-0000-0000FF020000}"/>
    <cellStyle name="Style 1 3 2" xfId="606" xr:uid="{00000000-0005-0000-0000-000000030000}"/>
    <cellStyle name="Style 1 4" xfId="480" xr:uid="{00000000-0005-0000-0000-000001030000}"/>
    <cellStyle name="Style 1 4 2" xfId="607" xr:uid="{00000000-0005-0000-0000-000002030000}"/>
    <cellStyle name="Style 1 5" xfId="604" xr:uid="{00000000-0005-0000-0000-000003030000}"/>
    <cellStyle name="Style 1_2014-15 SBS Invoice Plans v2" xfId="481" xr:uid="{00000000-0005-0000-0000-000004030000}"/>
    <cellStyle name="sub" xfId="41" xr:uid="{00000000-0005-0000-0000-000005030000}"/>
    <cellStyle name="sub 2" xfId="138" xr:uid="{00000000-0005-0000-0000-000006030000}"/>
    <cellStyle name="sub 2 2" xfId="701" xr:uid="{00000000-0005-0000-0000-000007030000}"/>
    <cellStyle name="sub 3" xfId="702" xr:uid="{00000000-0005-0000-0000-000008030000}"/>
    <cellStyle name="sub_Academies Summary 2010-11  2011-12 (4)" xfId="482" xr:uid="{00000000-0005-0000-0000-000009030000}"/>
    <cellStyle name="table imported" xfId="42" xr:uid="{00000000-0005-0000-0000-00000A030000}"/>
    <cellStyle name="table imported 2" xfId="483" xr:uid="{00000000-0005-0000-0000-00000B030000}"/>
    <cellStyle name="table imported 2 2" xfId="609" xr:uid="{00000000-0005-0000-0000-00000C030000}"/>
    <cellStyle name="table imported 3" xfId="484" xr:uid="{00000000-0005-0000-0000-00000D030000}"/>
    <cellStyle name="table imported 3 2" xfId="610" xr:uid="{00000000-0005-0000-0000-00000E030000}"/>
    <cellStyle name="table imported 4" xfId="608" xr:uid="{00000000-0005-0000-0000-00000F030000}"/>
    <cellStyle name="table imported_Academies Summary 2010-11  2011-12 (4)" xfId="485" xr:uid="{00000000-0005-0000-0000-000010030000}"/>
    <cellStyle name="table sum" xfId="43" xr:uid="{00000000-0005-0000-0000-000011030000}"/>
    <cellStyle name="table sum 2" xfId="486" xr:uid="{00000000-0005-0000-0000-000012030000}"/>
    <cellStyle name="table sum 2 2" xfId="612" xr:uid="{00000000-0005-0000-0000-000013030000}"/>
    <cellStyle name="table sum 3" xfId="487" xr:uid="{00000000-0005-0000-0000-000014030000}"/>
    <cellStyle name="table sum 3 2" xfId="613" xr:uid="{00000000-0005-0000-0000-000015030000}"/>
    <cellStyle name="table sum 4" xfId="611" xr:uid="{00000000-0005-0000-0000-000016030000}"/>
    <cellStyle name="table sum_Academies Summary 2010-11  2011-12 (4)" xfId="488" xr:uid="{00000000-0005-0000-0000-000017030000}"/>
    <cellStyle name="table values" xfId="44" xr:uid="{00000000-0005-0000-0000-000018030000}"/>
    <cellStyle name="table values 2" xfId="489" xr:uid="{00000000-0005-0000-0000-000019030000}"/>
    <cellStyle name="table values 2 2" xfId="615" xr:uid="{00000000-0005-0000-0000-00001A030000}"/>
    <cellStyle name="table values 3" xfId="490" xr:uid="{00000000-0005-0000-0000-00001B030000}"/>
    <cellStyle name="table values 3 2" xfId="616" xr:uid="{00000000-0005-0000-0000-00001C030000}"/>
    <cellStyle name="table values 4" xfId="614" xr:uid="{00000000-0005-0000-0000-00001D030000}"/>
    <cellStyle name="table values_Academies Summary 2010-11  2011-12 (4)" xfId="491" xr:uid="{00000000-0005-0000-0000-00001E030000}"/>
    <cellStyle name="Table_Name" xfId="492" xr:uid="{00000000-0005-0000-0000-00001F030000}"/>
    <cellStyle name="Title 2" xfId="494" xr:uid="{00000000-0005-0000-0000-000020030000}"/>
    <cellStyle name="Title 3" xfId="495" xr:uid="{00000000-0005-0000-0000-000021030000}"/>
    <cellStyle name="Title 4" xfId="493" xr:uid="{00000000-0005-0000-0000-000022030000}"/>
    <cellStyle name="Total 2" xfId="497" xr:uid="{00000000-0005-0000-0000-000023030000}"/>
    <cellStyle name="Total 2 2" xfId="743" xr:uid="{00000000-0005-0000-0000-000024030000}"/>
    <cellStyle name="Total 3" xfId="498" xr:uid="{00000000-0005-0000-0000-000025030000}"/>
    <cellStyle name="Total 3 2" xfId="744" xr:uid="{00000000-0005-0000-0000-000026030000}"/>
    <cellStyle name="Total 4" xfId="703" xr:uid="{00000000-0005-0000-0000-000027030000}"/>
    <cellStyle name="Total 5" xfId="742" xr:uid="{00000000-0005-0000-0000-000028030000}"/>
    <cellStyle name="Total 6" xfId="496" xr:uid="{00000000-0005-0000-0000-000029030000}"/>
    <cellStyle name="TotalStyle 2" xfId="845" xr:uid="{609162CC-50E4-40AB-8121-38348C0CBF30}"/>
    <cellStyle name="TotalStyle 3 2" xfId="846" xr:uid="{8FB05C33-6E91-4C88-8B07-B07502AA225D}"/>
    <cellStyle name="TotalStyle 4" xfId="847" xr:uid="{3D2841DA-6C1D-44AE-8388-7A4B51D61BFB}"/>
    <cellStyle name="TotalStyleCurrency" xfId="499" xr:uid="{00000000-0005-0000-0000-00002A030000}"/>
    <cellStyle name="TotalStyleText" xfId="500" xr:uid="{00000000-0005-0000-0000-00002B030000}"/>
    <cellStyle name="u5shares" xfId="45" xr:uid="{00000000-0005-0000-0000-00002C030000}"/>
    <cellStyle name="user" xfId="501" xr:uid="{00000000-0005-0000-0000-00002D030000}"/>
    <cellStyle name="Variable assumptions" xfId="46" xr:uid="{00000000-0005-0000-0000-00002E030000}"/>
    <cellStyle name="Warning Text 2" xfId="503" xr:uid="{00000000-0005-0000-0000-00002F030000}"/>
    <cellStyle name="Warning Text 3" xfId="504" xr:uid="{00000000-0005-0000-0000-000030030000}"/>
    <cellStyle name="Warning Text 4" xfId="502" xr:uid="{00000000-0005-0000-0000-000031030000}"/>
    <cellStyle name="Warnings" xfId="505" xr:uid="{00000000-0005-0000-0000-000032030000}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ill>
        <patternFill>
          <bgColor indexed="42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color indexed="14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00"/>
      <color rgb="FFC7A1E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952501</xdr:colOff>
      <xdr:row>10</xdr:row>
      <xdr:rowOff>123825</xdr:rowOff>
    </xdr:from>
    <xdr:to>
      <xdr:col>10</xdr:col>
      <xdr:colOff>1238250</xdr:colOff>
      <xdr:row>18</xdr:row>
      <xdr:rowOff>123825</xdr:rowOff>
    </xdr:to>
    <xdr:sp macro="" textlink="">
      <xdr:nvSpPr>
        <xdr:cNvPr id="2" name="Callout: Down Arrow 1">
          <a:extLst>
            <a:ext uri="{FF2B5EF4-FFF2-40B4-BE49-F238E27FC236}">
              <a16:creationId xmlns:a16="http://schemas.microsoft.com/office/drawing/2014/main" id="{B6E92455-EBB0-720E-2E6D-0B432CD145DE}"/>
            </a:ext>
          </a:extLst>
        </xdr:cNvPr>
        <xdr:cNvSpPr/>
      </xdr:nvSpPr>
      <xdr:spPr>
        <a:xfrm>
          <a:off x="16573501" y="2266950"/>
          <a:ext cx="4314824" cy="1609725"/>
        </a:xfrm>
        <a:prstGeom prst="downArrowCallou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200" b="0">
              <a:solidFill>
                <a:srgbClr val="002060"/>
              </a:solidFill>
              <a:latin typeface="+mn-lt"/>
            </a:rPr>
            <a:t>* </a:t>
          </a:r>
          <a:r>
            <a:rPr lang="en-GB" sz="1200" b="1">
              <a:solidFill>
                <a:srgbClr val="002060"/>
              </a:solidFill>
              <a:latin typeface="+mn-lt"/>
            </a:rPr>
            <a:t>Debtor (Income) </a:t>
          </a:r>
          <a:r>
            <a:rPr lang="en-GB" sz="1200" b="0">
              <a:solidFill>
                <a:srgbClr val="002060"/>
              </a:solidFill>
              <a:latin typeface="+mn-lt"/>
            </a:rPr>
            <a:t>-  enter as positive. </a:t>
          </a:r>
          <a:r>
            <a:rPr lang="en-GB" sz="1200" b="1">
              <a:solidFill>
                <a:srgbClr val="002060"/>
              </a:solidFill>
              <a:latin typeface="+mn-lt"/>
            </a:rPr>
            <a:t>Increases</a:t>
          </a:r>
          <a:r>
            <a:rPr lang="en-GB" sz="1200" b="1" baseline="0">
              <a:solidFill>
                <a:srgbClr val="002060"/>
              </a:solidFill>
              <a:latin typeface="+mn-lt"/>
            </a:rPr>
            <a:t> income.</a:t>
          </a:r>
        </a:p>
        <a:p>
          <a:pPr algn="l"/>
          <a:r>
            <a:rPr lang="en-GB" sz="1200" b="0">
              <a:solidFill>
                <a:srgbClr val="002060"/>
              </a:solidFill>
              <a:latin typeface="+mn-lt"/>
            </a:rPr>
            <a:t>* </a:t>
          </a:r>
          <a:r>
            <a:rPr lang="en-GB" sz="1200" b="1">
              <a:solidFill>
                <a:srgbClr val="002060"/>
              </a:solidFill>
              <a:latin typeface="+mn-lt"/>
            </a:rPr>
            <a:t>Debtor (Expenditure) </a:t>
          </a:r>
          <a:r>
            <a:rPr lang="en-GB" sz="1200" b="0">
              <a:solidFill>
                <a:srgbClr val="002060"/>
              </a:solidFill>
              <a:latin typeface="+mn-lt"/>
            </a:rPr>
            <a:t>-  enter as negative. </a:t>
          </a:r>
          <a:r>
            <a:rPr lang="en-GB" sz="1200" b="1">
              <a:solidFill>
                <a:srgbClr val="002060"/>
              </a:solidFill>
              <a:latin typeface="+mn-lt"/>
            </a:rPr>
            <a:t>Reduces</a:t>
          </a:r>
          <a:r>
            <a:rPr lang="en-GB" sz="1200" b="1" baseline="0">
              <a:solidFill>
                <a:srgbClr val="002060"/>
              </a:solidFill>
              <a:latin typeface="+mn-lt"/>
            </a:rPr>
            <a:t> expenditure</a:t>
          </a:r>
          <a:r>
            <a:rPr lang="en-GB" sz="1200" b="0" baseline="0">
              <a:solidFill>
                <a:srgbClr val="002060"/>
              </a:solidFill>
              <a:latin typeface="+mn-lt"/>
            </a:rPr>
            <a:t>.</a:t>
          </a:r>
          <a:endParaRPr lang="en-GB" sz="1200" b="0">
            <a:solidFill>
              <a:srgbClr val="002060"/>
            </a:solidFill>
            <a:latin typeface="+mn-lt"/>
          </a:endParaRPr>
        </a:p>
        <a:p>
          <a:pPr algn="l"/>
          <a:r>
            <a:rPr lang="en-GB" sz="1200" b="0">
              <a:solidFill>
                <a:srgbClr val="002060"/>
              </a:solidFill>
              <a:latin typeface="+mn-lt"/>
            </a:rPr>
            <a:t>* </a:t>
          </a:r>
          <a:r>
            <a:rPr lang="en-GB" sz="1200" b="1">
              <a:solidFill>
                <a:srgbClr val="002060"/>
              </a:solidFill>
              <a:latin typeface="+mn-lt"/>
            </a:rPr>
            <a:t>Payment in advance </a:t>
          </a:r>
          <a:r>
            <a:rPr lang="en-GB" sz="1200" b="0">
              <a:solidFill>
                <a:srgbClr val="002060"/>
              </a:solidFill>
              <a:latin typeface="+mn-lt"/>
            </a:rPr>
            <a:t>- enter as negative. </a:t>
          </a:r>
          <a:r>
            <a:rPr lang="en-GB" sz="1200" b="1">
              <a:solidFill>
                <a:srgbClr val="002060"/>
              </a:solidFill>
              <a:latin typeface="+mn-lt"/>
            </a:rPr>
            <a:t>Reduces Expenditure. </a:t>
          </a:r>
        </a:p>
        <a:p>
          <a:pPr algn="l"/>
          <a:r>
            <a:rPr lang="en-GB" sz="1200" b="0">
              <a:solidFill>
                <a:srgbClr val="002060"/>
              </a:solidFill>
              <a:latin typeface="+mn-lt"/>
            </a:rPr>
            <a:t>* </a:t>
          </a:r>
          <a:r>
            <a:rPr lang="en-GB" sz="1200" b="1">
              <a:solidFill>
                <a:srgbClr val="002060"/>
              </a:solidFill>
              <a:latin typeface="+mn-lt"/>
            </a:rPr>
            <a:t>Receipt in advance</a:t>
          </a:r>
          <a:r>
            <a:rPr lang="en-GB" sz="1200" b="0">
              <a:solidFill>
                <a:srgbClr val="002060"/>
              </a:solidFill>
              <a:latin typeface="+mn-lt"/>
            </a:rPr>
            <a:t>  - enter as negative. </a:t>
          </a:r>
          <a:r>
            <a:rPr lang="en-GB" sz="1200" b="1">
              <a:solidFill>
                <a:srgbClr val="002060"/>
              </a:solidFill>
              <a:latin typeface="+mn-lt"/>
            </a:rPr>
            <a:t>Reduces Income.</a:t>
          </a:r>
        </a:p>
        <a:p>
          <a:pPr algn="l"/>
          <a:r>
            <a:rPr lang="en-GB" sz="1200" b="0">
              <a:solidFill>
                <a:srgbClr val="002060"/>
              </a:solidFill>
              <a:latin typeface="+mn-lt"/>
            </a:rPr>
            <a:t>* </a:t>
          </a:r>
          <a:r>
            <a:rPr lang="en-GB" sz="1200" b="1">
              <a:solidFill>
                <a:srgbClr val="002060"/>
              </a:solidFill>
              <a:latin typeface="+mn-lt"/>
            </a:rPr>
            <a:t>Creditor</a:t>
          </a:r>
          <a:r>
            <a:rPr lang="en-GB" sz="1200" b="0">
              <a:solidFill>
                <a:srgbClr val="002060"/>
              </a:solidFill>
              <a:latin typeface="+mn-lt"/>
            </a:rPr>
            <a:t>  - enter as positive. </a:t>
          </a:r>
          <a:r>
            <a:rPr lang="en-GB" sz="1200" b="1">
              <a:solidFill>
                <a:srgbClr val="002060"/>
              </a:solidFill>
              <a:latin typeface="+mn-lt"/>
            </a:rPr>
            <a:t>Increases</a:t>
          </a:r>
          <a:r>
            <a:rPr lang="en-GB" sz="1200" b="1" baseline="0">
              <a:solidFill>
                <a:srgbClr val="002060"/>
              </a:solidFill>
              <a:latin typeface="+mn-lt"/>
            </a:rPr>
            <a:t> expenditure.</a:t>
          </a:r>
          <a:endParaRPr lang="en-GB" sz="1200" b="1">
            <a:solidFill>
              <a:srgbClr val="002060"/>
            </a:solidFill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c.barnet.gov.uk/wwc/working-children-barnet/information-schools/school-funding-and-finance/financial-year-2024-2025" TargetMode="External"/><Relationship Id="rId1" Type="http://schemas.openxmlformats.org/officeDocument/2006/relationships/hyperlink" Target="https://wwc.barnet.gov.uk/wwc/working-children-barnet/information-schools/school-funding-and-finance/financial-year-2023-20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2FDF8-0691-4CFA-8113-DD6651E75FCA}">
  <sheetPr codeName="Sheet3"/>
  <dimension ref="B3:E20"/>
  <sheetViews>
    <sheetView showGridLines="0" zoomScale="74" zoomScaleNormal="100" workbookViewId="0">
      <selection activeCell="C16" sqref="C16"/>
    </sheetView>
  </sheetViews>
  <sheetFormatPr defaultColWidth="9.109375" defaultRowHeight="18"/>
  <cols>
    <col min="1" max="1" width="9.109375" style="319"/>
    <col min="2" max="2" width="40.33203125" style="319" customWidth="1"/>
    <col min="3" max="3" width="38.44140625" style="319" bestFit="1" customWidth="1"/>
    <col min="4" max="4" width="19.88671875" style="322" customWidth="1"/>
    <col min="5" max="5" width="106" style="319" customWidth="1"/>
    <col min="6" max="16384" width="9.109375" style="319"/>
  </cols>
  <sheetData>
    <row r="3" spans="2:5" ht="21">
      <c r="B3" s="316" t="s">
        <v>426</v>
      </c>
    </row>
    <row r="5" spans="2:5" ht="54">
      <c r="B5" s="320" t="s">
        <v>401</v>
      </c>
      <c r="C5" s="320" t="s">
        <v>402</v>
      </c>
      <c r="D5" s="321" t="s">
        <v>423</v>
      </c>
      <c r="E5" s="320" t="s">
        <v>300</v>
      </c>
    </row>
    <row r="6" spans="2:5">
      <c r="B6" s="323"/>
      <c r="C6" s="324" t="s">
        <v>419</v>
      </c>
      <c r="D6" s="325" t="s">
        <v>420</v>
      </c>
      <c r="E6" s="324" t="s">
        <v>421</v>
      </c>
    </row>
    <row r="7" spans="2:5">
      <c r="B7" s="323" t="s">
        <v>403</v>
      </c>
      <c r="C7" s="324" t="s">
        <v>442</v>
      </c>
      <c r="D7" s="326" t="s">
        <v>416</v>
      </c>
      <c r="E7" s="324" t="s">
        <v>425</v>
      </c>
    </row>
    <row r="8" spans="2:5">
      <c r="B8" s="597" t="s">
        <v>405</v>
      </c>
      <c r="C8" s="336" t="s">
        <v>406</v>
      </c>
      <c r="D8" s="337" t="s">
        <v>416</v>
      </c>
      <c r="E8" s="338" t="s">
        <v>434</v>
      </c>
    </row>
    <row r="9" spans="2:5" ht="54">
      <c r="B9" s="598"/>
      <c r="C9" s="340" t="s">
        <v>407</v>
      </c>
      <c r="D9" s="341" t="s">
        <v>416</v>
      </c>
      <c r="E9" s="342" t="s">
        <v>424</v>
      </c>
    </row>
    <row r="10" spans="2:5">
      <c r="B10" s="335" t="s">
        <v>408</v>
      </c>
      <c r="C10" s="336" t="s">
        <v>422</v>
      </c>
      <c r="D10" s="337" t="s">
        <v>416</v>
      </c>
      <c r="E10" s="338" t="s">
        <v>431</v>
      </c>
    </row>
    <row r="11" spans="2:5" ht="36">
      <c r="B11" s="339"/>
      <c r="C11" s="340" t="s">
        <v>409</v>
      </c>
      <c r="D11" s="341" t="s">
        <v>416</v>
      </c>
      <c r="E11" s="342" t="s">
        <v>432</v>
      </c>
    </row>
    <row r="12" spans="2:5">
      <c r="B12" s="323" t="s">
        <v>410</v>
      </c>
      <c r="C12" s="324" t="s">
        <v>410</v>
      </c>
      <c r="D12" s="328" t="s">
        <v>404</v>
      </c>
      <c r="E12" s="324" t="s">
        <v>411</v>
      </c>
    </row>
    <row r="13" spans="2:5">
      <c r="B13" s="323" t="s">
        <v>412</v>
      </c>
      <c r="C13" s="324" t="s">
        <v>412</v>
      </c>
      <c r="D13" s="328" t="s">
        <v>404</v>
      </c>
      <c r="E13" s="324" t="s">
        <v>411</v>
      </c>
    </row>
    <row r="14" spans="2:5" ht="43.5" customHeight="1">
      <c r="B14" s="329" t="s">
        <v>413</v>
      </c>
      <c r="C14" s="330" t="s">
        <v>413</v>
      </c>
      <c r="D14" s="328" t="s">
        <v>404</v>
      </c>
      <c r="E14" s="327" t="s">
        <v>465</v>
      </c>
    </row>
    <row r="15" spans="2:5">
      <c r="B15" s="329" t="s">
        <v>532</v>
      </c>
      <c r="C15" s="330" t="s">
        <v>532</v>
      </c>
      <c r="D15" s="328" t="s">
        <v>404</v>
      </c>
      <c r="E15" s="324" t="s">
        <v>428</v>
      </c>
    </row>
    <row r="16" spans="2:5">
      <c r="B16" s="329" t="s">
        <v>531</v>
      </c>
      <c r="C16" s="330" t="s">
        <v>531</v>
      </c>
      <c r="D16" s="328" t="s">
        <v>404</v>
      </c>
      <c r="E16" s="324" t="s">
        <v>429</v>
      </c>
    </row>
    <row r="17" spans="2:5">
      <c r="B17" s="329" t="s">
        <v>414</v>
      </c>
      <c r="C17" s="330" t="s">
        <v>414</v>
      </c>
      <c r="D17" s="328" t="s">
        <v>404</v>
      </c>
      <c r="E17" s="324" t="s">
        <v>430</v>
      </c>
    </row>
    <row r="18" spans="2:5">
      <c r="B18" s="329" t="s">
        <v>482</v>
      </c>
      <c r="C18" s="329" t="s">
        <v>481</v>
      </c>
      <c r="D18" s="328" t="s">
        <v>404</v>
      </c>
      <c r="E18" s="324" t="s">
        <v>483</v>
      </c>
    </row>
    <row r="19" spans="2:5">
      <c r="B19" s="329" t="s">
        <v>415</v>
      </c>
      <c r="C19" s="330" t="s">
        <v>418</v>
      </c>
      <c r="D19" s="326" t="s">
        <v>416</v>
      </c>
      <c r="E19" s="324" t="s">
        <v>433</v>
      </c>
    </row>
    <row r="20" spans="2:5" ht="18.600000000000001" thickBot="1">
      <c r="B20" s="331"/>
      <c r="C20" s="332" t="s">
        <v>417</v>
      </c>
      <c r="D20" s="333" t="s">
        <v>416</v>
      </c>
      <c r="E20" s="334" t="s">
        <v>427</v>
      </c>
    </row>
  </sheetData>
  <sheetProtection algorithmName="SHA-512" hashValue="1FpcDPMNl50JXhBvpDsKkZZj0YEwqUWuY0Q8U4Lir4ZHhZ+QRg6t8enZaPFgEA2Kh3TWcgqRwpurtNNo5CTC2w==" saltValue="pSabqrZ+WWAXIFtaUtHrSQ==" spinCount="100000" sheet="1" objects="1" scenarios="1"/>
  <mergeCells count="1">
    <mergeCell ref="B8:B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00FC2-E21A-4B30-8C2E-856289C729E5}">
  <sheetPr codeName="Sheet5">
    <pageSetUpPr fitToPage="1"/>
  </sheetPr>
  <dimension ref="A1:T43"/>
  <sheetViews>
    <sheetView showGridLines="0" tabSelected="1" zoomScale="84"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O14" sqref="O14"/>
    </sheetView>
  </sheetViews>
  <sheetFormatPr defaultRowHeight="14.4"/>
  <cols>
    <col min="10" max="10" width="2.33203125" customWidth="1"/>
    <col min="19" max="19" width="9.109375" customWidth="1"/>
    <col min="20" max="20" width="26.5546875" customWidth="1"/>
  </cols>
  <sheetData>
    <row r="1" spans="1:20" ht="18">
      <c r="A1" s="620" t="s">
        <v>500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1"/>
      <c r="O1" s="621"/>
      <c r="P1" s="621"/>
      <c r="Q1" s="621"/>
      <c r="R1" s="622"/>
      <c r="S1" s="622"/>
      <c r="T1" s="622"/>
    </row>
    <row r="2" spans="1:20" ht="15.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83" t="s">
        <v>334</v>
      </c>
      <c r="O2" s="182"/>
      <c r="P2" s="182"/>
      <c r="Q2" s="182"/>
      <c r="R2" s="182"/>
      <c r="S2" s="182"/>
      <c r="T2" s="182"/>
    </row>
    <row r="3" spans="1:20" ht="30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623" t="s">
        <v>501</v>
      </c>
      <c r="O3" s="623"/>
      <c r="P3" s="623"/>
      <c r="Q3" s="623"/>
      <c r="R3" s="623"/>
      <c r="S3" s="623"/>
      <c r="T3" s="623"/>
    </row>
    <row r="4" spans="1:20" ht="19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614" t="s">
        <v>502</v>
      </c>
      <c r="O4" s="614"/>
      <c r="P4" s="614"/>
      <c r="Q4" s="614"/>
      <c r="R4" s="614"/>
      <c r="S4" s="614"/>
      <c r="T4" s="614"/>
    </row>
    <row r="5" spans="1:20" ht="33" customHeight="1">
      <c r="A5" s="4"/>
      <c r="B5" s="4"/>
      <c r="C5" s="4"/>
      <c r="D5" s="624" t="s">
        <v>124</v>
      </c>
      <c r="E5" s="625"/>
      <c r="F5" s="625"/>
      <c r="G5" s="625"/>
      <c r="H5" s="625"/>
      <c r="I5" s="625"/>
      <c r="J5" s="625"/>
      <c r="K5" s="626"/>
      <c r="L5" s="4"/>
      <c r="M5" s="4"/>
      <c r="N5" s="614" t="s">
        <v>503</v>
      </c>
      <c r="O5" s="614"/>
      <c r="P5" s="614"/>
      <c r="Q5" s="614"/>
      <c r="R5" s="614"/>
      <c r="S5" s="614"/>
      <c r="T5" s="614"/>
    </row>
    <row r="6" spans="1:20" ht="15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614" t="s">
        <v>504</v>
      </c>
      <c r="O6" s="614"/>
      <c r="P6" s="614"/>
      <c r="Q6" s="614"/>
      <c r="R6" s="614"/>
      <c r="S6" s="614"/>
      <c r="T6" s="614"/>
    </row>
    <row r="7" spans="1:20" ht="32.25" customHeight="1" thickTop="1" thickBot="1">
      <c r="A7" s="4"/>
      <c r="B7" s="4"/>
      <c r="C7" s="4" t="s">
        <v>213</v>
      </c>
      <c r="D7" s="604">
        <f>VLOOKUP(D5,'Schools Data'!A:G,7,FALSE)</f>
        <v>0</v>
      </c>
      <c r="E7" s="605"/>
      <c r="F7" s="606"/>
      <c r="G7" s="4"/>
      <c r="H7" s="4"/>
      <c r="I7" s="4"/>
      <c r="J7" s="4"/>
      <c r="K7" s="4"/>
      <c r="L7" s="4"/>
      <c r="M7" s="4"/>
      <c r="N7" s="614" t="s">
        <v>505</v>
      </c>
      <c r="O7" s="614"/>
      <c r="P7" s="614"/>
      <c r="Q7" s="614"/>
      <c r="R7" s="614"/>
      <c r="S7" s="614"/>
      <c r="T7" s="614"/>
    </row>
    <row r="8" spans="1:20" ht="15.6" thickTop="1" thickBot="1">
      <c r="A8" s="4"/>
      <c r="B8" s="615" t="s">
        <v>214</v>
      </c>
      <c r="C8" s="615"/>
      <c r="D8" s="608">
        <f>VLOOKUP(D5,'Schools Data'!A3:C90,2,FALSE)</f>
        <v>0</v>
      </c>
      <c r="E8" s="609"/>
      <c r="F8" s="610"/>
      <c r="G8" s="4"/>
      <c r="H8" s="4" t="s">
        <v>119</v>
      </c>
      <c r="I8" s="616" t="s">
        <v>499</v>
      </c>
      <c r="J8" s="617"/>
      <c r="K8" s="618"/>
      <c r="L8" s="4"/>
      <c r="M8" s="4"/>
      <c r="N8" s="619" t="s">
        <v>506</v>
      </c>
      <c r="O8" s="619"/>
      <c r="P8" s="619"/>
      <c r="Q8" s="619"/>
      <c r="R8" s="619"/>
      <c r="S8" s="619"/>
      <c r="T8" s="619"/>
    </row>
    <row r="9" spans="1:20" ht="13.5" customHeight="1" thickTop="1" thickBot="1">
      <c r="A9" s="4"/>
      <c r="B9" s="4"/>
      <c r="C9" s="4" t="s">
        <v>264</v>
      </c>
      <c r="D9" s="604">
        <f>VLOOKUP(D5,'Schools Data'!$A$3:$F$90,6,FALSE)</f>
        <v>0</v>
      </c>
      <c r="E9" s="605"/>
      <c r="F9" s="606"/>
      <c r="G9" s="4"/>
      <c r="H9" s="4"/>
      <c r="I9" s="4"/>
      <c r="J9" s="4"/>
      <c r="K9" s="4"/>
      <c r="L9" s="4"/>
      <c r="M9" s="4"/>
      <c r="N9" s="607"/>
      <c r="O9" s="607"/>
      <c r="P9" s="607"/>
      <c r="Q9" s="607"/>
      <c r="R9" s="607"/>
      <c r="S9" s="607"/>
      <c r="T9" s="607"/>
    </row>
    <row r="10" spans="1:20" ht="15.6" thickTop="1" thickBot="1">
      <c r="A10" s="4"/>
      <c r="B10" s="4"/>
      <c r="C10" s="4" t="s">
        <v>221</v>
      </c>
      <c r="D10" s="608" t="s">
        <v>333</v>
      </c>
      <c r="E10" s="609"/>
      <c r="F10" s="610"/>
      <c r="G10" s="4"/>
      <c r="H10" s="4" t="s">
        <v>256</v>
      </c>
      <c r="I10" s="611">
        <v>45747</v>
      </c>
      <c r="J10" s="612"/>
      <c r="K10" s="613"/>
      <c r="L10" s="4"/>
      <c r="M10" s="4"/>
      <c r="N10" s="51"/>
      <c r="O10" s="4"/>
      <c r="P10" s="4"/>
      <c r="Q10" s="4"/>
      <c r="R10" s="4"/>
      <c r="S10" s="4"/>
      <c r="T10" s="4"/>
    </row>
    <row r="11" spans="1:20" ht="15" thickTop="1">
      <c r="A11" s="4"/>
      <c r="B11" s="4"/>
      <c r="C11" s="4"/>
      <c r="D11" s="52"/>
      <c r="E11" s="4"/>
      <c r="F11" s="4"/>
      <c r="G11" s="4"/>
      <c r="H11" s="4"/>
      <c r="I11" s="52" t="str">
        <f>IF(I10="","Please enter the date above, pertaining to the date the system reports were downloaded.","")</f>
        <v/>
      </c>
      <c r="J11" s="4"/>
      <c r="K11" s="4"/>
      <c r="L11" s="4"/>
      <c r="M11" s="4"/>
      <c r="N11" s="51"/>
      <c r="O11" s="4"/>
      <c r="P11" s="4"/>
      <c r="Q11" s="4"/>
      <c r="R11" s="4"/>
      <c r="S11" s="4"/>
      <c r="T11" s="4"/>
    </row>
    <row r="14" spans="1:20" ht="21">
      <c r="B14" s="53" t="s">
        <v>489</v>
      </c>
      <c r="R14" s="600"/>
      <c r="S14" s="600"/>
      <c r="T14" s="600"/>
    </row>
    <row r="15" spans="1:20" ht="18">
      <c r="A15" s="306" t="s">
        <v>215</v>
      </c>
      <c r="B15" t="s">
        <v>395</v>
      </c>
    </row>
    <row r="16" spans="1:20" ht="18">
      <c r="A16" s="306"/>
    </row>
    <row r="17" spans="1:20" ht="18.75" customHeight="1">
      <c r="A17" s="306" t="s">
        <v>484</v>
      </c>
      <c r="B17" s="349" t="s">
        <v>494</v>
      </c>
      <c r="C17" s="349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3"/>
      <c r="S17" s="343"/>
      <c r="T17" s="343"/>
    </row>
    <row r="18" spans="1:20">
      <c r="B18" s="599" t="s">
        <v>444</v>
      </c>
      <c r="C18" s="599"/>
      <c r="D18" s="599"/>
      <c r="E18" s="599"/>
      <c r="F18" s="599"/>
      <c r="G18" s="599"/>
      <c r="H18" s="599"/>
      <c r="I18" s="599"/>
      <c r="J18" s="599"/>
      <c r="K18" s="599"/>
      <c r="L18" s="599"/>
      <c r="M18" s="599"/>
      <c r="N18" s="599"/>
      <c r="O18" s="599"/>
      <c r="P18" s="599"/>
      <c r="Q18" s="599"/>
      <c r="R18" s="307"/>
      <c r="S18" s="307"/>
      <c r="T18" s="307"/>
    </row>
    <row r="19" spans="1:20" ht="18">
      <c r="A19" s="304"/>
      <c r="B19" t="s">
        <v>493</v>
      </c>
      <c r="K19" s="601" t="s">
        <v>711</v>
      </c>
      <c r="L19" s="602"/>
      <c r="M19" s="602"/>
      <c r="N19" s="603"/>
      <c r="R19" s="307"/>
      <c r="S19" s="307"/>
      <c r="T19" s="307"/>
    </row>
    <row r="20" spans="1:20" ht="18">
      <c r="A20" s="304"/>
      <c r="B20" s="599" t="s">
        <v>445</v>
      </c>
      <c r="C20" s="599"/>
      <c r="D20" s="599"/>
      <c r="E20" s="599"/>
      <c r="F20" s="599"/>
      <c r="G20" s="599"/>
      <c r="H20" s="599"/>
      <c r="I20" s="599"/>
      <c r="J20" s="599"/>
      <c r="K20" s="599"/>
      <c r="L20" s="599"/>
      <c r="M20" s="599"/>
      <c r="N20" s="599"/>
      <c r="O20" s="599"/>
      <c r="P20" s="599"/>
      <c r="Q20" s="599"/>
      <c r="R20" s="307"/>
      <c r="S20" s="307"/>
      <c r="T20" s="307"/>
    </row>
    <row r="21" spans="1:20" ht="18">
      <c r="A21" s="304"/>
      <c r="R21" s="307"/>
      <c r="S21" s="307"/>
      <c r="T21" s="307"/>
    </row>
    <row r="22" spans="1:20" ht="18">
      <c r="A22" s="304" t="s">
        <v>216</v>
      </c>
      <c r="B22" t="s">
        <v>472</v>
      </c>
    </row>
    <row r="23" spans="1:20">
      <c r="B23" t="s">
        <v>485</v>
      </c>
    </row>
    <row r="24" spans="1:20">
      <c r="B24" t="s">
        <v>446</v>
      </c>
    </row>
    <row r="25" spans="1:20">
      <c r="B25" s="599" t="s">
        <v>447</v>
      </c>
      <c r="C25" s="599"/>
      <c r="D25" s="599"/>
      <c r="E25" s="599"/>
      <c r="F25" s="599"/>
      <c r="G25" s="599"/>
      <c r="H25" s="599"/>
      <c r="I25" s="599"/>
      <c r="J25" s="599"/>
      <c r="K25" s="599"/>
      <c r="L25" s="599"/>
      <c r="M25" s="599"/>
      <c r="N25" s="599"/>
      <c r="O25" s="599"/>
      <c r="P25" s="599"/>
      <c r="Q25" s="599"/>
    </row>
    <row r="27" spans="1:20" ht="18">
      <c r="A27" s="304" t="s">
        <v>487</v>
      </c>
      <c r="B27" s="305" t="s">
        <v>486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305"/>
      <c r="S27" s="305"/>
      <c r="T27" s="305"/>
    </row>
    <row r="28" spans="1:20" ht="18">
      <c r="A28" s="304"/>
      <c r="B28" s="305" t="s">
        <v>717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305"/>
      <c r="S28" s="305"/>
      <c r="T28" s="305"/>
    </row>
    <row r="29" spans="1:20" ht="18">
      <c r="A29" s="304"/>
      <c r="B29" s="305" t="s">
        <v>470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305"/>
      <c r="S29" s="305"/>
      <c r="T29" s="305"/>
    </row>
    <row r="30" spans="1:20" ht="18">
      <c r="A30" s="304"/>
      <c r="B30" s="343" t="s">
        <v>718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305"/>
      <c r="S30" s="305"/>
      <c r="T30" s="305"/>
    </row>
    <row r="31" spans="1:20" ht="18">
      <c r="A31" s="304"/>
      <c r="B31" s="343" t="s">
        <v>719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305"/>
      <c r="S31" s="305"/>
      <c r="T31" s="305"/>
    </row>
    <row r="32" spans="1:20" ht="18">
      <c r="A32" s="304"/>
      <c r="B32" s="305" t="s">
        <v>471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305"/>
      <c r="S32" s="305"/>
      <c r="T32" s="305"/>
    </row>
    <row r="33" spans="1:20" ht="18">
      <c r="A33" s="304"/>
      <c r="B33" s="305" t="s">
        <v>466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305"/>
      <c r="S33" s="305"/>
      <c r="T33" s="305"/>
    </row>
    <row r="34" spans="1:20" ht="18">
      <c r="A34" s="304"/>
      <c r="B34" s="54" t="s">
        <v>475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305"/>
      <c r="S34" s="305"/>
      <c r="T34" s="305"/>
    </row>
    <row r="35" spans="1:20" ht="18">
      <c r="A35" s="30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305"/>
      <c r="S35" s="305"/>
      <c r="T35" s="305"/>
    </row>
    <row r="36" spans="1:20" ht="18">
      <c r="A36" s="304" t="s">
        <v>249</v>
      </c>
      <c r="B36" s="305" t="s">
        <v>488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305"/>
      <c r="S36" s="305"/>
      <c r="T36" s="305"/>
    </row>
    <row r="37" spans="1:20" ht="18">
      <c r="A37" s="304"/>
      <c r="B37" s="343" t="s">
        <v>492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305"/>
      <c r="S37" s="305"/>
      <c r="T37" s="305"/>
    </row>
    <row r="38" spans="1:20" ht="18">
      <c r="A38" s="304"/>
      <c r="B38" s="305" t="s">
        <v>476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305"/>
      <c r="S38" s="305"/>
      <c r="T38" s="305"/>
    </row>
    <row r="39" spans="1:20" ht="18">
      <c r="A39" s="304"/>
      <c r="B39" s="305" t="s">
        <v>477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305"/>
      <c r="S39" s="305"/>
      <c r="T39" s="305"/>
    </row>
    <row r="40" spans="1:20" ht="18">
      <c r="A40" s="304"/>
      <c r="B40" s="305" t="s">
        <v>479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305"/>
      <c r="S40" s="305"/>
      <c r="T40" s="305"/>
    </row>
    <row r="41" spans="1:20" ht="18">
      <c r="A41" s="304"/>
      <c r="B41" t="s">
        <v>480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305"/>
      <c r="S41" s="305"/>
      <c r="T41" s="305"/>
    </row>
    <row r="42" spans="1:20" ht="18">
      <c r="A42" s="304"/>
      <c r="B42" s="305" t="s">
        <v>478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305"/>
      <c r="S42" s="305"/>
      <c r="T42" s="305"/>
    </row>
    <row r="43" spans="1:20" ht="18">
      <c r="A43" s="30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305"/>
      <c r="S43" s="305"/>
      <c r="T43" s="305"/>
    </row>
  </sheetData>
  <mergeCells count="21">
    <mergeCell ref="A1:T1"/>
    <mergeCell ref="N3:T3"/>
    <mergeCell ref="N4:T4"/>
    <mergeCell ref="D5:K5"/>
    <mergeCell ref="N5:T5"/>
    <mergeCell ref="B8:C8"/>
    <mergeCell ref="D8:F8"/>
    <mergeCell ref="I8:K8"/>
    <mergeCell ref="N8:T8"/>
    <mergeCell ref="N6:T6"/>
    <mergeCell ref="D9:F9"/>
    <mergeCell ref="N9:T9"/>
    <mergeCell ref="D10:F10"/>
    <mergeCell ref="I10:K10"/>
    <mergeCell ref="D7:F7"/>
    <mergeCell ref="N7:T7"/>
    <mergeCell ref="B20:Q20"/>
    <mergeCell ref="B25:Q25"/>
    <mergeCell ref="R14:T14"/>
    <mergeCell ref="K19:N19"/>
    <mergeCell ref="B18:Q18"/>
  </mergeCells>
  <hyperlinks>
    <hyperlink ref="K19" r:id="rId1" display="MARCH 2024 SCHOOL FUNDING" xr:uid="{986B82DB-C5DA-48B3-AF9F-003A29183AD7}"/>
    <hyperlink ref="K19:N19" r:id="rId2" display="MARCH 2025 SCHOOL FUNDING" xr:uid="{3376B31C-A83A-4C22-A85A-E0E1C5DD9A47}"/>
  </hyperlinks>
  <pageMargins left="0.7" right="0.7" top="0.75" bottom="0.75" header="0.3" footer="0.3"/>
  <pageSetup paperSize="9" scale="69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278AB761-0513-443F-9435-4C85C63C65D7}">
          <x14:formula1>
            <xm:f>'Schools Data'!$A$3:$A$90</xm:f>
          </x14:formula1>
          <xm:sqref>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K151"/>
  <sheetViews>
    <sheetView showGridLines="0" zoomScale="69" zoomScaleNormal="100" zoomScaleSheetLayoutView="85" workbookViewId="0">
      <pane xSplit="2" ySplit="15" topLeftCell="C99" activePane="bottomRight" state="frozen"/>
      <selection pane="topRight" activeCell="C1" sqref="C1"/>
      <selection pane="bottomLeft" activeCell="A15" sqref="A15"/>
      <selection pane="bottomRight" activeCell="D112" sqref="D112"/>
    </sheetView>
  </sheetViews>
  <sheetFormatPr defaultRowHeight="14.4"/>
  <cols>
    <col min="1" max="1" width="52.6640625" customWidth="1"/>
    <col min="2" max="2" width="21.109375" customWidth="1"/>
    <col min="3" max="3" width="1.109375" customWidth="1"/>
    <col min="4" max="4" width="26.44140625" customWidth="1"/>
    <col min="5" max="5" width="22.5546875" customWidth="1"/>
    <col min="6" max="6" width="21.5546875" customWidth="1"/>
    <col min="7" max="7" width="1.5546875" customWidth="1"/>
    <col min="8" max="8" width="128.44140625" customWidth="1"/>
    <col min="10" max="11" width="9.109375" hidden="1" customWidth="1"/>
  </cols>
  <sheetData>
    <row r="1" spans="1:10">
      <c r="A1" s="4"/>
      <c r="B1" s="4"/>
      <c r="C1" s="4"/>
      <c r="D1" s="4"/>
      <c r="E1" s="4"/>
      <c r="F1" s="4"/>
      <c r="G1" s="3"/>
      <c r="H1" s="4"/>
      <c r="J1" t="e">
        <f>VLOOKUP(D2,'Schools Data'!$D$4:$F$90,3,FALSE)</f>
        <v>#N/A</v>
      </c>
    </row>
    <row r="2" spans="1:10">
      <c r="A2" s="229" t="s">
        <v>120</v>
      </c>
      <c r="B2" s="229" t="s">
        <v>115</v>
      </c>
      <c r="C2" s="229"/>
      <c r="D2" s="230" cm="1">
        <f t="array" ref="D2">'1) Instructions'!D7:D7</f>
        <v>0</v>
      </c>
      <c r="E2" s="230"/>
      <c r="F2" s="230"/>
      <c r="G2" s="230"/>
      <c r="H2" s="4"/>
    </row>
    <row r="3" spans="1:10">
      <c r="A3" s="229"/>
      <c r="B3" s="229" t="s">
        <v>116</v>
      </c>
      <c r="C3" s="229"/>
      <c r="D3" s="230" t="str" cm="1">
        <f t="array" ref="D3">'1) Instructions'!D5:D5</f>
        <v>Please choose a school</v>
      </c>
      <c r="E3" s="17"/>
      <c r="F3" s="17"/>
      <c r="G3" s="17"/>
      <c r="H3" s="4"/>
    </row>
    <row r="4" spans="1:10">
      <c r="A4" s="229"/>
      <c r="B4" s="229" t="s">
        <v>117</v>
      </c>
      <c r="C4" s="229"/>
      <c r="D4" s="230" cm="1">
        <f t="array" ref="D4">'1) Instructions'!D8:D8</f>
        <v>0</v>
      </c>
      <c r="E4" s="17"/>
      <c r="F4" s="17"/>
      <c r="G4" s="17"/>
      <c r="H4" s="4"/>
    </row>
    <row r="5" spans="1:10">
      <c r="A5" s="229"/>
      <c r="B5" s="229" t="s">
        <v>254</v>
      </c>
      <c r="C5" s="229"/>
      <c r="D5" s="230" cm="1">
        <f t="array" ref="D5">'1) Instructions'!D9:D9</f>
        <v>0</v>
      </c>
      <c r="E5" s="230"/>
      <c r="F5" s="230"/>
      <c r="G5" s="230"/>
      <c r="H5" s="4"/>
    </row>
    <row r="6" spans="1:10">
      <c r="A6" s="229"/>
      <c r="B6" s="229" t="s">
        <v>118</v>
      </c>
      <c r="C6" s="229"/>
      <c r="D6" s="17" t="str" cm="1">
        <f t="array" ref="D6">'1) Instructions'!D10:D10</f>
        <v>Q4 - Year End</v>
      </c>
      <c r="E6" s="17"/>
      <c r="F6" s="17"/>
      <c r="G6" s="17"/>
      <c r="H6" s="4"/>
    </row>
    <row r="7" spans="1:10">
      <c r="A7" s="229"/>
      <c r="B7" s="229" t="s">
        <v>119</v>
      </c>
      <c r="C7" s="229"/>
      <c r="D7" s="17" t="str" cm="1">
        <f t="array" ref="D7">'1) Instructions'!I8:I8</f>
        <v>2024-25</v>
      </c>
      <c r="E7" s="17"/>
      <c r="F7" s="17"/>
      <c r="G7" s="17"/>
      <c r="H7" s="4"/>
    </row>
    <row r="8" spans="1:10">
      <c r="A8" s="229"/>
      <c r="B8" s="229"/>
      <c r="C8" s="229"/>
      <c r="D8" s="229"/>
      <c r="E8" s="229"/>
      <c r="F8" s="229"/>
      <c r="G8" s="231"/>
      <c r="H8" s="4"/>
    </row>
    <row r="9" spans="1:10">
      <c r="A9" s="229"/>
      <c r="B9" s="229" t="s">
        <v>257</v>
      </c>
      <c r="C9" s="229"/>
      <c r="D9" s="232" cm="1">
        <f t="array" ref="D9">'1) Instructions'!I10:I10</f>
        <v>45747</v>
      </c>
      <c r="E9" s="17"/>
      <c r="F9" s="17"/>
      <c r="G9" s="17"/>
      <c r="H9" s="233" t="str">
        <f>IF(D9=0/1/1900,"Please enter date on front sheet","")</f>
        <v/>
      </c>
    </row>
    <row r="10" spans="1:10">
      <c r="A10" s="4"/>
      <c r="B10" s="4"/>
      <c r="C10" s="229"/>
      <c r="D10" s="4"/>
      <c r="E10" s="4"/>
      <c r="F10" s="4"/>
      <c r="G10" s="3"/>
      <c r="H10" s="4"/>
    </row>
    <row r="11" spans="1:10">
      <c r="D11" s="6" t="s">
        <v>265</v>
      </c>
    </row>
    <row r="12" spans="1:10">
      <c r="A12" s="84" t="s">
        <v>222</v>
      </c>
      <c r="B12" s="59"/>
      <c r="C12" s="234"/>
      <c r="D12" s="235"/>
      <c r="E12" s="236"/>
      <c r="F12" s="237"/>
      <c r="G12" s="237"/>
      <c r="H12" s="238"/>
    </row>
    <row r="13" spans="1:10" ht="90" customHeight="1">
      <c r="A13" s="58" t="s">
        <v>0</v>
      </c>
      <c r="B13" s="59"/>
      <c r="C13" s="234"/>
      <c r="D13" s="350" t="str" cm="1">
        <f t="array" ref="D13">'1) Instructions'!I8:I8&amp;" Year-to-date actuals (System Reports) 
(GROSSED UP FOR DE-DELEGATIONS BUT BEFORE ACCRUALS)"</f>
        <v>2024-25 Year-to-date actuals (System Reports) 
(GROSSED UP FOR DE-DELEGATIONS BUT BEFORE ACCRUALS)</v>
      </c>
      <c r="E13" s="46" t="str" cm="1">
        <f t="array" ref="E13">'1) Instructions'!I8:I8&amp;" Year End Adjustments
(Accruals) 
From 3b) List of Accruals Tab"</f>
        <v>2024-25 Year End Adjustments
(Accruals) 
From 3b) List of Accruals Tab</v>
      </c>
      <c r="F13" s="46" t="str" cm="1">
        <f t="array" ref="F13">'1) Instructions'!I8:I8&amp;" Final Outturn Total"</f>
        <v>2024-25 Final Outturn Total</v>
      </c>
      <c r="G13" s="31"/>
      <c r="H13" s="46" t="s">
        <v>300</v>
      </c>
    </row>
    <row r="14" spans="1:10" ht="17.25" customHeight="1">
      <c r="A14" s="60"/>
      <c r="B14" s="59"/>
      <c r="C14" s="234"/>
      <c r="D14" s="46" t="s">
        <v>301</v>
      </c>
      <c r="E14" s="46" t="s">
        <v>302</v>
      </c>
      <c r="F14" s="46" t="s">
        <v>303</v>
      </c>
      <c r="G14" s="31"/>
      <c r="H14" s="216"/>
    </row>
    <row r="15" spans="1:10">
      <c r="A15" s="61" t="s">
        <v>306</v>
      </c>
      <c r="B15" s="97" t="s">
        <v>2</v>
      </c>
      <c r="C15" s="234"/>
      <c r="D15" s="217" t="s">
        <v>3</v>
      </c>
      <c r="E15" s="218" t="s">
        <v>3</v>
      </c>
      <c r="F15" s="96" t="s">
        <v>3</v>
      </c>
      <c r="G15" s="67"/>
      <c r="H15" s="93"/>
    </row>
    <row r="16" spans="1:10">
      <c r="A16" s="69" t="s">
        <v>316</v>
      </c>
      <c r="B16" s="70" t="s">
        <v>224</v>
      </c>
      <c r="C16" s="234"/>
      <c r="D16" s="543"/>
      <c r="E16" s="368">
        <f>SUMIF('3b) List of Accruals'!$B$21:$B$82,'2a) YE Income &amp; Expenditure'!B16,'3b) List of Accruals'!$J$21:$J$82)</f>
        <v>0</v>
      </c>
      <c r="F16" s="544">
        <f t="shared" ref="F16:F36" si="0">E16+D16</f>
        <v>0</v>
      </c>
      <c r="G16" s="219"/>
      <c r="H16" s="220"/>
    </row>
    <row r="17" spans="1:8">
      <c r="A17" s="69" t="s">
        <v>4</v>
      </c>
      <c r="B17" s="70" t="s">
        <v>16</v>
      </c>
      <c r="C17" s="234"/>
      <c r="D17" s="543"/>
      <c r="E17" s="368">
        <f>SUMIF('3b) List of Accruals'!$B$21:$B$82,'2a) YE Income &amp; Expenditure'!B17,'3b) List of Accruals'!$J$21:$J$82)</f>
        <v>0</v>
      </c>
      <c r="F17" s="544">
        <f t="shared" si="0"/>
        <v>0</v>
      </c>
      <c r="G17" s="219"/>
      <c r="H17" s="220"/>
    </row>
    <row r="18" spans="1:8">
      <c r="A18" s="69" t="s">
        <v>228</v>
      </c>
      <c r="B18" s="70" t="s">
        <v>225</v>
      </c>
      <c r="C18" s="234"/>
      <c r="D18" s="543"/>
      <c r="E18" s="368">
        <f>SUMIF('3b) List of Accruals'!$B$21:$B$82,'2a) YE Income &amp; Expenditure'!B18,'3b) List of Accruals'!$J$21:$J$82)</f>
        <v>0</v>
      </c>
      <c r="F18" s="544">
        <f t="shared" si="0"/>
        <v>0</v>
      </c>
      <c r="G18" s="219"/>
      <c r="H18" s="220"/>
    </row>
    <row r="19" spans="1:8">
      <c r="A19" s="69" t="s">
        <v>5</v>
      </c>
      <c r="B19" s="70" t="s">
        <v>226</v>
      </c>
      <c r="C19" s="234"/>
      <c r="D19" s="543"/>
      <c r="E19" s="368">
        <f>SUMIF('3b) List of Accruals'!$B$21:$B$82,'2a) YE Income &amp; Expenditure'!B19,'3b) List of Accruals'!$J$21:$J$82)</f>
        <v>0</v>
      </c>
      <c r="F19" s="544">
        <f t="shared" si="0"/>
        <v>0</v>
      </c>
      <c r="G19" s="219"/>
      <c r="H19" s="220"/>
    </row>
    <row r="20" spans="1:8">
      <c r="A20" s="69" t="s">
        <v>6</v>
      </c>
      <c r="B20" s="70" t="s">
        <v>227</v>
      </c>
      <c r="C20" s="234"/>
      <c r="D20" s="543"/>
      <c r="E20" s="368">
        <f>SUMIF('3b) List of Accruals'!$B$21:$B$82,'2a) YE Income &amp; Expenditure'!B20,'3b) List of Accruals'!$J$21:$J$82)</f>
        <v>0</v>
      </c>
      <c r="F20" s="544">
        <f t="shared" si="0"/>
        <v>0</v>
      </c>
      <c r="G20" s="219"/>
      <c r="H20" s="220"/>
    </row>
    <row r="21" spans="1:8">
      <c r="A21" s="69" t="s">
        <v>7</v>
      </c>
      <c r="B21" s="70" t="s">
        <v>17</v>
      </c>
      <c r="C21" s="234"/>
      <c r="D21" s="543"/>
      <c r="E21" s="368">
        <f>SUMIF('3b) List of Accruals'!$B$21:$B$82,'2a) YE Income &amp; Expenditure'!B21,'3b) List of Accruals'!$J$21:$J$82)</f>
        <v>0</v>
      </c>
      <c r="F21" s="544">
        <f t="shared" si="0"/>
        <v>0</v>
      </c>
      <c r="G21" s="219"/>
      <c r="H21" s="220"/>
    </row>
    <row r="22" spans="1:8">
      <c r="A22" s="69" t="s">
        <v>8</v>
      </c>
      <c r="B22" s="70" t="s">
        <v>18</v>
      </c>
      <c r="C22" s="234"/>
      <c r="D22" s="543"/>
      <c r="E22" s="368">
        <f>SUMIF('3b) List of Accruals'!$B$21:$B$82,'2a) YE Income &amp; Expenditure'!B22,'3b) List of Accruals'!$J$21:$J$82)</f>
        <v>0</v>
      </c>
      <c r="F22" s="544">
        <f t="shared" si="0"/>
        <v>0</v>
      </c>
      <c r="G22" s="219"/>
      <c r="H22" s="220"/>
    </row>
    <row r="23" spans="1:8">
      <c r="A23" s="69" t="s">
        <v>260</v>
      </c>
      <c r="B23" s="70" t="s">
        <v>259</v>
      </c>
      <c r="C23" s="234"/>
      <c r="D23" s="543"/>
      <c r="E23" s="368">
        <f>SUMIF('3b) List of Accruals'!$B$21:$B$82,'2a) YE Income &amp; Expenditure'!B23,'3b) List of Accruals'!$J$21:$J$82)</f>
        <v>0</v>
      </c>
      <c r="F23" s="544">
        <f t="shared" si="0"/>
        <v>0</v>
      </c>
      <c r="G23" s="219"/>
      <c r="H23" s="220"/>
    </row>
    <row r="24" spans="1:8">
      <c r="A24" s="69" t="s">
        <v>261</v>
      </c>
      <c r="B24" s="70" t="s">
        <v>262</v>
      </c>
      <c r="C24" s="234"/>
      <c r="D24" s="543"/>
      <c r="E24" s="368">
        <f>SUMIF('3b) List of Accruals'!$B$21:$B$82,'2a) YE Income &amp; Expenditure'!B24,'3b) List of Accruals'!$J$21:$J$82)</f>
        <v>0</v>
      </c>
      <c r="F24" s="544">
        <f t="shared" si="0"/>
        <v>0</v>
      </c>
      <c r="G24" s="219"/>
      <c r="H24" s="220"/>
    </row>
    <row r="25" spans="1:8">
      <c r="A25" s="69" t="s">
        <v>9</v>
      </c>
      <c r="B25" s="70" t="s">
        <v>19</v>
      </c>
      <c r="C25" s="234"/>
      <c r="D25" s="543"/>
      <c r="E25" s="368">
        <f>SUMIF('3b) List of Accruals'!$B$21:$B$82,'2a) YE Income &amp; Expenditure'!B25,'3b) List of Accruals'!$J$21:$J$82)</f>
        <v>0</v>
      </c>
      <c r="F25" s="544">
        <f t="shared" si="0"/>
        <v>0</v>
      </c>
      <c r="G25" s="219"/>
      <c r="H25" s="220"/>
    </row>
    <row r="26" spans="1:8">
      <c r="A26" s="69" t="s">
        <v>10</v>
      </c>
      <c r="B26" s="70" t="s">
        <v>20</v>
      </c>
      <c r="C26" s="234"/>
      <c r="D26" s="543"/>
      <c r="E26" s="368">
        <f>SUMIF('3b) List of Accruals'!$B$21:$B$82,'2a) YE Income &amp; Expenditure'!B26,'3b) List of Accruals'!$J$21:$J$82)</f>
        <v>0</v>
      </c>
      <c r="F26" s="544">
        <f t="shared" si="0"/>
        <v>0</v>
      </c>
      <c r="G26" s="219"/>
      <c r="H26" s="220"/>
    </row>
    <row r="27" spans="1:8">
      <c r="A27" s="69" t="s">
        <v>11</v>
      </c>
      <c r="B27" s="70" t="s">
        <v>21</v>
      </c>
      <c r="C27" s="234"/>
      <c r="D27" s="543"/>
      <c r="E27" s="368">
        <f>SUMIF('3b) List of Accruals'!$B$21:$B$82,'2a) YE Income &amp; Expenditure'!B27,'3b) List of Accruals'!$J$21:$J$82)</f>
        <v>0</v>
      </c>
      <c r="F27" s="544">
        <f t="shared" si="0"/>
        <v>0</v>
      </c>
      <c r="G27" s="219"/>
      <c r="H27" s="220"/>
    </row>
    <row r="28" spans="1:8">
      <c r="A28" s="69" t="s">
        <v>12</v>
      </c>
      <c r="B28" s="70" t="s">
        <v>22</v>
      </c>
      <c r="C28" s="234"/>
      <c r="D28" s="543"/>
      <c r="E28" s="368">
        <f>SUMIF('3b) List of Accruals'!$B$21:$B$82,'2a) YE Income &amp; Expenditure'!B28,'3b) List of Accruals'!$J$21:$J$82)</f>
        <v>0</v>
      </c>
      <c r="F28" s="544">
        <f t="shared" si="0"/>
        <v>0</v>
      </c>
      <c r="G28" s="219"/>
      <c r="H28" s="220"/>
    </row>
    <row r="29" spans="1:8">
      <c r="A29" s="69" t="s">
        <v>13</v>
      </c>
      <c r="B29" s="70" t="s">
        <v>23</v>
      </c>
      <c r="C29" s="234"/>
      <c r="D29" s="543"/>
      <c r="E29" s="368">
        <f>SUMIF('3b) List of Accruals'!$B$21:$B$82,'2a) YE Income &amp; Expenditure'!B29,'3b) List of Accruals'!$J$21:$J$82)</f>
        <v>0</v>
      </c>
      <c r="F29" s="544">
        <f t="shared" si="0"/>
        <v>0</v>
      </c>
      <c r="G29" s="219"/>
      <c r="H29" s="220"/>
    </row>
    <row r="30" spans="1:8">
      <c r="A30" s="69" t="s">
        <v>14</v>
      </c>
      <c r="B30" s="70" t="s">
        <v>24</v>
      </c>
      <c r="C30" s="234"/>
      <c r="D30" s="543"/>
      <c r="E30" s="368">
        <f>SUMIF('3b) List of Accruals'!$B$21:$B$82,'2a) YE Income &amp; Expenditure'!B30,'3b) List of Accruals'!$J$21:$J$82)</f>
        <v>0</v>
      </c>
      <c r="F30" s="544">
        <f t="shared" si="0"/>
        <v>0</v>
      </c>
      <c r="G30" s="219"/>
      <c r="H30" s="220"/>
    </row>
    <row r="31" spans="1:8">
      <c r="A31" s="221" t="s">
        <v>100</v>
      </c>
      <c r="B31" s="70" t="s">
        <v>102</v>
      </c>
      <c r="C31" s="234"/>
      <c r="D31" s="543"/>
      <c r="E31" s="368">
        <f>SUMIF('3b) List of Accruals'!$B$21:$B$82,'2a) YE Income &amp; Expenditure'!B31,'3b) List of Accruals'!$J$21:$J$82)</f>
        <v>0</v>
      </c>
      <c r="F31" s="544">
        <f t="shared" si="0"/>
        <v>0</v>
      </c>
      <c r="G31" s="219"/>
      <c r="H31" s="220"/>
    </row>
    <row r="32" spans="1:8">
      <c r="A32" s="221" t="s">
        <v>101</v>
      </c>
      <c r="B32" s="70" t="s">
        <v>103</v>
      </c>
      <c r="C32" s="234"/>
      <c r="D32" s="543"/>
      <c r="E32" s="368">
        <f>SUMIF('3b) List of Accruals'!$B$21:$B$82,'2a) YE Income &amp; Expenditure'!B32,'3b) List of Accruals'!$J$21:$J$82)</f>
        <v>0</v>
      </c>
      <c r="F32" s="544">
        <f t="shared" si="0"/>
        <v>0</v>
      </c>
      <c r="G32" s="219"/>
      <c r="H32" s="220"/>
    </row>
    <row r="33" spans="1:8">
      <c r="A33" s="69" t="s">
        <v>15</v>
      </c>
      <c r="B33" s="70" t="s">
        <v>274</v>
      </c>
      <c r="C33" s="234"/>
      <c r="D33" s="543"/>
      <c r="E33" s="368">
        <f>SUMIF('3b) List of Accruals'!$B$21:$B$82,'2a) YE Income &amp; Expenditure'!B33,'3b) List of Accruals'!$J$21:$J$82)</f>
        <v>0</v>
      </c>
      <c r="F33" s="544">
        <f t="shared" si="0"/>
        <v>0</v>
      </c>
      <c r="G33" s="219"/>
      <c r="H33" s="220"/>
    </row>
    <row r="34" spans="1:8">
      <c r="A34" s="69" t="s">
        <v>15</v>
      </c>
      <c r="B34" s="70" t="s">
        <v>275</v>
      </c>
      <c r="C34" s="234"/>
      <c r="D34" s="543"/>
      <c r="E34" s="368">
        <f>SUMIF('3b) List of Accruals'!$B$21:$B$82,'2a) YE Income &amp; Expenditure'!B34,'3b) List of Accruals'!$J$21:$J$82)</f>
        <v>0</v>
      </c>
      <c r="F34" s="544">
        <f t="shared" si="0"/>
        <v>0</v>
      </c>
      <c r="G34" s="219"/>
      <c r="H34" s="220"/>
    </row>
    <row r="35" spans="1:8">
      <c r="A35" s="69" t="s">
        <v>15</v>
      </c>
      <c r="B35" s="70" t="s">
        <v>276</v>
      </c>
      <c r="C35" s="234"/>
      <c r="D35" s="543"/>
      <c r="E35" s="368">
        <f>SUMIF('3b) List of Accruals'!$B$21:$B$82,'2a) YE Income &amp; Expenditure'!B35,'3b) List of Accruals'!$J$21:$J$82)</f>
        <v>0</v>
      </c>
      <c r="F35" s="544">
        <f t="shared" si="0"/>
        <v>0</v>
      </c>
      <c r="G35" s="219"/>
      <c r="H35" s="220"/>
    </row>
    <row r="36" spans="1:8" ht="15" thickBot="1">
      <c r="A36" s="69" t="s">
        <v>15</v>
      </c>
      <c r="B36" s="70" t="s">
        <v>277</v>
      </c>
      <c r="C36" s="234"/>
      <c r="D36" s="543"/>
      <c r="E36" s="368">
        <f>SUMIF('3b) List of Accruals'!$B$21:$B$82,'2a) YE Income &amp; Expenditure'!B36,'3b) List of Accruals'!$J$21:$J$82)</f>
        <v>0</v>
      </c>
      <c r="F36" s="544">
        <f t="shared" si="0"/>
        <v>0</v>
      </c>
      <c r="G36" s="219"/>
      <c r="H36" s="220"/>
    </row>
    <row r="37" spans="1:8" ht="15" thickBot="1">
      <c r="A37" s="239" t="s">
        <v>25</v>
      </c>
      <c r="B37" s="240"/>
      <c r="C37" s="234"/>
      <c r="D37" s="545">
        <f>SUM(D16:D36)</f>
        <v>0</v>
      </c>
      <c r="E37" s="545">
        <f>SUM(E16:E36)</f>
        <v>0</v>
      </c>
      <c r="F37" s="545">
        <f>SUM(F16:F36)</f>
        <v>0</v>
      </c>
      <c r="G37" s="222"/>
    </row>
    <row r="38" spans="1:8">
      <c r="C38" s="234"/>
    </row>
    <row r="39" spans="1:8" ht="73.5" customHeight="1">
      <c r="A39" s="60"/>
      <c r="B39" s="59"/>
      <c r="C39" s="234"/>
      <c r="D39" s="350" t="str">
        <f>D13</f>
        <v>2024-25 Year-to-date actuals (System Reports) 
(GROSSED UP FOR DE-DELEGATIONS BUT BEFORE ACCRUALS)</v>
      </c>
      <c r="E39" s="46" t="str">
        <f>E13</f>
        <v>2024-25 Year End Adjustments
(Accruals) 
From 3b) List of Accruals Tab</v>
      </c>
      <c r="F39" s="46" t="str">
        <f>F13</f>
        <v>2024-25 Final Outturn Total</v>
      </c>
      <c r="G39" s="31"/>
      <c r="H39" s="46" t="s">
        <v>300</v>
      </c>
    </row>
    <row r="40" spans="1:8">
      <c r="A40" s="61" t="s">
        <v>307</v>
      </c>
      <c r="B40" s="97" t="s">
        <v>2</v>
      </c>
      <c r="C40" s="234"/>
      <c r="D40" s="217" t="s">
        <v>3</v>
      </c>
      <c r="E40" s="218" t="s">
        <v>3</v>
      </c>
      <c r="F40" s="96" t="s">
        <v>3</v>
      </c>
      <c r="G40" s="67"/>
      <c r="H40" s="93"/>
    </row>
    <row r="41" spans="1:8">
      <c r="A41" s="69" t="s">
        <v>26</v>
      </c>
      <c r="B41" s="70" t="s">
        <v>27</v>
      </c>
      <c r="C41" s="234"/>
      <c r="D41" s="546"/>
      <c r="E41" s="368">
        <f>SUMIF('3b) List of Accruals'!$B$21:$B$82,'2a) YE Income &amp; Expenditure'!B41,'3b) List of Accruals'!$J$21:$J$82)</f>
        <v>0</v>
      </c>
      <c r="F41" s="547">
        <f>E41+D41</f>
        <v>0</v>
      </c>
      <c r="G41" s="219"/>
      <c r="H41" s="241"/>
    </row>
    <row r="42" spans="1:8">
      <c r="A42" s="69" t="s">
        <v>28</v>
      </c>
      <c r="B42" s="70" t="s">
        <v>29</v>
      </c>
      <c r="C42" s="234"/>
      <c r="D42" s="546"/>
      <c r="E42" s="368">
        <f>SUMIF('3b) List of Accruals'!$B$21:$B$82,'2a) YE Income &amp; Expenditure'!B42,'3b) List of Accruals'!$J$21:$J$82)</f>
        <v>0</v>
      </c>
      <c r="F42" s="547">
        <f t="shared" ref="F42:F79" si="1">E42+D42</f>
        <v>0</v>
      </c>
      <c r="G42" s="219"/>
      <c r="H42" s="241"/>
    </row>
    <row r="43" spans="1:8">
      <c r="A43" s="69" t="s">
        <v>30</v>
      </c>
      <c r="B43" s="70" t="s">
        <v>31</v>
      </c>
      <c r="C43" s="234"/>
      <c r="D43" s="546"/>
      <c r="E43" s="368">
        <f>SUMIF('3b) List of Accruals'!$B$21:$B$82,'2a) YE Income &amp; Expenditure'!B43,'3b) List of Accruals'!$J$21:$J$82)</f>
        <v>0</v>
      </c>
      <c r="F43" s="547">
        <f t="shared" si="1"/>
        <v>0</v>
      </c>
      <c r="G43" s="219"/>
      <c r="H43" s="241"/>
    </row>
    <row r="44" spans="1:8">
      <c r="A44" s="69" t="s">
        <v>32</v>
      </c>
      <c r="B44" s="70" t="s">
        <v>33</v>
      </c>
      <c r="C44" s="234"/>
      <c r="D44" s="546"/>
      <c r="E44" s="368">
        <f>SUMIF('3b) List of Accruals'!$B$21:$B$82,'2a) YE Income &amp; Expenditure'!B44,'3b) List of Accruals'!$J$21:$J$82)</f>
        <v>0</v>
      </c>
      <c r="F44" s="547">
        <f t="shared" si="1"/>
        <v>0</v>
      </c>
      <c r="G44" s="219"/>
      <c r="H44" s="241"/>
    </row>
    <row r="45" spans="1:8">
      <c r="A45" s="69" t="s">
        <v>34</v>
      </c>
      <c r="B45" s="70" t="s">
        <v>35</v>
      </c>
      <c r="C45" s="234"/>
      <c r="D45" s="546"/>
      <c r="E45" s="368">
        <f>SUMIF('3b) List of Accruals'!$B$21:$B$82,'2a) YE Income &amp; Expenditure'!B45,'3b) List of Accruals'!$J$21:$J$82)</f>
        <v>0</v>
      </c>
      <c r="F45" s="547">
        <f t="shared" si="1"/>
        <v>0</v>
      </c>
      <c r="G45" s="219"/>
      <c r="H45" s="241"/>
    </row>
    <row r="46" spans="1:8">
      <c r="A46" s="69" t="s">
        <v>36</v>
      </c>
      <c r="B46" s="70" t="s">
        <v>37</v>
      </c>
      <c r="C46" s="234"/>
      <c r="D46" s="546"/>
      <c r="E46" s="368">
        <f>SUMIF('3b) List of Accruals'!$B$21:$B$82,'2a) YE Income &amp; Expenditure'!B46,'3b) List of Accruals'!$J$21:$J$82)</f>
        <v>0</v>
      </c>
      <c r="F46" s="547">
        <f t="shared" si="1"/>
        <v>0</v>
      </c>
      <c r="G46" s="219"/>
      <c r="H46" s="241"/>
    </row>
    <row r="47" spans="1:8">
      <c r="A47" s="69" t="s">
        <v>38</v>
      </c>
      <c r="B47" s="70" t="s">
        <v>39</v>
      </c>
      <c r="C47" s="234"/>
      <c r="D47" s="546"/>
      <c r="E47" s="368">
        <f>SUMIF('3b) List of Accruals'!$B$21:$B$82,'2a) YE Income &amp; Expenditure'!B47,'3b) List of Accruals'!$J$21:$J$82)</f>
        <v>0</v>
      </c>
      <c r="F47" s="547">
        <f t="shared" si="1"/>
        <v>0</v>
      </c>
      <c r="G47" s="219"/>
      <c r="H47" s="241"/>
    </row>
    <row r="48" spans="1:8">
      <c r="A48" s="69" t="s">
        <v>40</v>
      </c>
      <c r="B48" s="70" t="s">
        <v>41</v>
      </c>
      <c r="C48" s="234"/>
      <c r="D48" s="546"/>
      <c r="E48" s="368">
        <f>SUMIF('3b) List of Accruals'!$B$21:$B$82,'2a) YE Income &amp; Expenditure'!B48,'3b) List of Accruals'!$J$21:$J$82)</f>
        <v>0</v>
      </c>
      <c r="F48" s="547">
        <f t="shared" si="1"/>
        <v>0</v>
      </c>
      <c r="G48" s="219"/>
      <c r="H48" s="241"/>
    </row>
    <row r="49" spans="1:8">
      <c r="A49" s="69" t="s">
        <v>42</v>
      </c>
      <c r="B49" s="70" t="s">
        <v>43</v>
      </c>
      <c r="C49" s="234"/>
      <c r="D49" s="546"/>
      <c r="E49" s="368">
        <f>SUMIF('3b) List of Accruals'!$B$21:$B$82,'2a) YE Income &amp; Expenditure'!B49,'3b) List of Accruals'!$J$21:$J$82)</f>
        <v>0</v>
      </c>
      <c r="F49" s="547">
        <f t="shared" si="1"/>
        <v>0</v>
      </c>
      <c r="G49" s="219"/>
      <c r="H49" s="241"/>
    </row>
    <row r="50" spans="1:8">
      <c r="A50" s="69" t="s">
        <v>44</v>
      </c>
      <c r="B50" s="70" t="s">
        <v>45</v>
      </c>
      <c r="C50" s="234"/>
      <c r="D50" s="546"/>
      <c r="E50" s="368">
        <f>SUMIF('3b) List of Accruals'!$B$21:$B$82,'2a) YE Income &amp; Expenditure'!B50,'3b) List of Accruals'!$J$21:$J$82)</f>
        <v>0</v>
      </c>
      <c r="F50" s="547">
        <f t="shared" si="1"/>
        <v>0</v>
      </c>
      <c r="G50" s="219"/>
      <c r="H50" s="241"/>
    </row>
    <row r="51" spans="1:8">
      <c r="A51" s="69" t="s">
        <v>46</v>
      </c>
      <c r="B51" s="70" t="s">
        <v>47</v>
      </c>
      <c r="C51" s="234"/>
      <c r="D51" s="546"/>
      <c r="E51" s="368">
        <f>SUMIF('3b) List of Accruals'!$B$21:$B$82,'2a) YE Income &amp; Expenditure'!B51,'3b) List of Accruals'!$J$21:$J$82)</f>
        <v>0</v>
      </c>
      <c r="F51" s="547">
        <f t="shared" si="1"/>
        <v>0</v>
      </c>
      <c r="G51" s="219"/>
      <c r="H51" s="241"/>
    </row>
    <row r="52" spans="1:8">
      <c r="A52" s="69" t="s">
        <v>48</v>
      </c>
      <c r="B52" s="70" t="s">
        <v>49</v>
      </c>
      <c r="C52" s="234"/>
      <c r="D52" s="546"/>
      <c r="E52" s="368">
        <f>SUMIF('3b) List of Accruals'!$B$21:$B$82,'2a) YE Income &amp; Expenditure'!B52,'3b) List of Accruals'!$J$21:$J$82)</f>
        <v>0</v>
      </c>
      <c r="F52" s="547">
        <f t="shared" si="1"/>
        <v>0</v>
      </c>
      <c r="G52" s="219"/>
      <c r="H52" s="241"/>
    </row>
    <row r="53" spans="1:8">
      <c r="A53" s="69" t="s">
        <v>50</v>
      </c>
      <c r="B53" s="70" t="s">
        <v>51</v>
      </c>
      <c r="C53" s="234"/>
      <c r="D53" s="546"/>
      <c r="E53" s="368">
        <f>SUMIF('3b) List of Accruals'!$B$21:$B$82,'2a) YE Income &amp; Expenditure'!B53,'3b) List of Accruals'!$J$21:$J$82)</f>
        <v>0</v>
      </c>
      <c r="F53" s="547">
        <f t="shared" si="1"/>
        <v>0</v>
      </c>
      <c r="G53" s="219"/>
      <c r="H53" s="241"/>
    </row>
    <row r="54" spans="1:8">
      <c r="A54" s="69" t="s">
        <v>52</v>
      </c>
      <c r="B54" s="70" t="s">
        <v>53</v>
      </c>
      <c r="C54" s="234"/>
      <c r="D54" s="546"/>
      <c r="E54" s="368">
        <f>SUMIF('3b) List of Accruals'!$B$21:$B$82,'2a) YE Income &amp; Expenditure'!B54,'3b) List of Accruals'!$J$21:$J$82)</f>
        <v>0</v>
      </c>
      <c r="F54" s="547">
        <f t="shared" si="1"/>
        <v>0</v>
      </c>
      <c r="G54" s="219"/>
      <c r="H54" s="241"/>
    </row>
    <row r="55" spans="1:8">
      <c r="A55" s="69" t="s">
        <v>54</v>
      </c>
      <c r="B55" s="70" t="s">
        <v>55</v>
      </c>
      <c r="C55" s="234"/>
      <c r="D55" s="546"/>
      <c r="E55" s="368">
        <f>SUMIF('3b) List of Accruals'!$B$21:$B$82,'2a) YE Income &amp; Expenditure'!B55,'3b) List of Accruals'!$J$21:$J$82)</f>
        <v>0</v>
      </c>
      <c r="F55" s="547">
        <f t="shared" si="1"/>
        <v>0</v>
      </c>
      <c r="G55" s="219"/>
      <c r="H55" s="241"/>
    </row>
    <row r="56" spans="1:8">
      <c r="A56" s="69" t="s">
        <v>56</v>
      </c>
      <c r="B56" s="70" t="s">
        <v>57</v>
      </c>
      <c r="C56" s="234"/>
      <c r="D56" s="546"/>
      <c r="E56" s="368">
        <f>SUMIF('3b) List of Accruals'!$B$21:$B$82,'2a) YE Income &amp; Expenditure'!B56,'3b) List of Accruals'!$J$21:$J$82)</f>
        <v>0</v>
      </c>
      <c r="F56" s="547">
        <f t="shared" si="1"/>
        <v>0</v>
      </c>
      <c r="G56" s="219"/>
      <c r="H56" s="241"/>
    </row>
    <row r="57" spans="1:8">
      <c r="A57" s="69" t="s">
        <v>58</v>
      </c>
      <c r="B57" s="70" t="s">
        <v>59</v>
      </c>
      <c r="C57" s="234"/>
      <c r="D57" s="546"/>
      <c r="E57" s="368">
        <f>SUMIF('3b) List of Accruals'!$B$21:$B$82,'2a) YE Income &amp; Expenditure'!B57,'3b) List of Accruals'!$J$21:$J$82)</f>
        <v>0</v>
      </c>
      <c r="F57" s="547">
        <f t="shared" si="1"/>
        <v>0</v>
      </c>
      <c r="G57" s="219"/>
      <c r="H57" s="241"/>
    </row>
    <row r="58" spans="1:8">
      <c r="A58" s="69" t="s">
        <v>60</v>
      </c>
      <c r="B58" s="70" t="s">
        <v>61</v>
      </c>
      <c r="C58" s="234"/>
      <c r="D58" s="546"/>
      <c r="E58" s="368">
        <f>SUMIF('3b) List of Accruals'!$B$21:$B$82,'2a) YE Income &amp; Expenditure'!B58,'3b) List of Accruals'!$J$21:$J$82)</f>
        <v>0</v>
      </c>
      <c r="F58" s="547">
        <f t="shared" si="1"/>
        <v>0</v>
      </c>
      <c r="G58" s="219"/>
      <c r="H58" s="241"/>
    </row>
    <row r="59" spans="1:8">
      <c r="A59" s="69" t="s">
        <v>62</v>
      </c>
      <c r="B59" s="70" t="s">
        <v>63</v>
      </c>
      <c r="C59" s="234"/>
      <c r="D59" s="546"/>
      <c r="E59" s="368">
        <f>SUMIF('3b) List of Accruals'!$B$21:$B$82,'2a) YE Income &amp; Expenditure'!B59,'3b) List of Accruals'!$J$21:$J$82)</f>
        <v>0</v>
      </c>
      <c r="F59" s="547">
        <f t="shared" si="1"/>
        <v>0</v>
      </c>
      <c r="G59" s="219"/>
      <c r="H59" s="241"/>
    </row>
    <row r="60" spans="1:8">
      <c r="A60" s="69" t="s">
        <v>664</v>
      </c>
      <c r="B60" s="70" t="s">
        <v>64</v>
      </c>
      <c r="C60" s="234"/>
      <c r="D60" s="546"/>
      <c r="E60" s="368">
        <f>SUMIF('3b) List of Accruals'!$B$21:$B$82,'2a) YE Income &amp; Expenditure'!B60,'3b) List of Accruals'!$J$21:$J$82)</f>
        <v>0</v>
      </c>
      <c r="F60" s="547">
        <f t="shared" ref="F60" si="2">E60+D60</f>
        <v>0</v>
      </c>
      <c r="G60" s="219"/>
      <c r="H60" s="241"/>
    </row>
    <row r="61" spans="1:8">
      <c r="A61" s="69" t="s">
        <v>513</v>
      </c>
      <c r="B61" s="70" t="s">
        <v>507</v>
      </c>
      <c r="C61" s="234"/>
      <c r="D61" s="546"/>
      <c r="E61" s="368">
        <f>SUMIF('3b) List of Accruals'!$B$21:$B$82,'2a) YE Income &amp; Expenditure'!B61,'3b) List of Accruals'!$J$21:$J$82)</f>
        <v>0</v>
      </c>
      <c r="F61" s="547">
        <f t="shared" si="1"/>
        <v>0</v>
      </c>
      <c r="G61" s="219"/>
      <c r="H61" s="241"/>
    </row>
    <row r="62" spans="1:8">
      <c r="A62" s="69" t="s">
        <v>514</v>
      </c>
      <c r="B62" s="70" t="s">
        <v>508</v>
      </c>
      <c r="C62" s="234"/>
      <c r="D62" s="546"/>
      <c r="E62" s="368">
        <f>SUMIF('3b) List of Accruals'!$B$21:$B$82,'2a) YE Income &amp; Expenditure'!B62,'3b) List of Accruals'!$J$21:$J$82)</f>
        <v>0</v>
      </c>
      <c r="F62" s="547">
        <f t="shared" ref="F62:F68" si="3">E62+D62</f>
        <v>0</v>
      </c>
      <c r="G62" s="219"/>
      <c r="H62" s="241"/>
    </row>
    <row r="63" spans="1:8">
      <c r="A63" s="69" t="s">
        <v>515</v>
      </c>
      <c r="B63" s="70" t="s">
        <v>509</v>
      </c>
      <c r="C63" s="234"/>
      <c r="D63" s="546"/>
      <c r="E63" s="368">
        <f>SUMIF('3b) List of Accruals'!$B$21:$B$82,'2a) YE Income &amp; Expenditure'!B63,'3b) List of Accruals'!$J$21:$J$82)</f>
        <v>0</v>
      </c>
      <c r="F63" s="547">
        <f t="shared" si="3"/>
        <v>0</v>
      </c>
      <c r="G63" s="219"/>
      <c r="H63" s="241"/>
    </row>
    <row r="64" spans="1:8">
      <c r="A64" s="69" t="s">
        <v>516</v>
      </c>
      <c r="B64" s="70" t="s">
        <v>510</v>
      </c>
      <c r="C64" s="234"/>
      <c r="D64" s="546"/>
      <c r="E64" s="368">
        <f>SUMIF('3b) List of Accruals'!$B$21:$B$82,'2a) YE Income &amp; Expenditure'!B64,'3b) List of Accruals'!$J$21:$J$82)</f>
        <v>0</v>
      </c>
      <c r="F64" s="547">
        <f t="shared" si="3"/>
        <v>0</v>
      </c>
      <c r="G64" s="219"/>
      <c r="H64" s="241"/>
    </row>
    <row r="65" spans="1:8">
      <c r="A65" s="69" t="s">
        <v>517</v>
      </c>
      <c r="B65" s="70" t="s">
        <v>511</v>
      </c>
      <c r="C65" s="234"/>
      <c r="D65" s="546"/>
      <c r="E65" s="368">
        <f>SUMIF('3b) List of Accruals'!$B$21:$B$82,'2a) YE Income &amp; Expenditure'!B65,'3b) List of Accruals'!$J$21:$J$82)</f>
        <v>0</v>
      </c>
      <c r="F65" s="547">
        <f t="shared" si="3"/>
        <v>0</v>
      </c>
      <c r="G65" s="219"/>
      <c r="H65" s="241"/>
    </row>
    <row r="66" spans="1:8">
      <c r="A66" s="69" t="s">
        <v>518</v>
      </c>
      <c r="B66" s="70" t="s">
        <v>512</v>
      </c>
      <c r="C66" s="234"/>
      <c r="D66" s="546"/>
      <c r="E66" s="368">
        <f>SUMIF('3b) List of Accruals'!$B$21:$B$82,'2a) YE Income &amp; Expenditure'!B66,'3b) List of Accruals'!$J$21:$J$82)</f>
        <v>0</v>
      </c>
      <c r="F66" s="547">
        <f t="shared" si="3"/>
        <v>0</v>
      </c>
      <c r="G66" s="219"/>
      <c r="H66" s="241"/>
    </row>
    <row r="67" spans="1:8">
      <c r="A67" s="69" t="s">
        <v>709</v>
      </c>
      <c r="B67" s="70" t="s">
        <v>710</v>
      </c>
      <c r="C67" s="234"/>
      <c r="D67" s="546"/>
      <c r="E67" s="368">
        <f>SUMIF('3b) List of Accruals'!$B$21:$B$82,'2a) YE Income &amp; Expenditure'!B67,'3b) List of Accruals'!$J$21:$J$82)</f>
        <v>0</v>
      </c>
      <c r="F67" s="547">
        <f t="shared" ref="F67" si="4">E67+D67</f>
        <v>0</v>
      </c>
      <c r="G67" s="219"/>
      <c r="H67" s="241"/>
    </row>
    <row r="68" spans="1:8">
      <c r="A68" s="69" t="s">
        <v>65</v>
      </c>
      <c r="B68" s="70" t="s">
        <v>66</v>
      </c>
      <c r="C68" s="234"/>
      <c r="D68" s="546"/>
      <c r="E68" s="368">
        <f>SUMIF('3b) List of Accruals'!$B$21:$B$82,'2a) YE Income &amp; Expenditure'!B68,'3b) List of Accruals'!$J$21:$J$82)</f>
        <v>0</v>
      </c>
      <c r="F68" s="547">
        <f t="shared" si="3"/>
        <v>0</v>
      </c>
      <c r="G68" s="219"/>
      <c r="H68" s="241"/>
    </row>
    <row r="69" spans="1:8">
      <c r="A69" s="69" t="s">
        <v>67</v>
      </c>
      <c r="B69" s="70" t="s">
        <v>68</v>
      </c>
      <c r="C69" s="234"/>
      <c r="D69" s="546"/>
      <c r="E69" s="368">
        <f>SUMIF('3b) List of Accruals'!$B$21:$B$82,'2a) YE Income &amp; Expenditure'!B69,'3b) List of Accruals'!$J$21:$J$82)</f>
        <v>0</v>
      </c>
      <c r="F69" s="547">
        <f t="shared" si="1"/>
        <v>0</v>
      </c>
      <c r="G69" s="219"/>
      <c r="H69" s="241"/>
    </row>
    <row r="70" spans="1:8">
      <c r="A70" s="69" t="s">
        <v>69</v>
      </c>
      <c r="B70" s="70" t="s">
        <v>70</v>
      </c>
      <c r="C70" s="234"/>
      <c r="D70" s="546"/>
      <c r="E70" s="368">
        <f>SUMIF('3b) List of Accruals'!$B$21:$B$82,'2a) YE Income &amp; Expenditure'!B70,'3b) List of Accruals'!$J$21:$J$82)</f>
        <v>0</v>
      </c>
      <c r="F70" s="547">
        <f t="shared" si="1"/>
        <v>0</v>
      </c>
      <c r="G70" s="219"/>
      <c r="H70" s="241"/>
    </row>
    <row r="71" spans="1:8">
      <c r="A71" s="69" t="s">
        <v>71</v>
      </c>
      <c r="B71" s="70" t="s">
        <v>72</v>
      </c>
      <c r="C71" s="234"/>
      <c r="D71" s="546"/>
      <c r="E71" s="368">
        <f>SUMIF('3b) List of Accruals'!$B$21:$B$82,'2a) YE Income &amp; Expenditure'!B71,'3b) List of Accruals'!$J$21:$J$82)</f>
        <v>0</v>
      </c>
      <c r="F71" s="547">
        <f t="shared" si="1"/>
        <v>0</v>
      </c>
      <c r="G71" s="219"/>
      <c r="H71" s="241"/>
    </row>
    <row r="72" spans="1:8">
      <c r="A72" s="69" t="s">
        <v>73</v>
      </c>
      <c r="B72" s="70" t="s">
        <v>74</v>
      </c>
      <c r="C72" s="234"/>
      <c r="D72" s="546"/>
      <c r="E72" s="368">
        <f>SUMIF('3b) List of Accruals'!$B$21:$B$82,'2a) YE Income &amp; Expenditure'!B72,'3b) List of Accruals'!$J$21:$J$82)</f>
        <v>0</v>
      </c>
      <c r="F72" s="547">
        <f t="shared" si="1"/>
        <v>0</v>
      </c>
      <c r="G72" s="219"/>
      <c r="H72" s="241"/>
    </row>
    <row r="73" spans="1:8">
      <c r="A73" s="69" t="s">
        <v>75</v>
      </c>
      <c r="B73" s="70" t="s">
        <v>76</v>
      </c>
      <c r="C73" s="234"/>
      <c r="D73" s="546"/>
      <c r="E73" s="368">
        <f>SUMIF('3b) List of Accruals'!$B$21:$B$82,'2a) YE Income &amp; Expenditure'!B73,'3b) List of Accruals'!$J$21:$J$82)</f>
        <v>0</v>
      </c>
      <c r="F73" s="547">
        <f t="shared" si="1"/>
        <v>0</v>
      </c>
      <c r="G73" s="219"/>
      <c r="H73" s="241"/>
    </row>
    <row r="74" spans="1:8">
      <c r="A74" s="69" t="s">
        <v>77</v>
      </c>
      <c r="B74" s="70" t="s">
        <v>78</v>
      </c>
      <c r="C74" s="234"/>
      <c r="D74" s="546"/>
      <c r="E74" s="368">
        <f>SUMIF('3b) List of Accruals'!$B$21:$B$82,'2a) YE Income &amp; Expenditure'!B74,'3b) List of Accruals'!$J$21:$J$82)</f>
        <v>0</v>
      </c>
      <c r="F74" s="547">
        <f t="shared" si="1"/>
        <v>0</v>
      </c>
      <c r="G74" s="219"/>
      <c r="H74" s="241"/>
    </row>
    <row r="75" spans="1:8">
      <c r="A75" s="69" t="s">
        <v>79</v>
      </c>
      <c r="B75" s="70" t="s">
        <v>229</v>
      </c>
      <c r="C75" s="234"/>
      <c r="D75" s="546"/>
      <c r="E75" s="368">
        <f>SUMIF('3b) List of Accruals'!$B$21:$B$82,'2a) YE Income &amp; Expenditure'!B75,'3b) List of Accruals'!$J$21:$J$82)</f>
        <v>0</v>
      </c>
      <c r="F75" s="547">
        <f t="shared" si="1"/>
        <v>0</v>
      </c>
      <c r="G75" s="219"/>
      <c r="H75" s="241"/>
    </row>
    <row r="76" spans="1:8">
      <c r="A76" s="69" t="s">
        <v>80</v>
      </c>
      <c r="B76" s="70" t="s">
        <v>230</v>
      </c>
      <c r="C76" s="234"/>
      <c r="D76" s="546"/>
      <c r="E76" s="368">
        <f>SUMIF('3b) List of Accruals'!$B$21:$B$82,'2a) YE Income &amp; Expenditure'!B76,'3b) List of Accruals'!$J$21:$J$82)</f>
        <v>0</v>
      </c>
      <c r="F76" s="547">
        <f t="shared" si="1"/>
        <v>0</v>
      </c>
      <c r="G76" s="219"/>
      <c r="H76" s="241"/>
    </row>
    <row r="77" spans="1:8">
      <c r="A77" s="69" t="s">
        <v>81</v>
      </c>
      <c r="B77" s="70" t="s">
        <v>82</v>
      </c>
      <c r="C77" s="234"/>
      <c r="D77" s="546"/>
      <c r="E77" s="368">
        <f>SUMIF('3b) List of Accruals'!$B$21:$B$82,'2a) YE Income &amp; Expenditure'!B77,'3b) List of Accruals'!$J$21:$J$82)</f>
        <v>0</v>
      </c>
      <c r="F77" s="547">
        <f t="shared" si="1"/>
        <v>0</v>
      </c>
      <c r="G77" s="219"/>
      <c r="H77" s="241"/>
    </row>
    <row r="78" spans="1:8">
      <c r="A78" s="69" t="s">
        <v>83</v>
      </c>
      <c r="B78" s="70" t="s">
        <v>84</v>
      </c>
      <c r="C78" s="234"/>
      <c r="D78" s="546"/>
      <c r="E78" s="368">
        <f>SUMIF('3b) List of Accruals'!$B$21:$B$82,'2a) YE Income &amp; Expenditure'!B78,'3b) List of Accruals'!$J$21:$J$82)</f>
        <v>0</v>
      </c>
      <c r="F78" s="547">
        <f t="shared" si="1"/>
        <v>0</v>
      </c>
      <c r="G78" s="219"/>
      <c r="H78" s="241"/>
    </row>
    <row r="79" spans="1:8">
      <c r="A79" s="69" t="s">
        <v>104</v>
      </c>
      <c r="B79" s="70" t="s">
        <v>106</v>
      </c>
      <c r="C79" s="234"/>
      <c r="D79" s="546"/>
      <c r="E79" s="368">
        <f>SUMIF('3b) List of Accruals'!$B$21:$B$82,'2a) YE Income &amp; Expenditure'!B79,'3b) List of Accruals'!$J$21:$J$82)</f>
        <v>0</v>
      </c>
      <c r="F79" s="547">
        <f t="shared" si="1"/>
        <v>0</v>
      </c>
      <c r="G79" s="219"/>
      <c r="H79" s="241"/>
    </row>
    <row r="80" spans="1:8" ht="15" thickBot="1">
      <c r="A80" s="71" t="s">
        <v>105</v>
      </c>
      <c r="B80" s="72" t="s">
        <v>107</v>
      </c>
      <c r="C80" s="234"/>
      <c r="D80" s="546"/>
      <c r="E80" s="368">
        <f>SUMIF('3b) List of Accruals'!$B$21:$B$82,'2a) YE Income &amp; Expenditure'!B80,'3b) List of Accruals'!$J$21:$J$82)</f>
        <v>0</v>
      </c>
      <c r="F80" s="547">
        <f>E80+D80</f>
        <v>0</v>
      </c>
      <c r="G80" s="219"/>
      <c r="H80" s="241"/>
    </row>
    <row r="81" spans="1:8" ht="15" thickBot="1">
      <c r="A81" s="242" t="s">
        <v>85</v>
      </c>
      <c r="B81" s="243"/>
      <c r="C81" s="234"/>
      <c r="D81" s="548">
        <f>SUM(D41:D80)</f>
        <v>0</v>
      </c>
      <c r="E81" s="548">
        <f>SUM(E41:E80)</f>
        <v>0</v>
      </c>
      <c r="F81" s="548">
        <f>SUM(F41:F80)</f>
        <v>0</v>
      </c>
      <c r="G81" s="222"/>
      <c r="H81" s="223"/>
    </row>
    <row r="82" spans="1:8" ht="15" thickBot="1">
      <c r="C82" s="234"/>
      <c r="D82" s="224"/>
      <c r="E82" s="224"/>
      <c r="F82" s="224"/>
    </row>
    <row r="83" spans="1:8" ht="15" thickBot="1">
      <c r="A83" s="244" t="s">
        <v>243</v>
      </c>
      <c r="B83" s="245"/>
      <c r="C83" s="234"/>
      <c r="D83" s="549">
        <f>D37-D81</f>
        <v>0</v>
      </c>
      <c r="E83" s="549">
        <f>E37-E81</f>
        <v>0</v>
      </c>
      <c r="F83" s="549">
        <f>F37-F81</f>
        <v>0</v>
      </c>
      <c r="G83" s="75"/>
    </row>
    <row r="84" spans="1:8" ht="19.5" customHeight="1">
      <c r="A84" s="83"/>
      <c r="C84" s="234"/>
      <c r="D84" s="225"/>
      <c r="E84" s="225"/>
      <c r="F84" s="225"/>
      <c r="G84" s="225"/>
    </row>
    <row r="85" spans="1:8" ht="19.5" customHeight="1">
      <c r="A85" s="84" t="s">
        <v>234</v>
      </c>
      <c r="C85" s="234"/>
      <c r="D85" s="225"/>
      <c r="E85" s="225"/>
      <c r="F85" s="225"/>
      <c r="G85" s="225"/>
    </row>
    <row r="86" spans="1:8">
      <c r="A86" s="83" t="s">
        <v>304</v>
      </c>
      <c r="B86" s="97" t="s">
        <v>2</v>
      </c>
      <c r="C86" s="234"/>
      <c r="D86" s="225"/>
      <c r="E86" s="225"/>
      <c r="F86" s="46" t="s">
        <v>282</v>
      </c>
      <c r="G86" s="225"/>
    </row>
    <row r="87" spans="1:8">
      <c r="A87" s="69" t="s">
        <v>235</v>
      </c>
      <c r="B87" s="70" t="s">
        <v>231</v>
      </c>
      <c r="C87" s="234"/>
      <c r="D87" s="225"/>
      <c r="E87" s="225"/>
      <c r="F87" s="547">
        <f>'2b) Q4 Budget monitoring report'!D88</f>
        <v>0</v>
      </c>
      <c r="G87" s="225"/>
    </row>
    <row r="88" spans="1:8" ht="15" thickBot="1">
      <c r="A88" s="69" t="s">
        <v>236</v>
      </c>
      <c r="B88" s="70" t="s">
        <v>233</v>
      </c>
      <c r="C88" s="234"/>
      <c r="D88" s="225"/>
      <c r="E88" s="225"/>
      <c r="F88" s="550">
        <f>'2b) Q4 Budget monitoring report'!D89</f>
        <v>0</v>
      </c>
      <c r="G88" s="225"/>
    </row>
    <row r="89" spans="1:8" ht="15" thickBot="1">
      <c r="A89" s="246" t="s">
        <v>315</v>
      </c>
      <c r="B89" s="247" t="s">
        <v>247</v>
      </c>
      <c r="C89" s="234"/>
      <c r="D89" s="225"/>
      <c r="E89" s="225"/>
      <c r="F89" s="549">
        <f>F88+F87</f>
        <v>0</v>
      </c>
      <c r="G89" s="225"/>
    </row>
    <row r="90" spans="1:8">
      <c r="A90" s="83"/>
      <c r="C90" s="234"/>
      <c r="D90" s="225"/>
      <c r="E90" s="225"/>
      <c r="F90" s="225"/>
      <c r="G90" s="225"/>
    </row>
    <row r="91" spans="1:8">
      <c r="A91" s="83" t="s">
        <v>237</v>
      </c>
      <c r="B91" s="97" t="s">
        <v>2</v>
      </c>
      <c r="C91" s="234"/>
      <c r="D91" s="225"/>
      <c r="E91" s="225"/>
      <c r="F91" s="226" t="s">
        <v>305</v>
      </c>
      <c r="G91" s="225"/>
    </row>
    <row r="92" spans="1:8">
      <c r="A92" s="69" t="s">
        <v>238</v>
      </c>
      <c r="B92" s="70" t="s">
        <v>271</v>
      </c>
      <c r="C92" s="234"/>
      <c r="D92" s="225"/>
      <c r="E92" s="225"/>
      <c r="F92" s="551">
        <f>F37-F31-F32-F81+F79+F80+F87</f>
        <v>0</v>
      </c>
      <c r="H92" s="225"/>
    </row>
    <row r="93" spans="1:8" ht="15" thickBot="1">
      <c r="A93" s="69" t="s">
        <v>239</v>
      </c>
      <c r="B93" s="70" t="s">
        <v>270</v>
      </c>
      <c r="C93" s="234"/>
      <c r="D93" s="225"/>
      <c r="E93" s="225"/>
      <c r="F93" s="552">
        <f>F31+F32-F79-F80+F88</f>
        <v>0</v>
      </c>
      <c r="H93" s="225"/>
    </row>
    <row r="94" spans="1:8" ht="15" thickBot="1">
      <c r="A94" s="246" t="s">
        <v>248</v>
      </c>
      <c r="B94" s="247" t="s">
        <v>272</v>
      </c>
      <c r="C94" s="234"/>
      <c r="D94" s="225"/>
      <c r="E94" s="225"/>
      <c r="F94" s="549">
        <f>F93+F92</f>
        <v>0</v>
      </c>
      <c r="H94" s="225"/>
    </row>
    <row r="95" spans="1:8">
      <c r="A95" s="89"/>
      <c r="B95" s="90"/>
      <c r="C95" s="234"/>
      <c r="D95" s="225"/>
      <c r="E95" s="225"/>
      <c r="H95" s="225"/>
    </row>
    <row r="96" spans="1:8">
      <c r="A96" s="83"/>
      <c r="C96" s="234"/>
      <c r="D96" s="225"/>
      <c r="E96" s="225"/>
      <c r="F96" s="225"/>
      <c r="G96" s="225"/>
    </row>
    <row r="97" spans="1:8">
      <c r="A97" s="84" t="s">
        <v>240</v>
      </c>
      <c r="C97" s="234"/>
      <c r="D97" s="225"/>
      <c r="E97" s="225"/>
      <c r="F97" s="225"/>
      <c r="G97" s="225"/>
    </row>
    <row r="98" spans="1:8" ht="72">
      <c r="A98" s="58" t="s">
        <v>241</v>
      </c>
      <c r="B98" s="59"/>
      <c r="C98" s="234"/>
      <c r="D98" s="46" t="str">
        <f>D13</f>
        <v>2024-25 Year-to-date actuals (System Reports) 
(GROSSED UP FOR DE-DELEGATIONS BUT BEFORE ACCRUALS)</v>
      </c>
      <c r="E98" s="46" t="str">
        <f>E13</f>
        <v>2024-25 Year End Adjustments
(Accruals) 
From 3b) List of Accruals Tab</v>
      </c>
      <c r="F98" s="46" t="str">
        <f>F13</f>
        <v>2024-25 Final Outturn Total</v>
      </c>
      <c r="G98" s="31"/>
      <c r="H98" s="46" t="s">
        <v>300</v>
      </c>
    </row>
    <row r="99" spans="1:8">
      <c r="A99" s="58"/>
      <c r="B99" s="59"/>
      <c r="C99" s="234"/>
      <c r="D99" s="46" t="s">
        <v>301</v>
      </c>
      <c r="E99" s="46" t="s">
        <v>302</v>
      </c>
      <c r="F99" s="46" t="s">
        <v>303</v>
      </c>
      <c r="G99" s="31"/>
      <c r="H99" s="216"/>
    </row>
    <row r="100" spans="1:8">
      <c r="A100" s="61" t="s">
        <v>86</v>
      </c>
      <c r="B100" s="97" t="s">
        <v>2</v>
      </c>
      <c r="C100" s="234"/>
      <c r="D100" s="217" t="s">
        <v>3</v>
      </c>
      <c r="E100" s="218" t="s">
        <v>3</v>
      </c>
      <c r="F100" s="96" t="s">
        <v>3</v>
      </c>
      <c r="G100" s="67"/>
      <c r="H100" s="93"/>
    </row>
    <row r="101" spans="1:8">
      <c r="A101" s="69" t="s">
        <v>87</v>
      </c>
      <c r="B101" s="70" t="s">
        <v>89</v>
      </c>
      <c r="C101" s="234"/>
      <c r="D101" s="546"/>
      <c r="E101" s="368">
        <f>SUMIF('3b) List of Accruals'!$B$21:$B$82,'2a) YE Income &amp; Expenditure'!B101,'3b) List of Accruals'!$J$21:$J$82)</f>
        <v>0</v>
      </c>
      <c r="F101" s="547">
        <f>E101+D101</f>
        <v>0</v>
      </c>
      <c r="G101" s="219"/>
      <c r="H101" s="220"/>
    </row>
    <row r="102" spans="1:8">
      <c r="A102" s="69" t="s">
        <v>88</v>
      </c>
      <c r="B102" s="70" t="s">
        <v>90</v>
      </c>
      <c r="C102" s="234"/>
      <c r="D102" s="546"/>
      <c r="E102" s="368">
        <f>SUMIF('3b) List of Accruals'!$B$21:$B$82,'2a) YE Income &amp; Expenditure'!B102,'3b) List of Accruals'!$J$21:$J$82)</f>
        <v>0</v>
      </c>
      <c r="F102" s="547">
        <f>E102+D102</f>
        <v>0</v>
      </c>
      <c r="G102" s="219"/>
      <c r="H102" s="220"/>
    </row>
    <row r="103" spans="1:8" ht="15" thickBot="1">
      <c r="A103" s="69" t="s">
        <v>263</v>
      </c>
      <c r="B103" s="70" t="s">
        <v>91</v>
      </c>
      <c r="C103" s="234"/>
      <c r="D103" s="553"/>
      <c r="E103" s="368">
        <f>SUMIF('3b) List of Accruals'!$B$21:$B$82,'2a) YE Income &amp; Expenditure'!B103,'3b) List of Accruals'!$J$21:$J$82)</f>
        <v>0</v>
      </c>
      <c r="F103" s="547">
        <f>E103+D103</f>
        <v>0</v>
      </c>
      <c r="G103" s="219"/>
      <c r="H103" s="220"/>
    </row>
    <row r="104" spans="1:8" ht="15" thickBot="1">
      <c r="A104" s="248" t="s">
        <v>108</v>
      </c>
      <c r="B104" s="227"/>
      <c r="C104" s="234"/>
      <c r="D104" s="554">
        <f>SUM(D101:D103)</f>
        <v>0</v>
      </c>
      <c r="E104" s="554">
        <f>SUM(E101:E103)</f>
        <v>0</v>
      </c>
      <c r="F104" s="554">
        <f>SUM(F101:F103)</f>
        <v>0</v>
      </c>
      <c r="G104" s="222"/>
    </row>
    <row r="105" spans="1:8">
      <c r="C105" s="234"/>
      <c r="D105" s="224"/>
      <c r="E105" s="224"/>
      <c r="F105" s="224"/>
    </row>
    <row r="106" spans="1:8">
      <c r="A106" s="61" t="s">
        <v>95</v>
      </c>
      <c r="B106" s="95" t="s">
        <v>2</v>
      </c>
      <c r="C106" s="234"/>
      <c r="D106" s="249" t="s">
        <v>3</v>
      </c>
      <c r="E106" s="249" t="s">
        <v>3</v>
      </c>
      <c r="F106" s="250" t="s">
        <v>3</v>
      </c>
      <c r="G106" s="50"/>
      <c r="H106" s="93"/>
    </row>
    <row r="107" spans="1:8">
      <c r="A107" s="69" t="s">
        <v>92</v>
      </c>
      <c r="B107" s="70" t="s">
        <v>96</v>
      </c>
      <c r="C107" s="234"/>
      <c r="D107" s="546"/>
      <c r="E107" s="368">
        <f>SUMIF('3b) List of Accruals'!$B$21:$B$82,'2a) YE Income &amp; Expenditure'!B107,'3b) List of Accruals'!$J$21:$J$82)</f>
        <v>0</v>
      </c>
      <c r="F107" s="547">
        <f>E107+D107</f>
        <v>0</v>
      </c>
      <c r="G107" s="219"/>
      <c r="H107" s="220"/>
    </row>
    <row r="108" spans="1:8">
      <c r="A108" s="69" t="s">
        <v>93</v>
      </c>
      <c r="B108" s="70" t="s">
        <v>97</v>
      </c>
      <c r="C108" s="234"/>
      <c r="D108" s="546"/>
      <c r="E108" s="368">
        <f>SUMIF('3b) List of Accruals'!$B$21:$B$82,'2a) YE Income &amp; Expenditure'!B108,'3b) List of Accruals'!$J$21:$J$82)</f>
        <v>0</v>
      </c>
      <c r="F108" s="547">
        <f>E108+D108</f>
        <v>0</v>
      </c>
      <c r="G108" s="219"/>
      <c r="H108" s="220"/>
    </row>
    <row r="109" spans="1:8">
      <c r="A109" s="69" t="s">
        <v>94</v>
      </c>
      <c r="B109" s="70" t="s">
        <v>98</v>
      </c>
      <c r="C109" s="234"/>
      <c r="D109" s="546"/>
      <c r="E109" s="368">
        <f>SUMIF('3b) List of Accruals'!$B$21:$B$82,'2a) YE Income &amp; Expenditure'!B109,'3b) List of Accruals'!$J$21:$J$82)</f>
        <v>0</v>
      </c>
      <c r="F109" s="547">
        <f>E109+D109</f>
        <v>0</v>
      </c>
      <c r="G109" s="219"/>
      <c r="H109" s="220"/>
    </row>
    <row r="110" spans="1:8">
      <c r="A110" s="510" t="s">
        <v>704</v>
      </c>
      <c r="B110" s="511" t="s">
        <v>99</v>
      </c>
      <c r="C110" s="234"/>
      <c r="D110" s="555"/>
      <c r="E110" s="368">
        <f>SUMIF('3b) List of Accruals'!$B$21:$B$82,'2a) YE Income &amp; Expenditure'!B110,'3b) List of Accruals'!$J$21:$J$82)</f>
        <v>0</v>
      </c>
      <c r="F110" s="547">
        <f>E110+D110</f>
        <v>0</v>
      </c>
      <c r="G110" s="219"/>
      <c r="H110" s="220"/>
    </row>
    <row r="111" spans="1:8">
      <c r="A111" s="71" t="s">
        <v>524</v>
      </c>
      <c r="B111" s="72" t="s">
        <v>519</v>
      </c>
      <c r="C111" s="234"/>
      <c r="D111" s="555"/>
      <c r="E111" s="368">
        <f>SUMIF('3b) List of Accruals'!$B$21:$B$82,'2a) YE Income &amp; Expenditure'!B111,'3b) List of Accruals'!$J$21:$J$82)</f>
        <v>0</v>
      </c>
      <c r="F111" s="547">
        <f t="shared" ref="F111:F115" si="5">E111+D111</f>
        <v>0</v>
      </c>
      <c r="G111" s="219"/>
      <c r="H111" s="220"/>
    </row>
    <row r="112" spans="1:8">
      <c r="A112" s="71" t="s">
        <v>525</v>
      </c>
      <c r="B112" s="72" t="s">
        <v>520</v>
      </c>
      <c r="C112" s="234"/>
      <c r="D112" s="555"/>
      <c r="E112" s="368">
        <f>SUMIF('3b) List of Accruals'!$B$21:$B$82,'2a) YE Income &amp; Expenditure'!B112,'3b) List of Accruals'!$J$21:$J$82)</f>
        <v>0</v>
      </c>
      <c r="F112" s="547">
        <f t="shared" si="5"/>
        <v>0</v>
      </c>
      <c r="G112" s="219"/>
      <c r="H112" s="220"/>
    </row>
    <row r="113" spans="1:8">
      <c r="A113" s="71" t="s">
        <v>526</v>
      </c>
      <c r="B113" s="72" t="s">
        <v>521</v>
      </c>
      <c r="C113" s="234"/>
      <c r="D113" s="555"/>
      <c r="E113" s="368">
        <f>SUMIF('3b) List of Accruals'!$B$21:$B$82,'2a) YE Income &amp; Expenditure'!B113,'3b) List of Accruals'!$J$21:$J$82)</f>
        <v>0</v>
      </c>
      <c r="F113" s="547">
        <f t="shared" si="5"/>
        <v>0</v>
      </c>
      <c r="G113" s="219"/>
      <c r="H113" s="220"/>
    </row>
    <row r="114" spans="1:8">
      <c r="A114" s="71" t="s">
        <v>527</v>
      </c>
      <c r="B114" s="72" t="s">
        <v>522</v>
      </c>
      <c r="C114" s="234"/>
      <c r="D114" s="555"/>
      <c r="E114" s="368">
        <f>SUMIF('3b) List of Accruals'!$B$21:$B$82,'2a) YE Income &amp; Expenditure'!B114,'3b) List of Accruals'!$J$21:$J$82)</f>
        <v>0</v>
      </c>
      <c r="F114" s="547">
        <f t="shared" si="5"/>
        <v>0</v>
      </c>
      <c r="G114" s="219"/>
      <c r="H114" s="220"/>
    </row>
    <row r="115" spans="1:8" ht="15" thickBot="1">
      <c r="A115" s="71" t="s">
        <v>528</v>
      </c>
      <c r="B115" s="72" t="s">
        <v>523</v>
      </c>
      <c r="C115" s="234"/>
      <c r="D115" s="555"/>
      <c r="E115" s="368">
        <f>SUMIF('3b) List of Accruals'!$B$21:$B$82,'2a) YE Income &amp; Expenditure'!B115,'3b) List of Accruals'!$J$21:$J$82)</f>
        <v>0</v>
      </c>
      <c r="F115" s="547">
        <f t="shared" si="5"/>
        <v>0</v>
      </c>
      <c r="G115" s="219"/>
      <c r="H115" s="220"/>
    </row>
    <row r="116" spans="1:8" ht="15" thickBot="1">
      <c r="A116" s="251" t="s">
        <v>109</v>
      </c>
      <c r="B116" s="252"/>
      <c r="C116" s="234"/>
      <c r="D116" s="554">
        <f>SUM(D107:D115)</f>
        <v>0</v>
      </c>
      <c r="E116" s="554">
        <f>SUM(E107:E115)</f>
        <v>0</v>
      </c>
      <c r="F116" s="554">
        <f>SUM(F107:F115)</f>
        <v>0</v>
      </c>
      <c r="G116" s="222"/>
    </row>
    <row r="117" spans="1:8" ht="15" thickBot="1">
      <c r="A117" s="94"/>
      <c r="C117" s="234"/>
      <c r="D117" s="224"/>
      <c r="E117" s="224"/>
      <c r="F117" s="224"/>
      <c r="G117" s="225"/>
    </row>
    <row r="118" spans="1:8" ht="15" thickBot="1">
      <c r="A118" s="253" t="s">
        <v>244</v>
      </c>
      <c r="B118" s="254"/>
      <c r="C118" s="234"/>
      <c r="D118" s="554">
        <f>D104-D116</f>
        <v>0</v>
      </c>
      <c r="E118" s="554">
        <f>E104-E116</f>
        <v>0</v>
      </c>
      <c r="F118" s="554">
        <f>F104-F116</f>
        <v>0</v>
      </c>
      <c r="G118" s="228"/>
    </row>
    <row r="119" spans="1:8">
      <c r="A119" s="83"/>
      <c r="C119" s="234"/>
      <c r="D119" s="225"/>
      <c r="E119" s="225"/>
      <c r="F119" s="225"/>
      <c r="G119" s="225"/>
    </row>
    <row r="120" spans="1:8">
      <c r="A120" s="84" t="s">
        <v>242</v>
      </c>
      <c r="C120" s="234"/>
      <c r="D120" s="225"/>
      <c r="E120" s="225"/>
      <c r="F120" s="225"/>
      <c r="G120" s="225"/>
    </row>
    <row r="121" spans="1:8">
      <c r="A121" s="83"/>
      <c r="C121" s="234"/>
      <c r="D121" s="225"/>
      <c r="E121" s="225"/>
      <c r="F121" s="225"/>
      <c r="G121" s="225"/>
    </row>
    <row r="122" spans="1:8" ht="29.4" thickBot="1">
      <c r="A122" s="83" t="s">
        <v>304</v>
      </c>
      <c r="B122" s="97" t="s">
        <v>2</v>
      </c>
      <c r="C122" s="234"/>
      <c r="D122" s="225"/>
      <c r="E122" s="225"/>
      <c r="F122" s="226" t="str" cm="1">
        <f t="array" ref="F122">"Opening capital balance "&amp;'1) Instructions'!I8:I8</f>
        <v>Opening capital balance 2024-25</v>
      </c>
      <c r="G122" s="225"/>
    </row>
    <row r="123" spans="1:8" ht="15" thickBot="1">
      <c r="A123" s="255" t="s">
        <v>246</v>
      </c>
      <c r="B123" s="256" t="s">
        <v>232</v>
      </c>
      <c r="C123" s="234"/>
      <c r="D123" s="225"/>
      <c r="E123" s="225"/>
      <c r="F123" s="554" t="str">
        <f>'2b) Q4 Budget monitoring report'!D122</f>
        <v/>
      </c>
      <c r="G123" s="225"/>
    </row>
    <row r="124" spans="1:8">
      <c r="A124" s="83"/>
      <c r="C124" s="234"/>
      <c r="D124" s="225"/>
      <c r="E124" s="225"/>
      <c r="F124" s="225"/>
      <c r="G124" s="225"/>
    </row>
    <row r="125" spans="1:8" ht="43.8" thickBot="1">
      <c r="A125" s="83" t="s">
        <v>237</v>
      </c>
      <c r="B125" s="97" t="s">
        <v>2</v>
      </c>
      <c r="C125" s="234"/>
      <c r="D125" s="225"/>
      <c r="E125" s="225"/>
      <c r="F125" s="226" t="str" cm="1">
        <f t="array" ref="F125">'1) Instructions'!I8:I8&amp;" Year End Capital Balances incl. accruals"</f>
        <v>2024-25 Year End Capital Balances incl. accruals</v>
      </c>
      <c r="G125" s="225"/>
    </row>
    <row r="126" spans="1:8" ht="15" thickBot="1">
      <c r="A126" s="255" t="s">
        <v>245</v>
      </c>
      <c r="B126" s="256" t="s">
        <v>273</v>
      </c>
      <c r="C126" s="234"/>
      <c r="D126" s="225"/>
      <c r="E126" s="225"/>
      <c r="F126" s="554" t="e">
        <f>F123+F118</f>
        <v>#VALUE!</v>
      </c>
      <c r="G126" s="225"/>
    </row>
    <row r="127" spans="1:8">
      <c r="A127" s="83"/>
      <c r="C127" s="234"/>
      <c r="D127" s="225"/>
      <c r="E127" s="225"/>
      <c r="F127" s="225"/>
      <c r="G127" s="225"/>
    </row>
    <row r="128" spans="1:8">
      <c r="A128" s="83"/>
      <c r="C128" s="234"/>
      <c r="D128" s="225"/>
      <c r="E128" s="225"/>
      <c r="F128" s="225"/>
      <c r="G128" s="225"/>
    </row>
    <row r="129" spans="1:7">
      <c r="A129" s="98"/>
      <c r="B129" s="98"/>
      <c r="C129" s="234"/>
      <c r="D129" s="225"/>
      <c r="E129" s="225"/>
      <c r="F129" s="99" t="s">
        <v>285</v>
      </c>
      <c r="G129" s="225"/>
    </row>
    <row r="130" spans="1:7">
      <c r="A130" s="83"/>
      <c r="B130" s="98" t="s">
        <v>308</v>
      </c>
      <c r="C130" s="234"/>
      <c r="D130" s="225"/>
      <c r="E130" s="225"/>
      <c r="F130" s="551">
        <f>F94</f>
        <v>0</v>
      </c>
      <c r="G130" s="225"/>
    </row>
    <row r="131" spans="1:7" ht="15" thickBot="1">
      <c r="A131" s="83"/>
      <c r="B131" s="98" t="s">
        <v>309</v>
      </c>
      <c r="C131" s="234"/>
      <c r="D131" s="225"/>
      <c r="E131" s="225"/>
      <c r="F131" s="552" t="e">
        <f>F126</f>
        <v>#VALUE!</v>
      </c>
      <c r="G131" s="225"/>
    </row>
    <row r="132" spans="1:7" ht="15" thickBot="1">
      <c r="A132" s="83"/>
      <c r="B132" s="98" t="s">
        <v>310</v>
      </c>
      <c r="C132" s="234"/>
      <c r="D132" s="225"/>
      <c r="E132" s="225"/>
      <c r="F132" s="556" t="e">
        <f>F130+F131</f>
        <v>#VALUE!</v>
      </c>
      <c r="G132" s="225"/>
    </row>
    <row r="133" spans="1:7">
      <c r="A133" s="83"/>
      <c r="B133" s="98"/>
      <c r="C133" s="234"/>
      <c r="D133" s="225"/>
      <c r="E133" s="225"/>
      <c r="F133" s="225"/>
      <c r="G133" s="225"/>
    </row>
    <row r="134" spans="1:7">
      <c r="A134" s="83"/>
      <c r="B134" s="98"/>
      <c r="C134" s="234"/>
      <c r="D134" s="225"/>
      <c r="E134" s="225"/>
      <c r="F134" s="225"/>
      <c r="G134" s="225"/>
    </row>
    <row r="135" spans="1:7">
      <c r="A135" s="83"/>
      <c r="B135" s="98"/>
      <c r="C135" s="234"/>
      <c r="D135" s="225"/>
      <c r="E135" s="225"/>
      <c r="F135" s="225"/>
      <c r="G135" s="225"/>
    </row>
    <row r="136" spans="1:7">
      <c r="C136" s="234"/>
    </row>
    <row r="137" spans="1:7">
      <c r="C137" s="234"/>
    </row>
    <row r="138" spans="1:7">
      <c r="A138" s="89" t="str" cm="1">
        <f t="array" ref="A138">"I certify that the figures above agree to our financial system's figures for "&amp;'1) Instructions'!I8:I8</f>
        <v>I certify that the figures above agree to our financial system's figures for 2024-25</v>
      </c>
    </row>
    <row r="139" spans="1:7">
      <c r="A139" s="89"/>
    </row>
    <row r="141" spans="1:7" ht="15" customHeight="1">
      <c r="A141" s="627" t="s">
        <v>110</v>
      </c>
      <c r="B141" s="257"/>
      <c r="C141" s="258"/>
      <c r="D141" s="258"/>
      <c r="E141" s="258"/>
      <c r="F141" s="258"/>
      <c r="G141" s="259"/>
    </row>
    <row r="142" spans="1:7" ht="15" customHeight="1">
      <c r="A142" s="628"/>
      <c r="B142" s="260"/>
      <c r="C142" s="261"/>
      <c r="D142" s="261"/>
      <c r="E142" s="261"/>
      <c r="F142" s="261"/>
      <c r="G142" s="262"/>
    </row>
    <row r="144" spans="1:7" ht="15" customHeight="1">
      <c r="A144" s="627" t="s">
        <v>111</v>
      </c>
      <c r="B144" s="263"/>
      <c r="C144" s="264"/>
      <c r="D144" s="264"/>
      <c r="E144" s="264"/>
      <c r="F144" s="264"/>
      <c r="G144" s="265"/>
    </row>
    <row r="145" spans="1:7" ht="15" customHeight="1">
      <c r="A145" s="628"/>
      <c r="B145" s="266"/>
      <c r="C145" s="267"/>
      <c r="D145" s="267"/>
      <c r="E145" s="267"/>
      <c r="F145" s="267"/>
      <c r="G145" s="268"/>
    </row>
    <row r="147" spans="1:7" ht="15" customHeight="1">
      <c r="A147" s="627" t="s">
        <v>112</v>
      </c>
      <c r="B147" s="269" t="s">
        <v>114</v>
      </c>
      <c r="C147" s="270"/>
      <c r="D147" s="270"/>
      <c r="E147" s="270"/>
      <c r="F147" s="270"/>
      <c r="G147" s="271"/>
    </row>
    <row r="148" spans="1:7" ht="15" customHeight="1">
      <c r="A148" s="628"/>
      <c r="B148" s="272"/>
      <c r="C148" s="273"/>
      <c r="D148" s="273"/>
      <c r="E148" s="273"/>
      <c r="F148" s="273"/>
      <c r="G148" s="274"/>
    </row>
    <row r="150" spans="1:7" ht="15" customHeight="1">
      <c r="A150" s="627" t="s">
        <v>113</v>
      </c>
      <c r="B150" s="263"/>
      <c r="C150" s="264"/>
      <c r="D150" s="264"/>
      <c r="E150" s="264"/>
      <c r="F150" s="264"/>
      <c r="G150" s="265"/>
    </row>
    <row r="151" spans="1:7" ht="15" customHeight="1">
      <c r="A151" s="628"/>
      <c r="B151" s="266"/>
      <c r="C151" s="267"/>
      <c r="D151" s="267"/>
      <c r="E151" s="267"/>
      <c r="F151" s="267"/>
      <c r="G151" s="268"/>
    </row>
  </sheetData>
  <sheetProtection algorithmName="SHA-512" hashValue="DMcorpxJOUfllciwRHJZVIKAIqLggVXs131dn2vexNdYmUS15rsWqAwInL4kXQSfo6mlTx6HtZMMTAFP4E5sVA==" saltValue="Q80qCJQ71SUvP155SNA9Nw==" spinCount="100000" sheet="1" objects="1" scenarios="1"/>
  <mergeCells count="4">
    <mergeCell ref="A150:A151"/>
    <mergeCell ref="A141:A142"/>
    <mergeCell ref="A144:A145"/>
    <mergeCell ref="A147:A148"/>
  </mergeCells>
  <pageMargins left="0.7" right="0.7" top="0.75" bottom="0.75" header="0.3" footer="0.3"/>
  <pageSetup paperSize="9" scale="48" fitToHeight="0" orientation="landscape" r:id="rId1"/>
  <rowBreaks count="5" manualBreakCount="5">
    <brk id="38" max="16383" man="1"/>
    <brk id="84" max="16383" man="1"/>
    <brk id="95" max="16383" man="1"/>
    <brk id="127" max="16383" man="1"/>
    <brk id="1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>
    <tabColor rgb="FFFFFF00"/>
  </sheetPr>
  <dimension ref="A1"/>
  <sheetViews>
    <sheetView zoomScale="64" workbookViewId="0">
      <selection activeCell="J14" sqref="J14"/>
    </sheetView>
  </sheetViews>
  <sheetFormatPr defaultRowHeight="14.4"/>
  <sheetData>
    <row r="1" spans="1:1" ht="31.2">
      <c r="A1" s="317" t="s">
        <v>464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3">
    <tabColor rgb="FFFFFF00"/>
  </sheetPr>
  <dimension ref="A1"/>
  <sheetViews>
    <sheetView workbookViewId="0">
      <selection activeCell="G11" sqref="G11"/>
    </sheetView>
  </sheetViews>
  <sheetFormatPr defaultRowHeight="14.4"/>
  <sheetData>
    <row r="1" spans="1:1" ht="28.8">
      <c r="A1" s="344" t="s">
        <v>490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EEAAD-3D7E-4A18-A97F-B3B575A36EFA}">
  <sheetPr codeName="Sheet16">
    <pageSetUpPr fitToPage="1"/>
  </sheetPr>
  <dimension ref="A1:N146"/>
  <sheetViews>
    <sheetView showGridLines="0" zoomScale="80" zoomScaleNormal="80" zoomScaleSheetLayoutView="85" workbookViewId="0">
      <pane xSplit="2" ySplit="15" topLeftCell="C64" activePane="bottomRight" state="frozen"/>
      <selection pane="topRight" activeCell="C1" sqref="C1"/>
      <selection pane="bottomLeft" activeCell="A16" sqref="A16"/>
      <selection pane="bottomRight" activeCell="H67" sqref="H67"/>
    </sheetView>
  </sheetViews>
  <sheetFormatPr defaultRowHeight="14.4" outlineLevelCol="1"/>
  <cols>
    <col min="1" max="1" width="51" customWidth="1"/>
    <col min="2" max="2" width="15.44140625" customWidth="1"/>
    <col min="3" max="3" width="16.44140625" customWidth="1"/>
    <col min="4" max="5" width="16.44140625" customWidth="1" outlineLevel="1"/>
    <col min="6" max="6" width="16.44140625" customWidth="1"/>
    <col min="7" max="7" width="1.109375" customWidth="1"/>
    <col min="8" max="8" width="16.44140625" customWidth="1"/>
    <col min="9" max="9" width="1.5546875" customWidth="1"/>
    <col min="10" max="10" width="15.5546875" customWidth="1"/>
    <col min="11" max="11" width="8.6640625" customWidth="1"/>
    <col min="12" max="12" width="92.44140625" customWidth="1"/>
    <col min="14" max="14" width="9.109375" hidden="1" customWidth="1"/>
    <col min="15" max="15" width="0" hidden="1" customWidth="1"/>
  </cols>
  <sheetData>
    <row r="1" spans="1:14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N1" t="e">
        <f>VLOOKUP(C2,'Schools Data'!$D$4:$F$90,3,FALSE)</f>
        <v>#N/A</v>
      </c>
    </row>
    <row r="2" spans="1:14">
      <c r="A2" s="276" t="s">
        <v>120</v>
      </c>
      <c r="B2" s="276" t="s">
        <v>115</v>
      </c>
      <c r="C2" s="230">
        <f>'2a) YE Income &amp; Expenditure'!D2</f>
        <v>0</v>
      </c>
      <c r="E2" s="230"/>
      <c r="F2" s="230"/>
      <c r="G2" s="230"/>
      <c r="H2" s="230"/>
      <c r="I2" s="230"/>
      <c r="J2" s="230"/>
      <c r="K2" s="230"/>
      <c r="L2" s="275"/>
    </row>
    <row r="3" spans="1:14">
      <c r="A3" s="276"/>
      <c r="B3" s="276" t="s">
        <v>116</v>
      </c>
      <c r="C3" s="230" t="str">
        <f>'2a) YE Income &amp; Expenditure'!D3</f>
        <v>Please choose a school</v>
      </c>
      <c r="E3" s="17"/>
      <c r="F3" s="17"/>
      <c r="G3" s="17"/>
      <c r="H3" s="17"/>
      <c r="I3" s="17"/>
      <c r="J3" s="17"/>
      <c r="K3" s="17"/>
      <c r="L3" s="275"/>
    </row>
    <row r="4" spans="1:14">
      <c r="A4" s="276"/>
      <c r="B4" s="276" t="s">
        <v>117</v>
      </c>
      <c r="C4" s="230">
        <f>'2a) YE Income &amp; Expenditure'!D4</f>
        <v>0</v>
      </c>
      <c r="D4" s="17"/>
      <c r="E4" s="17"/>
      <c r="F4" s="17"/>
      <c r="G4" s="17"/>
      <c r="H4" s="17"/>
      <c r="I4" s="17"/>
      <c r="J4" s="17"/>
      <c r="K4" s="17"/>
      <c r="L4" s="275"/>
    </row>
    <row r="5" spans="1:14">
      <c r="A5" s="276"/>
      <c r="B5" s="276" t="s">
        <v>254</v>
      </c>
      <c r="C5" s="230">
        <f>'2a) YE Income &amp; Expenditure'!D5</f>
        <v>0</v>
      </c>
      <c r="E5" s="230"/>
      <c r="F5" s="230"/>
      <c r="G5" s="230"/>
      <c r="H5" s="230"/>
      <c r="I5" s="230"/>
      <c r="J5" s="230"/>
      <c r="K5" s="230"/>
      <c r="L5" s="275"/>
    </row>
    <row r="6" spans="1:14">
      <c r="A6" s="276"/>
      <c r="B6" s="276" t="s">
        <v>118</v>
      </c>
      <c r="C6" s="230" t="str">
        <f>'2a) YE Income &amp; Expenditure'!D6</f>
        <v>Q4 - Year End</v>
      </c>
      <c r="E6" s="17"/>
      <c r="F6" s="17"/>
      <c r="G6" s="17"/>
      <c r="H6" s="17"/>
      <c r="I6" s="17"/>
      <c r="J6" s="17"/>
      <c r="K6" s="17"/>
      <c r="L6" s="275"/>
    </row>
    <row r="7" spans="1:14">
      <c r="A7" s="276"/>
      <c r="B7" s="276" t="s">
        <v>119</v>
      </c>
      <c r="C7" s="230" t="str">
        <f>'2a) YE Income &amp; Expenditure'!D7</f>
        <v>2024-25</v>
      </c>
      <c r="E7" s="17"/>
      <c r="F7" s="17"/>
      <c r="G7" s="17"/>
      <c r="H7" s="17"/>
      <c r="I7" s="17"/>
      <c r="J7" s="17"/>
      <c r="K7" s="17"/>
      <c r="L7" s="275"/>
    </row>
    <row r="8" spans="1:14">
      <c r="A8" s="276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5"/>
    </row>
    <row r="9" spans="1:14">
      <c r="A9" s="276"/>
      <c r="B9" s="276" t="s">
        <v>257</v>
      </c>
      <c r="C9" s="318">
        <f>'2a) YE Income &amp; Expenditure'!D9</f>
        <v>45747</v>
      </c>
      <c r="E9" s="232"/>
      <c r="F9" s="17"/>
      <c r="G9" s="17"/>
      <c r="H9" s="17"/>
      <c r="I9" s="17"/>
      <c r="J9" s="17"/>
      <c r="K9" s="17"/>
      <c r="L9" s="277" t="str">
        <f>IF(C9=0/1/1900,"Please enter date on front sheet","")</f>
        <v/>
      </c>
    </row>
    <row r="10" spans="1:14">
      <c r="A10" s="275"/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</row>
    <row r="11" spans="1:14">
      <c r="E11" s="6"/>
      <c r="F11" t="s">
        <v>265</v>
      </c>
    </row>
    <row r="12" spans="1:14">
      <c r="A12" s="84" t="s">
        <v>222</v>
      </c>
      <c r="B12" s="59"/>
      <c r="C12" s="301"/>
      <c r="D12" s="234"/>
      <c r="E12" s="235"/>
      <c r="F12" s="234"/>
      <c r="G12" s="237"/>
      <c r="H12" s="237"/>
      <c r="I12" s="237"/>
      <c r="J12" s="237"/>
      <c r="K12" s="237"/>
      <c r="L12" s="238"/>
    </row>
    <row r="13" spans="1:14" ht="57.6">
      <c r="A13" s="58" t="s">
        <v>0</v>
      </c>
      <c r="B13" s="59"/>
      <c r="C13" s="29" t="s">
        <v>705</v>
      </c>
      <c r="D13" s="30" t="str" cm="1">
        <f t="array" ref="D13">'1) Instructions'!I8:I8&amp;" Ratified Budget (As per budget submission)"</f>
        <v>2024-25 Ratified Budget (As per budget submission)</v>
      </c>
      <c r="E13" s="30" t="s">
        <v>311</v>
      </c>
      <c r="F13" s="30" t="str" cm="1">
        <f t="array" ref="F13">'1) Instructions'!I8:I8&amp;" Q4 Budget"</f>
        <v>2024-25 Q4 Budget</v>
      </c>
      <c r="G13" s="31"/>
      <c r="H13" s="32" t="str">
        <f>'2a) YE Income &amp; Expenditure'!F13</f>
        <v>2024-25 Final Outturn Total</v>
      </c>
      <c r="I13" s="31"/>
      <c r="J13" s="32" t="s">
        <v>495</v>
      </c>
      <c r="K13" s="31" t="s">
        <v>441</v>
      </c>
      <c r="L13" s="33" t="s">
        <v>1</v>
      </c>
    </row>
    <row r="14" spans="1:14">
      <c r="A14" s="60"/>
      <c r="B14" s="59"/>
      <c r="C14" s="34"/>
      <c r="D14" s="35" t="s">
        <v>301</v>
      </c>
      <c r="E14" s="35" t="s">
        <v>302</v>
      </c>
      <c r="F14" s="35" t="s">
        <v>312</v>
      </c>
      <c r="G14" s="36"/>
      <c r="H14" s="37" t="s">
        <v>313</v>
      </c>
      <c r="I14" s="36"/>
      <c r="J14" s="37" t="s">
        <v>314</v>
      </c>
      <c r="K14" s="31"/>
      <c r="L14" s="38"/>
    </row>
    <row r="15" spans="1:14">
      <c r="A15" s="61" t="s">
        <v>306</v>
      </c>
      <c r="B15" s="62" t="s">
        <v>2</v>
      </c>
      <c r="C15" s="39" t="s">
        <v>3</v>
      </c>
      <c r="D15" s="63" t="s">
        <v>3</v>
      </c>
      <c r="E15" s="64"/>
      <c r="F15" s="63" t="s">
        <v>3</v>
      </c>
      <c r="G15" s="65"/>
      <c r="H15" s="66" t="s">
        <v>3</v>
      </c>
      <c r="I15" s="65"/>
      <c r="J15" s="66" t="s">
        <v>3</v>
      </c>
      <c r="K15" s="67"/>
      <c r="L15" s="68"/>
    </row>
    <row r="16" spans="1:14">
      <c r="A16" s="69" t="s">
        <v>316</v>
      </c>
      <c r="B16" s="70" t="s">
        <v>224</v>
      </c>
      <c r="C16" s="278" t="str">
        <f>IFERROR(INDEX('CFR 2023-24'!$D$2:$CF$90,MATCH($C$2,'CFR 2023-24'!$D$2:$D$90,0),MATCH(B16,'CFR 2023-24'!$D$2:$CF$2,0)),"")</f>
        <v/>
      </c>
      <c r="D16" s="279">
        <f>IFERROR(INDEX('2024-25 Budgets'!$A$5:$CQ$89, MATCH(B16, '2024-25 Budgets'!$A$5:$A$89, 0), MATCH($C$2, '2024-25 Budgets'!$A$5:$CQ$5, 0)),0)</f>
        <v>0</v>
      </c>
      <c r="E16" s="280"/>
      <c r="F16" s="278">
        <f>IFERROR(D16+E16,"")</f>
        <v>0</v>
      </c>
      <c r="G16" s="219"/>
      <c r="H16" s="278">
        <f>IFERROR('2a) YE Income &amp; Expenditure'!F16,"")</f>
        <v>0</v>
      </c>
      <c r="I16" s="219"/>
      <c r="J16" s="281">
        <f>IFERROR(H16-D16,"")</f>
        <v>0</v>
      </c>
      <c r="K16" s="212" t="str">
        <f>IFERROR(IF(OR(F16&lt;&gt;0,H16&lt;&gt;0),J16/F16,""),"")</f>
        <v/>
      </c>
      <c r="L16" s="220"/>
    </row>
    <row r="17" spans="1:12">
      <c r="A17" s="69" t="s">
        <v>4</v>
      </c>
      <c r="B17" s="70" t="s">
        <v>16</v>
      </c>
      <c r="C17" s="278" t="str">
        <f>IFERROR(INDEX('CFR 2023-24'!$D$2:$CF$90,MATCH($C$2,'CFR 2023-24'!$D$2:$D$90,0),MATCH(B17,'CFR 2023-24'!$D$2:$CF$2,0)),"")</f>
        <v/>
      </c>
      <c r="D17" s="279">
        <f>IFERROR(INDEX('2024-25 Budgets'!$A$5:$CQ$89, MATCH(B17, '2024-25 Budgets'!$A$5:$A$89, 0), MATCH($C$2, '2024-25 Budgets'!$A$5:$CQ$5, 0)),0)</f>
        <v>0</v>
      </c>
      <c r="E17" s="282"/>
      <c r="F17" s="278">
        <f t="shared" ref="F17:F36" si="0">IFERROR(D17+E17,"")</f>
        <v>0</v>
      </c>
      <c r="G17" s="219"/>
      <c r="H17" s="278">
        <f>IFERROR('2a) YE Income &amp; Expenditure'!F17,"")</f>
        <v>0</v>
      </c>
      <c r="I17" s="219"/>
      <c r="J17" s="281">
        <f t="shared" ref="J17:J36" si="1">IFERROR(H17-D17,"")</f>
        <v>0</v>
      </c>
      <c r="K17" s="212" t="str">
        <f t="shared" ref="K17:K36" si="2">IFERROR(IF(OR(F17&lt;&gt;0,H17&lt;&gt;0),J17/F17,""),"")</f>
        <v/>
      </c>
      <c r="L17" s="220"/>
    </row>
    <row r="18" spans="1:12">
      <c r="A18" s="69" t="s">
        <v>228</v>
      </c>
      <c r="B18" s="70" t="s">
        <v>225</v>
      </c>
      <c r="C18" s="278" t="str">
        <f>IFERROR(INDEX('CFR 2023-24'!$D$2:$CF$90,MATCH($C$2,'CFR 2023-24'!$D$2:$D$90,0),MATCH(B18,'CFR 2023-24'!$D$2:$CF$2,0)),"")</f>
        <v/>
      </c>
      <c r="D18" s="279">
        <f>IFERROR(INDEX('2024-25 Budgets'!$A$5:$CQ$89, MATCH(B18, '2024-25 Budgets'!$A$5:$A$89, 0), MATCH($C$2, '2024-25 Budgets'!$A$5:$CQ$5, 0)),0)</f>
        <v>0</v>
      </c>
      <c r="E18" s="282"/>
      <c r="F18" s="278">
        <f t="shared" si="0"/>
        <v>0</v>
      </c>
      <c r="G18" s="219"/>
      <c r="H18" s="278">
        <f>IFERROR('2a) YE Income &amp; Expenditure'!F18,"")</f>
        <v>0</v>
      </c>
      <c r="I18" s="219"/>
      <c r="J18" s="281">
        <f t="shared" si="1"/>
        <v>0</v>
      </c>
      <c r="K18" s="212" t="str">
        <f t="shared" si="2"/>
        <v/>
      </c>
      <c r="L18" s="220"/>
    </row>
    <row r="19" spans="1:12">
      <c r="A19" s="69" t="s">
        <v>5</v>
      </c>
      <c r="B19" s="70" t="s">
        <v>226</v>
      </c>
      <c r="C19" s="278" t="str">
        <f>IFERROR(INDEX('CFR 2023-24'!$D$2:$CF$90,MATCH($C$2,'CFR 2023-24'!$D$2:$D$90,0),MATCH(B19,'CFR 2023-24'!$D$2:$CF$2,0)),"")</f>
        <v/>
      </c>
      <c r="D19" s="279">
        <f>IFERROR(INDEX('2024-25 Budgets'!$A$5:$CQ$89, MATCH(B19, '2024-25 Budgets'!$A$5:$A$89, 0), MATCH($C$2, '2024-25 Budgets'!$A$5:$CQ$5, 0)),0)</f>
        <v>0</v>
      </c>
      <c r="E19" s="282"/>
      <c r="F19" s="278">
        <f t="shared" si="0"/>
        <v>0</v>
      </c>
      <c r="G19" s="219"/>
      <c r="H19" s="278">
        <f>IFERROR('2a) YE Income &amp; Expenditure'!F19,"")</f>
        <v>0</v>
      </c>
      <c r="I19" s="219"/>
      <c r="J19" s="281">
        <f t="shared" si="1"/>
        <v>0</v>
      </c>
      <c r="K19" s="212" t="str">
        <f t="shared" si="2"/>
        <v/>
      </c>
      <c r="L19" s="220"/>
    </row>
    <row r="20" spans="1:12">
      <c r="A20" s="69" t="s">
        <v>6</v>
      </c>
      <c r="B20" s="70" t="s">
        <v>227</v>
      </c>
      <c r="C20" s="278" t="str">
        <f>IFERROR(INDEX('CFR 2023-24'!$D$2:$CF$90,MATCH($C$2,'CFR 2023-24'!$D$2:$D$90,0),MATCH(B20,'CFR 2023-24'!$D$2:$CF$2,0)),"")</f>
        <v/>
      </c>
      <c r="D20" s="279">
        <f>IFERROR(INDEX('2024-25 Budgets'!$A$5:$CQ$89, MATCH(B20, '2024-25 Budgets'!$A$5:$A$89, 0), MATCH($C$2, '2024-25 Budgets'!$A$5:$CQ$5, 0)),0)</f>
        <v>0</v>
      </c>
      <c r="E20" s="282"/>
      <c r="F20" s="278">
        <f t="shared" si="0"/>
        <v>0</v>
      </c>
      <c r="G20" s="219"/>
      <c r="H20" s="278">
        <f>IFERROR('2a) YE Income &amp; Expenditure'!F20,"")</f>
        <v>0</v>
      </c>
      <c r="I20" s="219"/>
      <c r="J20" s="281">
        <f t="shared" si="1"/>
        <v>0</v>
      </c>
      <c r="K20" s="212" t="str">
        <f t="shared" si="2"/>
        <v/>
      </c>
      <c r="L20" s="220"/>
    </row>
    <row r="21" spans="1:12">
      <c r="A21" s="69" t="s">
        <v>7</v>
      </c>
      <c r="B21" s="70" t="s">
        <v>17</v>
      </c>
      <c r="C21" s="278" t="str">
        <f>IFERROR(INDEX('CFR 2023-24'!$D$2:$CF$90,MATCH($C$2,'CFR 2023-24'!$D$2:$D$90,0),MATCH(B21,'CFR 2023-24'!$D$2:$CF$2,0)),"")</f>
        <v/>
      </c>
      <c r="D21" s="279">
        <f>IFERROR(INDEX('2024-25 Budgets'!$A$5:$CQ$89, MATCH(B21, '2024-25 Budgets'!$A$5:$A$89, 0), MATCH($C$2, '2024-25 Budgets'!$A$5:$CQ$5, 0)),0)</f>
        <v>0</v>
      </c>
      <c r="E21" s="282"/>
      <c r="F21" s="278">
        <f t="shared" si="0"/>
        <v>0</v>
      </c>
      <c r="G21" s="219"/>
      <c r="H21" s="278">
        <f>IFERROR('2a) YE Income &amp; Expenditure'!F21,"")</f>
        <v>0</v>
      </c>
      <c r="I21" s="219"/>
      <c r="J21" s="281">
        <f t="shared" si="1"/>
        <v>0</v>
      </c>
      <c r="K21" s="212" t="str">
        <f t="shared" si="2"/>
        <v/>
      </c>
      <c r="L21" s="220"/>
    </row>
    <row r="22" spans="1:12">
      <c r="A22" s="69" t="s">
        <v>8</v>
      </c>
      <c r="B22" s="70" t="s">
        <v>18</v>
      </c>
      <c r="C22" s="278" t="str">
        <f>IFERROR(INDEX('CFR 2023-24'!$D$2:$CF$90,MATCH($C$2,'CFR 2023-24'!$D$2:$D$90,0),MATCH(B22,'CFR 2023-24'!$D$2:$CF$2,0)),"")</f>
        <v/>
      </c>
      <c r="D22" s="279">
        <f>IFERROR(INDEX('2024-25 Budgets'!$A$5:$CQ$89, MATCH(B22, '2024-25 Budgets'!$A$5:$A$89, 0), MATCH($C$2, '2024-25 Budgets'!$A$5:$CQ$5, 0)),0)</f>
        <v>0</v>
      </c>
      <c r="E22" s="282"/>
      <c r="F22" s="278">
        <f t="shared" si="0"/>
        <v>0</v>
      </c>
      <c r="G22" s="219"/>
      <c r="H22" s="278">
        <f>IFERROR('2a) YE Income &amp; Expenditure'!F22,"")</f>
        <v>0</v>
      </c>
      <c r="I22" s="219"/>
      <c r="J22" s="281">
        <f t="shared" si="1"/>
        <v>0</v>
      </c>
      <c r="K22" s="212" t="str">
        <f t="shared" si="2"/>
        <v/>
      </c>
      <c r="L22" s="220"/>
    </row>
    <row r="23" spans="1:12">
      <c r="A23" s="69" t="s">
        <v>260</v>
      </c>
      <c r="B23" s="70" t="s">
        <v>259</v>
      </c>
      <c r="C23" s="278" t="str">
        <f>IFERROR(INDEX('CFR 2023-24'!$D$2:$CF$90,MATCH($C$2,'CFR 2023-24'!$D$2:$D$90,0),MATCH(B23,'CFR 2023-24'!$D$2:$CF$2,0)),"")</f>
        <v/>
      </c>
      <c r="D23" s="279">
        <f>IFERROR(INDEX('2024-25 Budgets'!$A$5:$CQ$89, MATCH(B23, '2024-25 Budgets'!$A$5:$A$89, 0), MATCH($C$2, '2024-25 Budgets'!$A$5:$CQ$5, 0)),0)</f>
        <v>0</v>
      </c>
      <c r="E23" s="282"/>
      <c r="F23" s="278">
        <f t="shared" si="0"/>
        <v>0</v>
      </c>
      <c r="G23" s="219"/>
      <c r="H23" s="278">
        <f>IFERROR('2a) YE Income &amp; Expenditure'!F23,"")</f>
        <v>0</v>
      </c>
      <c r="I23" s="219"/>
      <c r="J23" s="281">
        <f t="shared" si="1"/>
        <v>0</v>
      </c>
      <c r="K23" s="212" t="str">
        <f t="shared" si="2"/>
        <v/>
      </c>
      <c r="L23" s="220"/>
    </row>
    <row r="24" spans="1:12">
      <c r="A24" s="69" t="s">
        <v>261</v>
      </c>
      <c r="B24" s="70" t="s">
        <v>262</v>
      </c>
      <c r="C24" s="278" t="str">
        <f>IFERROR(INDEX('CFR 2023-24'!$D$2:$CF$90,MATCH($C$2,'CFR 2023-24'!$D$2:$D$90,0),MATCH(B24,'CFR 2023-24'!$D$2:$CF$2,0)),"")</f>
        <v/>
      </c>
      <c r="D24" s="279">
        <f>IFERROR(INDEX('2024-25 Budgets'!$A$5:$CQ$89, MATCH(B24, '2024-25 Budgets'!$A$5:$A$89, 0), MATCH($C$2, '2024-25 Budgets'!$A$5:$CQ$5, 0)),0)</f>
        <v>0</v>
      </c>
      <c r="E24" s="282"/>
      <c r="F24" s="278">
        <f t="shared" si="0"/>
        <v>0</v>
      </c>
      <c r="G24" s="219"/>
      <c r="H24" s="278">
        <f>IFERROR('2a) YE Income &amp; Expenditure'!F24,"")</f>
        <v>0</v>
      </c>
      <c r="I24" s="219"/>
      <c r="J24" s="281">
        <f t="shared" si="1"/>
        <v>0</v>
      </c>
      <c r="K24" s="212" t="str">
        <f t="shared" si="2"/>
        <v/>
      </c>
      <c r="L24" s="220"/>
    </row>
    <row r="25" spans="1:12">
      <c r="A25" s="69" t="s">
        <v>9</v>
      </c>
      <c r="B25" s="70" t="s">
        <v>19</v>
      </c>
      <c r="C25" s="278" t="str">
        <f>IFERROR(INDEX('CFR 2023-24'!$D$2:$CF$90,MATCH($C$2,'CFR 2023-24'!$D$2:$D$90,0),MATCH(B25,'CFR 2023-24'!$D$2:$CF$2,0)),"")</f>
        <v/>
      </c>
      <c r="D25" s="279">
        <f>IFERROR(INDEX('2024-25 Budgets'!$A$5:$CQ$89, MATCH(B25, '2024-25 Budgets'!$A$5:$A$89, 0), MATCH($C$2, '2024-25 Budgets'!$A$5:$CQ$5, 0)),0)</f>
        <v>0</v>
      </c>
      <c r="E25" s="282"/>
      <c r="F25" s="278">
        <f t="shared" si="0"/>
        <v>0</v>
      </c>
      <c r="G25" s="219"/>
      <c r="H25" s="278">
        <f>IFERROR('2a) YE Income &amp; Expenditure'!F25,"")</f>
        <v>0</v>
      </c>
      <c r="I25" s="219"/>
      <c r="J25" s="281">
        <f t="shared" si="1"/>
        <v>0</v>
      </c>
      <c r="K25" s="212" t="str">
        <f t="shared" si="2"/>
        <v/>
      </c>
      <c r="L25" s="220"/>
    </row>
    <row r="26" spans="1:12">
      <c r="A26" s="69" t="s">
        <v>10</v>
      </c>
      <c r="B26" s="70" t="s">
        <v>20</v>
      </c>
      <c r="C26" s="278" t="str">
        <f>IFERROR(INDEX('CFR 2023-24'!$D$2:$CF$90,MATCH($C$2,'CFR 2023-24'!$D$2:$D$90,0),MATCH(B26,'CFR 2023-24'!$D$2:$CF$2,0)),"")</f>
        <v/>
      </c>
      <c r="D26" s="279">
        <f>IFERROR(INDEX('2024-25 Budgets'!$A$5:$CQ$89, MATCH(B26, '2024-25 Budgets'!$A$5:$A$89, 0), MATCH($C$2, '2024-25 Budgets'!$A$5:$CQ$5, 0)),0)</f>
        <v>0</v>
      </c>
      <c r="E26" s="282"/>
      <c r="F26" s="278">
        <f t="shared" si="0"/>
        <v>0</v>
      </c>
      <c r="G26" s="219"/>
      <c r="H26" s="278">
        <f>IFERROR('2a) YE Income &amp; Expenditure'!F26,"")</f>
        <v>0</v>
      </c>
      <c r="I26" s="219"/>
      <c r="J26" s="281">
        <f t="shared" si="1"/>
        <v>0</v>
      </c>
      <c r="K26" s="212" t="str">
        <f t="shared" si="2"/>
        <v/>
      </c>
      <c r="L26" s="220"/>
    </row>
    <row r="27" spans="1:12">
      <c r="A27" s="69" t="s">
        <v>11</v>
      </c>
      <c r="B27" s="70" t="s">
        <v>21</v>
      </c>
      <c r="C27" s="278" t="str">
        <f>IFERROR(INDEX('CFR 2023-24'!$D$2:$CF$90,MATCH($C$2,'CFR 2023-24'!$D$2:$D$90,0),MATCH(B27,'CFR 2023-24'!$D$2:$CF$2,0)),"")</f>
        <v/>
      </c>
      <c r="D27" s="279">
        <f>IFERROR(INDEX('2024-25 Budgets'!$A$5:$CQ$89, MATCH(B27, '2024-25 Budgets'!$A$5:$A$89, 0), MATCH($C$2, '2024-25 Budgets'!$A$5:$CQ$5, 0)),0)</f>
        <v>0</v>
      </c>
      <c r="E27" s="282"/>
      <c r="F27" s="278">
        <f t="shared" si="0"/>
        <v>0</v>
      </c>
      <c r="G27" s="219"/>
      <c r="H27" s="278">
        <f>IFERROR('2a) YE Income &amp; Expenditure'!F27,"")</f>
        <v>0</v>
      </c>
      <c r="I27" s="219"/>
      <c r="J27" s="281">
        <f t="shared" si="1"/>
        <v>0</v>
      </c>
      <c r="K27" s="212" t="str">
        <f t="shared" si="2"/>
        <v/>
      </c>
      <c r="L27" s="220"/>
    </row>
    <row r="28" spans="1:12">
      <c r="A28" s="69" t="s">
        <v>12</v>
      </c>
      <c r="B28" s="70" t="s">
        <v>22</v>
      </c>
      <c r="C28" s="278" t="str">
        <f>IFERROR(INDEX('CFR 2023-24'!$D$2:$CF$90,MATCH($C$2,'CFR 2023-24'!$D$2:$D$90,0),MATCH(B28,'CFR 2023-24'!$D$2:$CF$2,0)),"")</f>
        <v/>
      </c>
      <c r="D28" s="279">
        <f>IFERROR(INDEX('2024-25 Budgets'!$A$5:$CQ$89, MATCH(B28, '2024-25 Budgets'!$A$5:$A$89, 0), MATCH($C$2, '2024-25 Budgets'!$A$5:$CQ$5, 0)),0)</f>
        <v>0</v>
      </c>
      <c r="E28" s="282"/>
      <c r="F28" s="278">
        <f t="shared" si="0"/>
        <v>0</v>
      </c>
      <c r="G28" s="219"/>
      <c r="H28" s="278">
        <f>IFERROR('2a) YE Income &amp; Expenditure'!F28,"")</f>
        <v>0</v>
      </c>
      <c r="I28" s="219"/>
      <c r="J28" s="281">
        <f t="shared" si="1"/>
        <v>0</v>
      </c>
      <c r="K28" s="212" t="str">
        <f t="shared" si="2"/>
        <v/>
      </c>
      <c r="L28" s="220"/>
    </row>
    <row r="29" spans="1:12">
      <c r="A29" s="69" t="s">
        <v>13</v>
      </c>
      <c r="B29" s="70" t="s">
        <v>23</v>
      </c>
      <c r="C29" s="278" t="str">
        <f>IFERROR(INDEX('CFR 2023-24'!$D$2:$CF$90,MATCH($C$2,'CFR 2023-24'!$D$2:$D$90,0),MATCH(B29,'CFR 2023-24'!$D$2:$CF$2,0)),"")</f>
        <v/>
      </c>
      <c r="D29" s="279">
        <f>IFERROR(INDEX('2024-25 Budgets'!$A$5:$CQ$89, MATCH(B29, '2024-25 Budgets'!$A$5:$A$89, 0), MATCH($C$2, '2024-25 Budgets'!$A$5:$CQ$5, 0)),0)</f>
        <v>0</v>
      </c>
      <c r="E29" s="282"/>
      <c r="F29" s="278">
        <f t="shared" si="0"/>
        <v>0</v>
      </c>
      <c r="G29" s="219"/>
      <c r="H29" s="278">
        <f>IFERROR('2a) YE Income &amp; Expenditure'!F29,"")</f>
        <v>0</v>
      </c>
      <c r="I29" s="219"/>
      <c r="J29" s="281">
        <f t="shared" si="1"/>
        <v>0</v>
      </c>
      <c r="K29" s="212" t="str">
        <f t="shared" si="2"/>
        <v/>
      </c>
      <c r="L29" s="220"/>
    </row>
    <row r="30" spans="1:12">
      <c r="A30" s="69" t="s">
        <v>14</v>
      </c>
      <c r="B30" s="70" t="s">
        <v>24</v>
      </c>
      <c r="C30" s="278" t="str">
        <f>IFERROR(INDEX('CFR 2023-24'!$D$2:$CF$90,MATCH($C$2,'CFR 2023-24'!$D$2:$D$90,0),MATCH(B30,'CFR 2023-24'!$D$2:$CF$2,0)),"")</f>
        <v/>
      </c>
      <c r="D30" s="279">
        <f>IFERROR(INDEX('2024-25 Budgets'!$A$5:$CQ$89, MATCH(B30, '2024-25 Budgets'!$A$5:$A$89, 0), MATCH($C$2, '2024-25 Budgets'!$A$5:$CQ$5, 0)),0)</f>
        <v>0</v>
      </c>
      <c r="E30" s="282"/>
      <c r="F30" s="278">
        <f t="shared" si="0"/>
        <v>0</v>
      </c>
      <c r="G30" s="219"/>
      <c r="H30" s="278">
        <f>IFERROR('2a) YE Income &amp; Expenditure'!F30,"")</f>
        <v>0</v>
      </c>
      <c r="I30" s="219"/>
      <c r="J30" s="281">
        <f t="shared" si="1"/>
        <v>0</v>
      </c>
      <c r="K30" s="212" t="str">
        <f t="shared" si="2"/>
        <v/>
      </c>
      <c r="L30" s="220"/>
    </row>
    <row r="31" spans="1:12">
      <c r="A31" s="69" t="s">
        <v>100</v>
      </c>
      <c r="B31" s="70" t="s">
        <v>102</v>
      </c>
      <c r="C31" s="278" t="str">
        <f>IFERROR(INDEX('CFR 2023-24'!$D$2:$CF$90,MATCH($C$2,'CFR 2023-24'!$D$2:$D$90,0),MATCH(B31,'CFR 2023-24'!$D$2:$CF$2,0)),"")</f>
        <v/>
      </c>
      <c r="D31" s="279">
        <f>IFERROR(INDEX('2024-25 Budgets'!$A$5:$CQ$89, MATCH(B31, '2024-25 Budgets'!$A$5:$A$89, 0), MATCH($C$2, '2024-25 Budgets'!$A$5:$CQ$5, 0)),0)</f>
        <v>0</v>
      </c>
      <c r="E31" s="282"/>
      <c r="F31" s="278">
        <f t="shared" si="0"/>
        <v>0</v>
      </c>
      <c r="G31" s="219"/>
      <c r="H31" s="278">
        <f>IFERROR('2a) YE Income &amp; Expenditure'!F31,"")</f>
        <v>0</v>
      </c>
      <c r="I31" s="219"/>
      <c r="J31" s="281">
        <f t="shared" si="1"/>
        <v>0</v>
      </c>
      <c r="K31" s="212" t="str">
        <f t="shared" si="2"/>
        <v/>
      </c>
      <c r="L31" s="220"/>
    </row>
    <row r="32" spans="1:12">
      <c r="A32" s="69" t="s">
        <v>101</v>
      </c>
      <c r="B32" s="70" t="s">
        <v>103</v>
      </c>
      <c r="C32" s="278" t="str">
        <f>IFERROR(INDEX('CFR 2023-24'!$D$2:$CF$90,MATCH($C$2,'CFR 2023-24'!$D$2:$D$90,0),MATCH(B32,'CFR 2023-24'!$D$2:$CF$2,0)),"")</f>
        <v/>
      </c>
      <c r="D32" s="279">
        <f>IFERROR(INDEX('2024-25 Budgets'!$A$5:$CQ$89, MATCH(B32, '2024-25 Budgets'!$A$5:$A$89, 0), MATCH($C$2, '2024-25 Budgets'!$A$5:$CQ$5, 0)),0)</f>
        <v>0</v>
      </c>
      <c r="E32" s="282"/>
      <c r="F32" s="278">
        <f t="shared" si="0"/>
        <v>0</v>
      </c>
      <c r="G32" s="219"/>
      <c r="H32" s="278">
        <f>IFERROR('2a) YE Income &amp; Expenditure'!F32,"")</f>
        <v>0</v>
      </c>
      <c r="I32" s="219"/>
      <c r="J32" s="281">
        <f t="shared" si="1"/>
        <v>0</v>
      </c>
      <c r="K32" s="212" t="str">
        <f t="shared" si="2"/>
        <v/>
      </c>
      <c r="L32" s="220"/>
    </row>
    <row r="33" spans="1:12">
      <c r="A33" s="69" t="s">
        <v>15</v>
      </c>
      <c r="B33" s="70" t="s">
        <v>274</v>
      </c>
      <c r="C33" s="278" t="str">
        <f>IFERROR(INDEX('CFR 2023-24'!$D$2:$CF$90,MATCH($C$2,'CFR 2023-24'!$D$2:$D$90,0),MATCH(B33,'CFR 2023-24'!$D$2:$CF$2,0)),"")</f>
        <v/>
      </c>
      <c r="D33" s="279">
        <f>IFERROR(INDEX('2024-25 Budgets'!$A$5:$CQ$89, MATCH(B33, '2024-25 Budgets'!$A$5:$A$89, 0), MATCH($C$2, '2024-25 Budgets'!$A$5:$CQ$5, 0)),0)</f>
        <v>0</v>
      </c>
      <c r="E33" s="282"/>
      <c r="F33" s="278">
        <f t="shared" si="0"/>
        <v>0</v>
      </c>
      <c r="G33" s="219"/>
      <c r="H33" s="278">
        <f>IFERROR('2a) YE Income &amp; Expenditure'!F33,"")</f>
        <v>0</v>
      </c>
      <c r="I33" s="219"/>
      <c r="J33" s="281">
        <f t="shared" si="1"/>
        <v>0</v>
      </c>
      <c r="K33" s="212" t="str">
        <f t="shared" si="2"/>
        <v/>
      </c>
      <c r="L33" s="220"/>
    </row>
    <row r="34" spans="1:12">
      <c r="A34" s="69" t="s">
        <v>15</v>
      </c>
      <c r="B34" s="70" t="s">
        <v>275</v>
      </c>
      <c r="C34" s="278" t="str">
        <f>IFERROR(INDEX('CFR 2023-24'!$D$2:$CF$90,MATCH($C$2,'CFR 2023-24'!$D$2:$D$90,0),MATCH(B34,'CFR 2023-24'!$D$2:$CF$2,0)),"")</f>
        <v/>
      </c>
      <c r="D34" s="279">
        <f>IFERROR(INDEX('2024-25 Budgets'!$A$5:$CQ$89, MATCH(B34, '2024-25 Budgets'!$A$5:$A$89, 0), MATCH($C$2, '2024-25 Budgets'!$A$5:$CQ$5, 0)),0)</f>
        <v>0</v>
      </c>
      <c r="E34" s="282"/>
      <c r="F34" s="278">
        <f t="shared" si="0"/>
        <v>0</v>
      </c>
      <c r="G34" s="219"/>
      <c r="H34" s="278">
        <f>IFERROR('2a) YE Income &amp; Expenditure'!F34,"")</f>
        <v>0</v>
      </c>
      <c r="I34" s="219"/>
      <c r="J34" s="281">
        <f t="shared" si="1"/>
        <v>0</v>
      </c>
      <c r="K34" s="212" t="str">
        <f t="shared" si="2"/>
        <v/>
      </c>
      <c r="L34" s="220"/>
    </row>
    <row r="35" spans="1:12">
      <c r="A35" s="69" t="s">
        <v>15</v>
      </c>
      <c r="B35" s="70" t="s">
        <v>276</v>
      </c>
      <c r="C35" s="278" t="str">
        <f>IFERROR(INDEX('CFR 2023-24'!$D$2:$CF$90,MATCH($C$2,'CFR 2023-24'!$D$2:$D$90,0),MATCH(B35,'CFR 2023-24'!$D$2:$CF$2,0)),"")</f>
        <v/>
      </c>
      <c r="D35" s="279">
        <f>IFERROR(INDEX('2024-25 Budgets'!$A$5:$CQ$89, MATCH(B35, '2024-25 Budgets'!$A$5:$A$89, 0), MATCH($C$2, '2024-25 Budgets'!$A$5:$CQ$5, 0)),0)</f>
        <v>0</v>
      </c>
      <c r="E35" s="282"/>
      <c r="F35" s="278">
        <f t="shared" si="0"/>
        <v>0</v>
      </c>
      <c r="G35" s="219"/>
      <c r="H35" s="278">
        <f>IFERROR('2a) YE Income &amp; Expenditure'!F35,"")</f>
        <v>0</v>
      </c>
      <c r="I35" s="219"/>
      <c r="J35" s="281">
        <f t="shared" si="1"/>
        <v>0</v>
      </c>
      <c r="K35" s="212" t="str">
        <f t="shared" si="2"/>
        <v/>
      </c>
      <c r="L35" s="220"/>
    </row>
    <row r="36" spans="1:12" ht="15" thickBot="1">
      <c r="A36" s="71" t="s">
        <v>15</v>
      </c>
      <c r="B36" s="72" t="s">
        <v>277</v>
      </c>
      <c r="C36" s="278" t="str">
        <f>IFERROR(INDEX('CFR 2023-24'!$D$2:$CF$90,MATCH($C$2,'CFR 2023-24'!$D$2:$D$90,0),MATCH(B36,'CFR 2023-24'!$D$2:$CF$2,0)),"")</f>
        <v/>
      </c>
      <c r="D36" s="279">
        <f>IFERROR(INDEX('2024-25 Budgets'!$A$5:$CQ$89, MATCH(B36, '2024-25 Budgets'!$A$5:$A$89, 0), MATCH($C$2, '2024-25 Budgets'!$A$5:$CQ$5, 0)),0)</f>
        <v>0</v>
      </c>
      <c r="E36" s="282"/>
      <c r="F36" s="278">
        <f t="shared" si="0"/>
        <v>0</v>
      </c>
      <c r="G36" s="219"/>
      <c r="H36" s="278">
        <f>IFERROR('2a) YE Income &amp; Expenditure'!F36,"")</f>
        <v>0</v>
      </c>
      <c r="I36" s="219"/>
      <c r="J36" s="281">
        <f t="shared" si="1"/>
        <v>0</v>
      </c>
      <c r="K36" s="212" t="str">
        <f t="shared" si="2"/>
        <v/>
      </c>
      <c r="L36" s="220"/>
    </row>
    <row r="37" spans="1:12" ht="15" thickBot="1">
      <c r="A37" s="73" t="s">
        <v>25</v>
      </c>
      <c r="B37" s="283"/>
      <c r="C37" s="74">
        <f>SUM(C16:C36)</f>
        <v>0</v>
      </c>
      <c r="D37" s="74">
        <f>SUM(D16:D36)</f>
        <v>0</v>
      </c>
      <c r="E37" s="74">
        <f>SUM(E16:E36)</f>
        <v>0</v>
      </c>
      <c r="F37" s="74">
        <f>SUM(F16:F36)</f>
        <v>0</v>
      </c>
      <c r="G37" s="75"/>
      <c r="H37" s="74">
        <f>SUM(H16:H36)</f>
        <v>0</v>
      </c>
      <c r="I37" s="75"/>
      <c r="J37" s="74">
        <f>SUM(J16:J36)</f>
        <v>0</v>
      </c>
      <c r="K37" s="213" t="str">
        <f t="shared" ref="K37" si="3">IFERROR(IF(AND(F37&lt;&gt;0,H37&lt;&gt;0),J37/F37,""),"")</f>
        <v/>
      </c>
    </row>
    <row r="39" spans="1:12" ht="57.6">
      <c r="A39" s="58" t="s">
        <v>0</v>
      </c>
      <c r="B39" s="59"/>
      <c r="C39" s="40" t="str">
        <f>C13</f>
        <v>2023-24 Outturn</v>
      </c>
      <c r="D39" s="33" t="str">
        <f>D13</f>
        <v>2024-25 Ratified Budget (As per budget submission)</v>
      </c>
      <c r="E39" s="33" t="str">
        <f>E13</f>
        <v>Mid year virements</v>
      </c>
      <c r="F39" s="33" t="str">
        <f>F13</f>
        <v>2024-25 Q4 Budget</v>
      </c>
      <c r="G39" s="31"/>
      <c r="H39" s="33" t="str">
        <f>H13</f>
        <v>2024-25 Final Outturn Total</v>
      </c>
      <c r="I39" s="31"/>
      <c r="J39" s="33" t="s">
        <v>299</v>
      </c>
      <c r="K39" s="31"/>
      <c r="L39" s="33" t="s">
        <v>1</v>
      </c>
    </row>
    <row r="40" spans="1:12">
      <c r="A40" s="61"/>
      <c r="B40" s="59"/>
      <c r="C40" s="41"/>
      <c r="D40" s="33" t="s">
        <v>301</v>
      </c>
      <c r="E40" s="33" t="s">
        <v>302</v>
      </c>
      <c r="F40" s="33" t="s">
        <v>312</v>
      </c>
      <c r="G40" s="31"/>
      <c r="H40" s="33" t="s">
        <v>313</v>
      </c>
      <c r="I40" s="31"/>
      <c r="J40" s="33" t="s">
        <v>314</v>
      </c>
      <c r="K40" s="31"/>
      <c r="L40" s="38"/>
    </row>
    <row r="41" spans="1:12">
      <c r="A41" s="61" t="s">
        <v>307</v>
      </c>
      <c r="B41" s="62" t="s">
        <v>2</v>
      </c>
      <c r="C41" s="42" t="s">
        <v>3</v>
      </c>
      <c r="D41" s="76" t="s">
        <v>3</v>
      </c>
      <c r="E41" s="77"/>
      <c r="F41" s="76" t="s">
        <v>3</v>
      </c>
      <c r="G41" s="67"/>
      <c r="H41" s="78" t="s">
        <v>3</v>
      </c>
      <c r="I41" s="67"/>
      <c r="J41" s="78" t="s">
        <v>3</v>
      </c>
      <c r="K41" s="67"/>
      <c r="L41" s="68"/>
    </row>
    <row r="42" spans="1:12">
      <c r="A42" s="69" t="s">
        <v>26</v>
      </c>
      <c r="B42" s="70" t="s">
        <v>27</v>
      </c>
      <c r="C42" s="278" t="str">
        <f>IFERROR(INDEX('CFR 2023-24'!$D$2:$CF$90,MATCH($C$2,'CFR 2023-24'!$D$2:$D$90,0),MATCH(B42,'CFR 2023-24'!$D$2:$CF$2,0)),"")</f>
        <v/>
      </c>
      <c r="D42" s="279">
        <f>IFERROR(INDEX('2024-25 Budgets'!$A$5:$CQ$89, MATCH(B42, '2024-25 Budgets'!$A$5:$A$89, 0), MATCH($C$2, '2024-25 Budgets'!$A$5:$CQ$5, 0)),0)</f>
        <v>0</v>
      </c>
      <c r="E42" s="282"/>
      <c r="F42" s="285">
        <f>IFERROR(D42+E42,"")</f>
        <v>0</v>
      </c>
      <c r="G42" s="219"/>
      <c r="H42" s="285">
        <f>IFERROR('2a) YE Income &amp; Expenditure'!F41,"")</f>
        <v>0</v>
      </c>
      <c r="I42" s="219"/>
      <c r="J42" s="286">
        <f>IFERROR(D42-H42,"")</f>
        <v>0</v>
      </c>
      <c r="K42" s="212" t="str">
        <f t="shared" ref="K42:K82" si="4">IFERROR(IF(OR(F42&lt;&gt;0,H42&lt;&gt;0),J42/F42,""),"")</f>
        <v/>
      </c>
      <c r="L42" s="241"/>
    </row>
    <row r="43" spans="1:12">
      <c r="A43" s="69" t="s">
        <v>28</v>
      </c>
      <c r="B43" s="70" t="s">
        <v>29</v>
      </c>
      <c r="C43" s="278" t="str">
        <f>IFERROR(INDEX('CFR 2023-24'!$D$2:$CF$90,MATCH($C$2,'CFR 2023-24'!$D$2:$D$90,0),MATCH(B43,'CFR 2023-24'!$D$2:$CF$2,0)),"")</f>
        <v/>
      </c>
      <c r="D43" s="279">
        <f>IFERROR(INDEX('2024-25 Budgets'!$A$5:$CQ$89, MATCH(B43, '2024-25 Budgets'!$A$5:$A$89, 0), MATCH($C$2, '2024-25 Budgets'!$A$5:$CQ$5, 0)),0)</f>
        <v>0</v>
      </c>
      <c r="E43" s="282"/>
      <c r="F43" s="285">
        <f t="shared" ref="F43:F81" si="5">IFERROR(D43+E43,"")</f>
        <v>0</v>
      </c>
      <c r="G43" s="219"/>
      <c r="H43" s="285">
        <f>IFERROR('2a) YE Income &amp; Expenditure'!F42,"")</f>
        <v>0</v>
      </c>
      <c r="I43" s="219"/>
      <c r="J43" s="286">
        <f t="shared" ref="J43:J81" si="6">IFERROR(D43-H43,"")</f>
        <v>0</v>
      </c>
      <c r="K43" s="212" t="str">
        <f t="shared" si="4"/>
        <v/>
      </c>
      <c r="L43" s="241"/>
    </row>
    <row r="44" spans="1:12">
      <c r="A44" s="69" t="s">
        <v>30</v>
      </c>
      <c r="B44" s="70" t="s">
        <v>31</v>
      </c>
      <c r="C44" s="278" t="str">
        <f>IFERROR(INDEX('CFR 2023-24'!$D$2:$CF$90,MATCH($C$2,'CFR 2023-24'!$D$2:$D$90,0),MATCH(B44,'CFR 2023-24'!$D$2:$CF$2,0)),"")</f>
        <v/>
      </c>
      <c r="D44" s="279">
        <f>IFERROR(INDEX('2024-25 Budgets'!$A$5:$CQ$89, MATCH(B44, '2024-25 Budgets'!$A$5:$A$89, 0), MATCH($C$2, '2024-25 Budgets'!$A$5:$CQ$5, 0)),0)</f>
        <v>0</v>
      </c>
      <c r="E44" s="282"/>
      <c r="F44" s="285">
        <f t="shared" si="5"/>
        <v>0</v>
      </c>
      <c r="G44" s="219"/>
      <c r="H44" s="285">
        <f>IFERROR('2a) YE Income &amp; Expenditure'!F43,"")</f>
        <v>0</v>
      </c>
      <c r="I44" s="219"/>
      <c r="J44" s="286">
        <f t="shared" si="6"/>
        <v>0</v>
      </c>
      <c r="K44" s="212" t="str">
        <f t="shared" si="4"/>
        <v/>
      </c>
      <c r="L44" s="241"/>
    </row>
    <row r="45" spans="1:12">
      <c r="A45" s="69" t="s">
        <v>32</v>
      </c>
      <c r="B45" s="70" t="s">
        <v>33</v>
      </c>
      <c r="C45" s="278" t="str">
        <f>IFERROR(INDEX('CFR 2023-24'!$D$2:$CF$90,MATCH($C$2,'CFR 2023-24'!$D$2:$D$90,0),MATCH(B45,'CFR 2023-24'!$D$2:$CF$2,0)),"")</f>
        <v/>
      </c>
      <c r="D45" s="279">
        <f>IFERROR(INDEX('2024-25 Budgets'!$A$5:$CQ$89, MATCH(B45, '2024-25 Budgets'!$A$5:$A$89, 0), MATCH($C$2, '2024-25 Budgets'!$A$5:$CQ$5, 0)),0)</f>
        <v>0</v>
      </c>
      <c r="E45" s="282"/>
      <c r="F45" s="285">
        <f t="shared" si="5"/>
        <v>0</v>
      </c>
      <c r="G45" s="219"/>
      <c r="H45" s="285">
        <f>IFERROR('2a) YE Income &amp; Expenditure'!F44,"")</f>
        <v>0</v>
      </c>
      <c r="I45" s="219"/>
      <c r="J45" s="286">
        <f t="shared" si="6"/>
        <v>0</v>
      </c>
      <c r="K45" s="212" t="str">
        <f t="shared" si="4"/>
        <v/>
      </c>
      <c r="L45" s="241"/>
    </row>
    <row r="46" spans="1:12">
      <c r="A46" s="69" t="s">
        <v>34</v>
      </c>
      <c r="B46" s="70" t="s">
        <v>35</v>
      </c>
      <c r="C46" s="278" t="str">
        <f>IFERROR(INDEX('CFR 2023-24'!$D$2:$CF$90,MATCH($C$2,'CFR 2023-24'!$D$2:$D$90,0),MATCH(B46,'CFR 2023-24'!$D$2:$CF$2,0)),"")</f>
        <v/>
      </c>
      <c r="D46" s="279">
        <f>IFERROR(INDEX('2024-25 Budgets'!$A$5:$CQ$89, MATCH(B46, '2024-25 Budgets'!$A$5:$A$89, 0), MATCH($C$2, '2024-25 Budgets'!$A$5:$CQ$5, 0)),0)</f>
        <v>0</v>
      </c>
      <c r="E46" s="282"/>
      <c r="F46" s="285">
        <f t="shared" si="5"/>
        <v>0</v>
      </c>
      <c r="G46" s="219"/>
      <c r="H46" s="285">
        <f>IFERROR('2a) YE Income &amp; Expenditure'!F45,"")</f>
        <v>0</v>
      </c>
      <c r="I46" s="219"/>
      <c r="J46" s="286">
        <f t="shared" si="6"/>
        <v>0</v>
      </c>
      <c r="K46" s="212" t="str">
        <f t="shared" si="4"/>
        <v/>
      </c>
      <c r="L46" s="241"/>
    </row>
    <row r="47" spans="1:12">
      <c r="A47" s="69" t="s">
        <v>36</v>
      </c>
      <c r="B47" s="70" t="s">
        <v>37</v>
      </c>
      <c r="C47" s="278" t="str">
        <f>IFERROR(INDEX('CFR 2023-24'!$D$2:$CF$90,MATCH($C$2,'CFR 2023-24'!$D$2:$D$90,0),MATCH(B47,'CFR 2023-24'!$D$2:$CF$2,0)),"")</f>
        <v/>
      </c>
      <c r="D47" s="279">
        <f>IFERROR(INDEX('2024-25 Budgets'!$A$5:$CQ$89, MATCH(B47, '2024-25 Budgets'!$A$5:$A$89, 0), MATCH($C$2, '2024-25 Budgets'!$A$5:$CQ$5, 0)),0)</f>
        <v>0</v>
      </c>
      <c r="E47" s="282"/>
      <c r="F47" s="285">
        <f t="shared" si="5"/>
        <v>0</v>
      </c>
      <c r="G47" s="219"/>
      <c r="H47" s="285">
        <f>IFERROR('2a) YE Income &amp; Expenditure'!F46,"")</f>
        <v>0</v>
      </c>
      <c r="I47" s="219"/>
      <c r="J47" s="286">
        <f t="shared" si="6"/>
        <v>0</v>
      </c>
      <c r="K47" s="212" t="str">
        <f t="shared" si="4"/>
        <v/>
      </c>
      <c r="L47" s="241"/>
    </row>
    <row r="48" spans="1:12">
      <c r="A48" s="69" t="s">
        <v>38</v>
      </c>
      <c r="B48" s="70" t="s">
        <v>39</v>
      </c>
      <c r="C48" s="278" t="str">
        <f>IFERROR(INDEX('CFR 2023-24'!$D$2:$CF$90,MATCH($C$2,'CFR 2023-24'!$D$2:$D$90,0),MATCH(B48,'CFR 2023-24'!$D$2:$CF$2,0)),"")</f>
        <v/>
      </c>
      <c r="D48" s="279">
        <f>IFERROR(INDEX('2024-25 Budgets'!$A$5:$CQ$89, MATCH(B48, '2024-25 Budgets'!$A$5:$A$89, 0), MATCH($C$2, '2024-25 Budgets'!$A$5:$CQ$5, 0)),0)</f>
        <v>0</v>
      </c>
      <c r="E48" s="282"/>
      <c r="F48" s="285">
        <f t="shared" si="5"/>
        <v>0</v>
      </c>
      <c r="G48" s="219"/>
      <c r="H48" s="285">
        <f>IFERROR('2a) YE Income &amp; Expenditure'!F47,"")</f>
        <v>0</v>
      </c>
      <c r="I48" s="219"/>
      <c r="J48" s="286">
        <f t="shared" si="6"/>
        <v>0</v>
      </c>
      <c r="K48" s="212" t="str">
        <f t="shared" si="4"/>
        <v/>
      </c>
      <c r="L48" s="241"/>
    </row>
    <row r="49" spans="1:12">
      <c r="A49" s="69" t="s">
        <v>40</v>
      </c>
      <c r="B49" s="70" t="s">
        <v>41</v>
      </c>
      <c r="C49" s="278" t="str">
        <f>IFERROR(INDEX('CFR 2023-24'!$D$2:$CF$90,MATCH($C$2,'CFR 2023-24'!$D$2:$D$90,0),MATCH(B49,'CFR 2023-24'!$D$2:$CF$2,0)),"")</f>
        <v/>
      </c>
      <c r="D49" s="279">
        <f>IFERROR(INDEX('2024-25 Budgets'!$A$5:$CQ$89, MATCH(B49, '2024-25 Budgets'!$A$5:$A$89, 0), MATCH($C$2, '2024-25 Budgets'!$A$5:$CQ$5, 0)),0)</f>
        <v>0</v>
      </c>
      <c r="E49" s="282"/>
      <c r="F49" s="285">
        <f t="shared" si="5"/>
        <v>0</v>
      </c>
      <c r="G49" s="219"/>
      <c r="H49" s="285">
        <f>IFERROR('2a) YE Income &amp; Expenditure'!F48,"")</f>
        <v>0</v>
      </c>
      <c r="I49" s="219"/>
      <c r="J49" s="286">
        <f t="shared" si="6"/>
        <v>0</v>
      </c>
      <c r="K49" s="212" t="str">
        <f t="shared" si="4"/>
        <v/>
      </c>
      <c r="L49" s="241"/>
    </row>
    <row r="50" spans="1:12">
      <c r="A50" s="69" t="s">
        <v>42</v>
      </c>
      <c r="B50" s="70" t="s">
        <v>43</v>
      </c>
      <c r="C50" s="278" t="str">
        <f>IFERROR(INDEX('CFR 2023-24'!$D$2:$CF$90,MATCH($C$2,'CFR 2023-24'!$D$2:$D$90,0),MATCH(B50,'CFR 2023-24'!$D$2:$CF$2,0)),"")</f>
        <v/>
      </c>
      <c r="D50" s="279">
        <f>IFERROR(INDEX('2024-25 Budgets'!$A$5:$CQ$89, MATCH(B50, '2024-25 Budgets'!$A$5:$A$89, 0), MATCH($C$2, '2024-25 Budgets'!$A$5:$CQ$5, 0)),0)</f>
        <v>0</v>
      </c>
      <c r="E50" s="282"/>
      <c r="F50" s="285">
        <f t="shared" si="5"/>
        <v>0</v>
      </c>
      <c r="G50" s="219"/>
      <c r="H50" s="285">
        <f>IFERROR('2a) YE Income &amp; Expenditure'!F49,"")</f>
        <v>0</v>
      </c>
      <c r="I50" s="219"/>
      <c r="J50" s="286">
        <f t="shared" si="6"/>
        <v>0</v>
      </c>
      <c r="K50" s="212" t="str">
        <f t="shared" si="4"/>
        <v/>
      </c>
      <c r="L50" s="241"/>
    </row>
    <row r="51" spans="1:12">
      <c r="A51" s="69" t="s">
        <v>44</v>
      </c>
      <c r="B51" s="70" t="s">
        <v>45</v>
      </c>
      <c r="C51" s="278" t="str">
        <f>IFERROR(INDEX('CFR 2023-24'!$D$2:$CF$90,MATCH($C$2,'CFR 2023-24'!$D$2:$D$90,0),MATCH(B51,'CFR 2023-24'!$D$2:$CF$2,0)),"")</f>
        <v/>
      </c>
      <c r="D51" s="279">
        <f>IFERROR(INDEX('2024-25 Budgets'!$A$5:$CQ$89, MATCH(B51, '2024-25 Budgets'!$A$5:$A$89, 0), MATCH($C$2, '2024-25 Budgets'!$A$5:$CQ$5, 0)),0)</f>
        <v>0</v>
      </c>
      <c r="E51" s="282"/>
      <c r="F51" s="285">
        <f t="shared" si="5"/>
        <v>0</v>
      </c>
      <c r="G51" s="219"/>
      <c r="H51" s="285">
        <f>IFERROR('2a) YE Income &amp; Expenditure'!F50,"")</f>
        <v>0</v>
      </c>
      <c r="I51" s="219"/>
      <c r="J51" s="286">
        <f t="shared" si="6"/>
        <v>0</v>
      </c>
      <c r="K51" s="212" t="str">
        <f t="shared" si="4"/>
        <v/>
      </c>
      <c r="L51" s="241"/>
    </row>
    <row r="52" spans="1:12">
      <c r="A52" s="69" t="s">
        <v>46</v>
      </c>
      <c r="B52" s="70" t="s">
        <v>47</v>
      </c>
      <c r="C52" s="278" t="str">
        <f>IFERROR(INDEX('CFR 2023-24'!$D$2:$CF$90,MATCH($C$2,'CFR 2023-24'!$D$2:$D$90,0),MATCH(B52,'CFR 2023-24'!$D$2:$CF$2,0)),"")</f>
        <v/>
      </c>
      <c r="D52" s="279">
        <f>IFERROR(INDEX('2024-25 Budgets'!$A$5:$CQ$89, MATCH(B52, '2024-25 Budgets'!$A$5:$A$89, 0), MATCH($C$2, '2024-25 Budgets'!$A$5:$CQ$5, 0)),0)</f>
        <v>0</v>
      </c>
      <c r="E52" s="282"/>
      <c r="F52" s="285">
        <f t="shared" si="5"/>
        <v>0</v>
      </c>
      <c r="G52" s="219"/>
      <c r="H52" s="285">
        <f>IFERROR('2a) YE Income &amp; Expenditure'!F51,"")</f>
        <v>0</v>
      </c>
      <c r="I52" s="219"/>
      <c r="J52" s="286">
        <f t="shared" si="6"/>
        <v>0</v>
      </c>
      <c r="K52" s="212" t="str">
        <f t="shared" si="4"/>
        <v/>
      </c>
      <c r="L52" s="241"/>
    </row>
    <row r="53" spans="1:12">
      <c r="A53" s="69" t="s">
        <v>48</v>
      </c>
      <c r="B53" s="70" t="s">
        <v>49</v>
      </c>
      <c r="C53" s="278" t="str">
        <f>IFERROR(INDEX('CFR 2023-24'!$D$2:$CF$90,MATCH($C$2,'CFR 2023-24'!$D$2:$D$90,0),MATCH(B53,'CFR 2023-24'!$D$2:$CF$2,0)),"")</f>
        <v/>
      </c>
      <c r="D53" s="279">
        <f>IFERROR(INDEX('2024-25 Budgets'!$A$5:$CQ$89, MATCH(B53, '2024-25 Budgets'!$A$5:$A$89, 0), MATCH($C$2, '2024-25 Budgets'!$A$5:$CQ$5, 0)),0)</f>
        <v>0</v>
      </c>
      <c r="E53" s="282"/>
      <c r="F53" s="285">
        <f t="shared" si="5"/>
        <v>0</v>
      </c>
      <c r="G53" s="219"/>
      <c r="H53" s="285">
        <f>IFERROR('2a) YE Income &amp; Expenditure'!F52,"")</f>
        <v>0</v>
      </c>
      <c r="I53" s="219"/>
      <c r="J53" s="286">
        <f t="shared" si="6"/>
        <v>0</v>
      </c>
      <c r="K53" s="212" t="str">
        <f t="shared" si="4"/>
        <v/>
      </c>
      <c r="L53" s="241"/>
    </row>
    <row r="54" spans="1:12">
      <c r="A54" s="69" t="s">
        <v>50</v>
      </c>
      <c r="B54" s="70" t="s">
        <v>51</v>
      </c>
      <c r="C54" s="278" t="str">
        <f>IFERROR(INDEX('CFR 2023-24'!$D$2:$CF$90,MATCH($C$2,'CFR 2023-24'!$D$2:$D$90,0),MATCH(B54,'CFR 2023-24'!$D$2:$CF$2,0)),"")</f>
        <v/>
      </c>
      <c r="D54" s="279">
        <f>IFERROR(INDEX('2024-25 Budgets'!$A$5:$CQ$89, MATCH(B54, '2024-25 Budgets'!$A$5:$A$89, 0), MATCH($C$2, '2024-25 Budgets'!$A$5:$CQ$5, 0)),0)</f>
        <v>0</v>
      </c>
      <c r="E54" s="282"/>
      <c r="F54" s="285">
        <f t="shared" si="5"/>
        <v>0</v>
      </c>
      <c r="G54" s="219"/>
      <c r="H54" s="285">
        <f>IFERROR('2a) YE Income &amp; Expenditure'!F53,"")</f>
        <v>0</v>
      </c>
      <c r="I54" s="219"/>
      <c r="J54" s="286">
        <f t="shared" si="6"/>
        <v>0</v>
      </c>
      <c r="K54" s="212" t="str">
        <f t="shared" si="4"/>
        <v/>
      </c>
      <c r="L54" s="241"/>
    </row>
    <row r="55" spans="1:12">
      <c r="A55" s="69" t="s">
        <v>52</v>
      </c>
      <c r="B55" s="70" t="s">
        <v>53</v>
      </c>
      <c r="C55" s="278" t="str">
        <f>IFERROR(INDEX('CFR 2023-24'!$D$2:$CF$90,MATCH($C$2,'CFR 2023-24'!$D$2:$D$90,0),MATCH(B55,'CFR 2023-24'!$D$2:$CF$2,0)),"")</f>
        <v/>
      </c>
      <c r="D55" s="279">
        <f>IFERROR(INDEX('2024-25 Budgets'!$A$5:$CQ$89, MATCH(B55, '2024-25 Budgets'!$A$5:$A$89, 0), MATCH($C$2, '2024-25 Budgets'!$A$5:$CQ$5, 0)),0)</f>
        <v>0</v>
      </c>
      <c r="E55" s="282"/>
      <c r="F55" s="285">
        <f t="shared" si="5"/>
        <v>0</v>
      </c>
      <c r="G55" s="219"/>
      <c r="H55" s="285">
        <f>IFERROR('2a) YE Income &amp; Expenditure'!F54,"")</f>
        <v>0</v>
      </c>
      <c r="I55" s="219"/>
      <c r="J55" s="286">
        <f t="shared" si="6"/>
        <v>0</v>
      </c>
      <c r="K55" s="212" t="str">
        <f t="shared" si="4"/>
        <v/>
      </c>
      <c r="L55" s="241"/>
    </row>
    <row r="56" spans="1:12">
      <c r="A56" s="69" t="s">
        <v>54</v>
      </c>
      <c r="B56" s="70" t="s">
        <v>55</v>
      </c>
      <c r="C56" s="278" t="str">
        <f>IFERROR(INDEX('CFR 2023-24'!$D$2:$CF$90,MATCH($C$2,'CFR 2023-24'!$D$2:$D$90,0),MATCH(B56,'CFR 2023-24'!$D$2:$CF$2,0)),"")</f>
        <v/>
      </c>
      <c r="D56" s="279">
        <f>IFERROR(INDEX('2024-25 Budgets'!$A$5:$CQ$89, MATCH(B56, '2024-25 Budgets'!$A$5:$A$89, 0), MATCH($C$2, '2024-25 Budgets'!$A$5:$CQ$5, 0)),0)</f>
        <v>0</v>
      </c>
      <c r="E56" s="282"/>
      <c r="F56" s="285">
        <f t="shared" si="5"/>
        <v>0</v>
      </c>
      <c r="G56" s="219"/>
      <c r="H56" s="285">
        <f>IFERROR('2a) YE Income &amp; Expenditure'!F55,"")</f>
        <v>0</v>
      </c>
      <c r="I56" s="219"/>
      <c r="J56" s="286">
        <f t="shared" si="6"/>
        <v>0</v>
      </c>
      <c r="K56" s="212" t="str">
        <f t="shared" si="4"/>
        <v/>
      </c>
      <c r="L56" s="241"/>
    </row>
    <row r="57" spans="1:12">
      <c r="A57" s="69" t="s">
        <v>56</v>
      </c>
      <c r="B57" s="70" t="s">
        <v>57</v>
      </c>
      <c r="C57" s="278" t="str">
        <f>IFERROR(INDEX('CFR 2023-24'!$D$2:$CF$90,MATCH($C$2,'CFR 2023-24'!$D$2:$D$90,0),MATCH(B57,'CFR 2023-24'!$D$2:$CF$2,0)),"")</f>
        <v/>
      </c>
      <c r="D57" s="279">
        <f>IFERROR(INDEX('2024-25 Budgets'!$A$5:$CQ$89, MATCH(B57, '2024-25 Budgets'!$A$5:$A$89, 0), MATCH($C$2, '2024-25 Budgets'!$A$5:$CQ$5, 0)),0)</f>
        <v>0</v>
      </c>
      <c r="E57" s="282"/>
      <c r="F57" s="285">
        <f t="shared" si="5"/>
        <v>0</v>
      </c>
      <c r="G57" s="219"/>
      <c r="H57" s="285">
        <f>IFERROR('2a) YE Income &amp; Expenditure'!F56,"")</f>
        <v>0</v>
      </c>
      <c r="I57" s="219"/>
      <c r="J57" s="286">
        <f t="shared" si="6"/>
        <v>0</v>
      </c>
      <c r="K57" s="212" t="str">
        <f t="shared" si="4"/>
        <v/>
      </c>
      <c r="L57" s="241"/>
    </row>
    <row r="58" spans="1:12">
      <c r="A58" s="69" t="s">
        <v>58</v>
      </c>
      <c r="B58" s="70" t="s">
        <v>59</v>
      </c>
      <c r="C58" s="278" t="str">
        <f>IFERROR(INDEX('CFR 2023-24'!$D$2:$CF$90,MATCH($C$2,'CFR 2023-24'!$D$2:$D$90,0),MATCH(B58,'CFR 2023-24'!$D$2:$CF$2,0)),"")</f>
        <v/>
      </c>
      <c r="D58" s="279">
        <f>IFERROR(INDEX('2024-25 Budgets'!$A$5:$CQ$89, MATCH(B58, '2024-25 Budgets'!$A$5:$A$89, 0), MATCH($C$2, '2024-25 Budgets'!$A$5:$CQ$5, 0)),0)</f>
        <v>0</v>
      </c>
      <c r="E58" s="282"/>
      <c r="F58" s="285">
        <f t="shared" si="5"/>
        <v>0</v>
      </c>
      <c r="G58" s="219"/>
      <c r="H58" s="285">
        <f>IFERROR('2a) YE Income &amp; Expenditure'!F57,"")</f>
        <v>0</v>
      </c>
      <c r="I58" s="219"/>
      <c r="J58" s="286">
        <f t="shared" si="6"/>
        <v>0</v>
      </c>
      <c r="K58" s="212" t="str">
        <f t="shared" si="4"/>
        <v/>
      </c>
      <c r="L58" s="241"/>
    </row>
    <row r="59" spans="1:12">
      <c r="A59" s="69" t="s">
        <v>60</v>
      </c>
      <c r="B59" s="70" t="s">
        <v>61</v>
      </c>
      <c r="C59" s="278" t="str">
        <f>IFERROR(INDEX('CFR 2023-24'!$D$2:$CF$90,MATCH($C$2,'CFR 2023-24'!$D$2:$D$90,0),MATCH(B59,'CFR 2023-24'!$D$2:$CF$2,0)),"")</f>
        <v/>
      </c>
      <c r="D59" s="279">
        <f>IFERROR(INDEX('2024-25 Budgets'!$A$5:$CQ$89, MATCH(B59, '2024-25 Budgets'!$A$5:$A$89, 0), MATCH($C$2, '2024-25 Budgets'!$A$5:$CQ$5, 0)),0)</f>
        <v>0</v>
      </c>
      <c r="E59" s="282"/>
      <c r="F59" s="285">
        <f t="shared" si="5"/>
        <v>0</v>
      </c>
      <c r="G59" s="219"/>
      <c r="H59" s="285">
        <f>IFERROR('2a) YE Income &amp; Expenditure'!F58,"")</f>
        <v>0</v>
      </c>
      <c r="I59" s="219"/>
      <c r="J59" s="286">
        <f t="shared" si="6"/>
        <v>0</v>
      </c>
      <c r="K59" s="212" t="str">
        <f t="shared" si="4"/>
        <v/>
      </c>
      <c r="L59" s="241"/>
    </row>
    <row r="60" spans="1:12">
      <c r="A60" s="69" t="s">
        <v>62</v>
      </c>
      <c r="B60" s="70" t="s">
        <v>63</v>
      </c>
      <c r="C60" s="278" t="str">
        <f>IFERROR(INDEX('CFR 2023-24'!$D$2:$CF$90,MATCH($C$2,'CFR 2023-24'!$D$2:$D$90,0),MATCH(B60,'CFR 2023-24'!$D$2:$CF$2,0)),"")</f>
        <v/>
      </c>
      <c r="D60" s="279">
        <f>IFERROR(INDEX('2024-25 Budgets'!$A$5:$CQ$89, MATCH(B60, '2024-25 Budgets'!$A$5:$A$89, 0), MATCH($C$2, '2024-25 Budgets'!$A$5:$CQ$5, 0)),0)</f>
        <v>0</v>
      </c>
      <c r="E60" s="282"/>
      <c r="F60" s="285">
        <f t="shared" si="5"/>
        <v>0</v>
      </c>
      <c r="G60" s="219"/>
      <c r="H60" s="285">
        <f>IFERROR('2a) YE Income &amp; Expenditure'!F59,"")</f>
        <v>0</v>
      </c>
      <c r="I60" s="219"/>
      <c r="J60" s="286">
        <f t="shared" si="6"/>
        <v>0</v>
      </c>
      <c r="K60" s="212" t="str">
        <f t="shared" si="4"/>
        <v/>
      </c>
      <c r="L60" s="241"/>
    </row>
    <row r="61" spans="1:12">
      <c r="A61" s="69" t="s">
        <v>664</v>
      </c>
      <c r="B61" s="70" t="s">
        <v>64</v>
      </c>
      <c r="C61" s="278" t="str">
        <f>IFERROR(INDEX('CFR 2023-24'!$D$2:$CF$90,MATCH($C$2,'CFR 2023-24'!$D$2:$D$90,0),MATCH(B61,'CFR 2023-24'!$D$2:$CF$2,0)),"")</f>
        <v/>
      </c>
      <c r="D61" s="279">
        <f>IFERROR(INDEX('2024-25 Budgets'!$A$5:$CQ$89, MATCH(B61, '2024-25 Budgets'!$A$5:$A$89, 0), MATCH($C$2, '2024-25 Budgets'!$A$5:$CQ$5, 0)),0)</f>
        <v>0</v>
      </c>
      <c r="E61" s="282"/>
      <c r="F61" s="285">
        <f t="shared" si="5"/>
        <v>0</v>
      </c>
      <c r="G61" s="219"/>
      <c r="H61" s="285">
        <f>IFERROR('2a) YE Income &amp; Expenditure'!F60,"")</f>
        <v>0</v>
      </c>
      <c r="I61" s="219"/>
      <c r="J61" s="286">
        <f t="shared" si="6"/>
        <v>0</v>
      </c>
      <c r="K61" s="212"/>
      <c r="L61" s="241"/>
    </row>
    <row r="62" spans="1:12">
      <c r="A62" s="69" t="s">
        <v>513</v>
      </c>
      <c r="B62" s="70" t="s">
        <v>507</v>
      </c>
      <c r="C62" s="278" t="str">
        <f>IFERROR(INDEX('CFR 2023-24'!$D$2:$CF$90,MATCH($C$2,'CFR 2023-24'!$D$2:$D$90,0),MATCH(B62,'CFR 2023-24'!$D$2:$CF$2,0)),"")</f>
        <v/>
      </c>
      <c r="D62" s="279">
        <f>IFERROR(INDEX('2024-25 Budgets'!$A$5:$CQ$89, MATCH(B62, '2024-25 Budgets'!$A$5:$A$89, 0), MATCH($C$2, '2024-25 Budgets'!$A$5:$CQ$5, 0)),0)</f>
        <v>0</v>
      </c>
      <c r="E62" s="282"/>
      <c r="F62" s="285">
        <f t="shared" si="5"/>
        <v>0</v>
      </c>
      <c r="G62" s="219"/>
      <c r="H62" s="285">
        <f>IFERROR('2a) YE Income &amp; Expenditure'!F61,"")</f>
        <v>0</v>
      </c>
      <c r="I62" s="219"/>
      <c r="J62" s="286">
        <f t="shared" si="6"/>
        <v>0</v>
      </c>
      <c r="K62" s="212" t="str">
        <f t="shared" si="4"/>
        <v/>
      </c>
      <c r="L62" s="241"/>
    </row>
    <row r="63" spans="1:12">
      <c r="A63" s="69" t="s">
        <v>514</v>
      </c>
      <c r="B63" s="70" t="s">
        <v>508</v>
      </c>
      <c r="C63" s="278" t="str">
        <f>IFERROR(INDEX('CFR 2023-24'!$D$2:$CF$90,MATCH($C$2,'CFR 2023-24'!$D$2:$D$90,0),MATCH(B63,'CFR 2023-24'!$D$2:$CF$2,0)),"")</f>
        <v/>
      </c>
      <c r="D63" s="279">
        <f>IFERROR(INDEX('2024-25 Budgets'!$A$5:$CQ$89, MATCH(B63, '2024-25 Budgets'!$A$5:$A$89, 0), MATCH($C$2, '2024-25 Budgets'!$A$5:$CQ$5, 0)),0)</f>
        <v>0</v>
      </c>
      <c r="E63" s="282"/>
      <c r="F63" s="285">
        <f t="shared" ref="F63:F67" si="7">IFERROR(D63+E63,"")</f>
        <v>0</v>
      </c>
      <c r="G63" s="219"/>
      <c r="H63" s="285">
        <f>IFERROR('2a) YE Income &amp; Expenditure'!F62,"")</f>
        <v>0</v>
      </c>
      <c r="I63" s="219"/>
      <c r="J63" s="286">
        <f t="shared" ref="J63:J67" si="8">IFERROR(D63-H63,"")</f>
        <v>0</v>
      </c>
      <c r="K63" s="212"/>
      <c r="L63" s="241"/>
    </row>
    <row r="64" spans="1:12">
      <c r="A64" s="69" t="s">
        <v>515</v>
      </c>
      <c r="B64" s="70" t="s">
        <v>509</v>
      </c>
      <c r="C64" s="278" t="str">
        <f>IFERROR(INDEX('CFR 2023-24'!$D$2:$CF$90,MATCH($C$2,'CFR 2023-24'!$D$2:$D$90,0),MATCH(B64,'CFR 2023-24'!$D$2:$CF$2,0)),"")</f>
        <v/>
      </c>
      <c r="D64" s="279">
        <f>IFERROR(INDEX('2024-25 Budgets'!$A$5:$CQ$89, MATCH(B64, '2024-25 Budgets'!$A$5:$A$89, 0), MATCH($C$2, '2024-25 Budgets'!$A$5:$CQ$5, 0)),0)</f>
        <v>0</v>
      </c>
      <c r="E64" s="282"/>
      <c r="F64" s="285">
        <f t="shared" si="7"/>
        <v>0</v>
      </c>
      <c r="G64" s="219"/>
      <c r="H64" s="285">
        <f>IFERROR('2a) YE Income &amp; Expenditure'!F63,"")</f>
        <v>0</v>
      </c>
      <c r="I64" s="219"/>
      <c r="J64" s="286">
        <f t="shared" si="8"/>
        <v>0</v>
      </c>
      <c r="K64" s="212"/>
      <c r="L64" s="241"/>
    </row>
    <row r="65" spans="1:12">
      <c r="A65" s="69" t="s">
        <v>516</v>
      </c>
      <c r="B65" s="70" t="s">
        <v>510</v>
      </c>
      <c r="C65" s="278" t="str">
        <f>IFERROR(INDEX('CFR 2023-24'!$D$2:$CF$90,MATCH($C$2,'CFR 2023-24'!$D$2:$D$90,0),MATCH(B65,'CFR 2023-24'!$D$2:$CF$2,0)),"")</f>
        <v/>
      </c>
      <c r="D65" s="279">
        <f>IFERROR(INDEX('2024-25 Budgets'!$A$5:$CQ$89, MATCH(B65, '2024-25 Budgets'!$A$5:$A$89, 0), MATCH($C$2, '2024-25 Budgets'!$A$5:$CQ$5, 0)),0)</f>
        <v>0</v>
      </c>
      <c r="E65" s="282"/>
      <c r="F65" s="285">
        <f t="shared" si="7"/>
        <v>0</v>
      </c>
      <c r="G65" s="219"/>
      <c r="H65" s="285">
        <f>IFERROR('2a) YE Income &amp; Expenditure'!F64,"")</f>
        <v>0</v>
      </c>
      <c r="I65" s="219"/>
      <c r="J65" s="286">
        <f t="shared" si="8"/>
        <v>0</v>
      </c>
      <c r="K65" s="212"/>
      <c r="L65" s="241"/>
    </row>
    <row r="66" spans="1:12">
      <c r="A66" s="69" t="s">
        <v>517</v>
      </c>
      <c r="B66" s="70" t="s">
        <v>511</v>
      </c>
      <c r="C66" s="278" t="str">
        <f>IFERROR(INDEX('CFR 2023-24'!$D$2:$CF$90,MATCH($C$2,'CFR 2023-24'!$D$2:$D$90,0),MATCH(B66,'CFR 2023-24'!$D$2:$CF$2,0)),"")</f>
        <v/>
      </c>
      <c r="D66" s="279">
        <f>IFERROR(INDEX('2024-25 Budgets'!$A$5:$CQ$89, MATCH(B66, '2024-25 Budgets'!$A$5:$A$89, 0), MATCH($C$2, '2024-25 Budgets'!$A$5:$CQ$5, 0)),0)</f>
        <v>0</v>
      </c>
      <c r="E66" s="282"/>
      <c r="F66" s="285">
        <f t="shared" si="7"/>
        <v>0</v>
      </c>
      <c r="G66" s="219"/>
      <c r="H66" s="285">
        <f>IFERROR('2a) YE Income &amp; Expenditure'!F65,"")</f>
        <v>0</v>
      </c>
      <c r="I66" s="219"/>
      <c r="J66" s="286">
        <f t="shared" si="8"/>
        <v>0</v>
      </c>
      <c r="K66" s="212"/>
      <c r="L66" s="241"/>
    </row>
    <row r="67" spans="1:12">
      <c r="A67" s="69" t="s">
        <v>518</v>
      </c>
      <c r="B67" s="70" t="s">
        <v>512</v>
      </c>
      <c r="C67" s="278" t="str">
        <f>IFERROR(INDEX('CFR 2023-24'!$D$2:$CF$90,MATCH($C$2,'CFR 2023-24'!$D$2:$D$90,0),MATCH(B67,'CFR 2023-24'!$D$2:$CF$2,0)),"")</f>
        <v/>
      </c>
      <c r="D67" s="279">
        <f>IFERROR(INDEX('2024-25 Budgets'!$A$5:$CQ$89, MATCH(B67, '2024-25 Budgets'!$A$5:$A$89, 0), MATCH($C$2, '2024-25 Budgets'!$A$5:$CQ$5, 0)),0)</f>
        <v>0</v>
      </c>
      <c r="E67" s="282"/>
      <c r="F67" s="285">
        <f t="shared" si="7"/>
        <v>0</v>
      </c>
      <c r="G67" s="219"/>
      <c r="H67" s="285">
        <f>IFERROR('2a) YE Income &amp; Expenditure'!F66,"")</f>
        <v>0</v>
      </c>
      <c r="I67" s="219"/>
      <c r="J67" s="286">
        <f t="shared" si="8"/>
        <v>0</v>
      </c>
      <c r="K67" s="212"/>
      <c r="L67" s="241"/>
    </row>
    <row r="68" spans="1:12">
      <c r="A68" s="69" t="s">
        <v>709</v>
      </c>
      <c r="B68" s="70" t="s">
        <v>710</v>
      </c>
      <c r="C68" s="278"/>
      <c r="D68" s="279">
        <f>IFERROR(INDEX('2024-25 Budgets'!$A$5:$CQ$89, MATCH(B68, '2024-25 Budgets'!$A$5:$A$89, 0), MATCH($C$2, '2024-25 Budgets'!$A$5:$CQ$5, 0)),0)</f>
        <v>0</v>
      </c>
      <c r="E68" s="282"/>
      <c r="F68" s="285">
        <f t="shared" ref="F68" si="9">IFERROR(D68+E68,"")</f>
        <v>0</v>
      </c>
      <c r="G68" s="219"/>
      <c r="H68" s="285">
        <f>IFERROR('2a) YE Income &amp; Expenditure'!F67,"")</f>
        <v>0</v>
      </c>
      <c r="I68" s="219"/>
      <c r="J68" s="286">
        <f t="shared" ref="J68" si="10">IFERROR(D68-H68,"")</f>
        <v>0</v>
      </c>
      <c r="K68" s="212"/>
      <c r="L68" s="241"/>
    </row>
    <row r="69" spans="1:12">
      <c r="A69" s="69" t="s">
        <v>65</v>
      </c>
      <c r="B69" s="70" t="s">
        <v>66</v>
      </c>
      <c r="C69" s="278" t="str">
        <f>IFERROR(INDEX('CFR 2023-24'!$D$2:$CF$90,MATCH($C$2,'CFR 2023-24'!$D$2:$D$90,0),MATCH(B69,'CFR 2023-24'!$D$2:$CF$2,0)),"")</f>
        <v/>
      </c>
      <c r="D69" s="279">
        <f>IFERROR(INDEX('2024-25 Budgets'!$A$5:$CQ$89, MATCH(B69, '2024-25 Budgets'!$A$5:$A$89, 0), MATCH($C$2, '2024-25 Budgets'!$A$5:$CQ$5, 0)),0)</f>
        <v>0</v>
      </c>
      <c r="E69" s="282"/>
      <c r="F69" s="285">
        <f t="shared" si="5"/>
        <v>0</v>
      </c>
      <c r="G69" s="219"/>
      <c r="H69" s="285">
        <f>IFERROR('2a) YE Income &amp; Expenditure'!F68,"")</f>
        <v>0</v>
      </c>
      <c r="I69" s="219"/>
      <c r="J69" s="286">
        <f t="shared" si="6"/>
        <v>0</v>
      </c>
      <c r="K69" s="212" t="str">
        <f t="shared" si="4"/>
        <v/>
      </c>
      <c r="L69" s="241"/>
    </row>
    <row r="70" spans="1:12">
      <c r="A70" s="69" t="s">
        <v>67</v>
      </c>
      <c r="B70" s="70" t="s">
        <v>68</v>
      </c>
      <c r="C70" s="278" t="str">
        <f>IFERROR(INDEX('CFR 2023-24'!$D$2:$CF$90,MATCH($C$2,'CFR 2023-24'!$D$2:$D$90,0),MATCH(B70,'CFR 2023-24'!$D$2:$CF$2,0)),"")</f>
        <v/>
      </c>
      <c r="D70" s="279">
        <f>IFERROR(INDEX('2024-25 Budgets'!$A$5:$CQ$89, MATCH(B70, '2024-25 Budgets'!$A$5:$A$89, 0), MATCH($C$2, '2024-25 Budgets'!$A$5:$CQ$5, 0)),0)</f>
        <v>0</v>
      </c>
      <c r="E70" s="282"/>
      <c r="F70" s="285">
        <f t="shared" si="5"/>
        <v>0</v>
      </c>
      <c r="G70" s="219"/>
      <c r="H70" s="285">
        <f>IFERROR('2a) YE Income &amp; Expenditure'!F69,"")</f>
        <v>0</v>
      </c>
      <c r="I70" s="219"/>
      <c r="J70" s="286">
        <f t="shared" si="6"/>
        <v>0</v>
      </c>
      <c r="K70" s="212" t="str">
        <f t="shared" si="4"/>
        <v/>
      </c>
      <c r="L70" s="241"/>
    </row>
    <row r="71" spans="1:12">
      <c r="A71" s="69" t="s">
        <v>69</v>
      </c>
      <c r="B71" s="70" t="s">
        <v>70</v>
      </c>
      <c r="C71" s="278" t="str">
        <f>IFERROR(INDEX('CFR 2023-24'!$D$2:$CF$90,MATCH($C$2,'CFR 2023-24'!$D$2:$D$90,0),MATCH(B71,'CFR 2023-24'!$D$2:$CF$2,0)),"")</f>
        <v/>
      </c>
      <c r="D71" s="279">
        <f>IFERROR(INDEX('2024-25 Budgets'!$A$5:$CQ$89, MATCH(B71, '2024-25 Budgets'!$A$5:$A$89, 0), MATCH($C$2, '2024-25 Budgets'!$A$5:$CQ$5, 0)),0)</f>
        <v>0</v>
      </c>
      <c r="E71" s="282"/>
      <c r="F71" s="285">
        <f t="shared" si="5"/>
        <v>0</v>
      </c>
      <c r="G71" s="219"/>
      <c r="H71" s="285">
        <f>IFERROR('2a) YE Income &amp; Expenditure'!F70,"")</f>
        <v>0</v>
      </c>
      <c r="I71" s="219"/>
      <c r="J71" s="286">
        <f t="shared" si="6"/>
        <v>0</v>
      </c>
      <c r="K71" s="212" t="str">
        <f t="shared" si="4"/>
        <v/>
      </c>
      <c r="L71" s="241"/>
    </row>
    <row r="72" spans="1:12">
      <c r="A72" s="69" t="s">
        <v>71</v>
      </c>
      <c r="B72" s="70" t="s">
        <v>72</v>
      </c>
      <c r="C72" s="278" t="str">
        <f>IFERROR(INDEX('CFR 2023-24'!$D$2:$CF$90,MATCH($C$2,'CFR 2023-24'!$D$2:$D$90,0),MATCH(B72,'CFR 2023-24'!$D$2:$CF$2,0)),"")</f>
        <v/>
      </c>
      <c r="D72" s="279">
        <f>IFERROR(INDEX('2024-25 Budgets'!$A$5:$CQ$89, MATCH(B72, '2024-25 Budgets'!$A$5:$A$89, 0), MATCH($C$2, '2024-25 Budgets'!$A$5:$CQ$5, 0)),0)</f>
        <v>0</v>
      </c>
      <c r="E72" s="282"/>
      <c r="F72" s="285">
        <f t="shared" si="5"/>
        <v>0</v>
      </c>
      <c r="G72" s="219"/>
      <c r="H72" s="285">
        <f>IFERROR('2a) YE Income &amp; Expenditure'!F71,"")</f>
        <v>0</v>
      </c>
      <c r="I72" s="219"/>
      <c r="J72" s="286">
        <f t="shared" si="6"/>
        <v>0</v>
      </c>
      <c r="K72" s="212" t="str">
        <f t="shared" si="4"/>
        <v/>
      </c>
      <c r="L72" s="241"/>
    </row>
    <row r="73" spans="1:12">
      <c r="A73" s="69" t="s">
        <v>73</v>
      </c>
      <c r="B73" s="70" t="s">
        <v>74</v>
      </c>
      <c r="C73" s="278" t="str">
        <f>IFERROR(INDEX('CFR 2023-24'!$D$2:$CF$90,MATCH($C$2,'CFR 2023-24'!$D$2:$D$90,0),MATCH(B73,'CFR 2023-24'!$D$2:$CF$2,0)),"")</f>
        <v/>
      </c>
      <c r="D73" s="279">
        <f>IFERROR(INDEX('2024-25 Budgets'!$A$5:$CQ$89, MATCH(B73, '2024-25 Budgets'!$A$5:$A$89, 0), MATCH($C$2, '2024-25 Budgets'!$A$5:$CQ$5, 0)),0)</f>
        <v>0</v>
      </c>
      <c r="E73" s="282"/>
      <c r="F73" s="285">
        <f t="shared" si="5"/>
        <v>0</v>
      </c>
      <c r="G73" s="219"/>
      <c r="H73" s="285">
        <f>IFERROR('2a) YE Income &amp; Expenditure'!F72,"")</f>
        <v>0</v>
      </c>
      <c r="I73" s="219"/>
      <c r="J73" s="286">
        <f t="shared" si="6"/>
        <v>0</v>
      </c>
      <c r="K73" s="212" t="str">
        <f t="shared" si="4"/>
        <v/>
      </c>
      <c r="L73" s="241"/>
    </row>
    <row r="74" spans="1:12">
      <c r="A74" s="69" t="s">
        <v>75</v>
      </c>
      <c r="B74" s="70" t="s">
        <v>76</v>
      </c>
      <c r="C74" s="278" t="str">
        <f>IFERROR(INDEX('CFR 2023-24'!$D$2:$CF$90,MATCH($C$2,'CFR 2023-24'!$D$2:$D$90,0),MATCH(B74,'CFR 2023-24'!$D$2:$CF$2,0)),"")</f>
        <v/>
      </c>
      <c r="D74" s="279">
        <f>IFERROR(INDEX('2024-25 Budgets'!$A$5:$CQ$89, MATCH(B74, '2024-25 Budgets'!$A$5:$A$89, 0), MATCH($C$2, '2024-25 Budgets'!$A$5:$CQ$5, 0)),0)</f>
        <v>0</v>
      </c>
      <c r="E74" s="282"/>
      <c r="F74" s="285">
        <f t="shared" si="5"/>
        <v>0</v>
      </c>
      <c r="G74" s="219"/>
      <c r="H74" s="285">
        <f>IFERROR('2a) YE Income &amp; Expenditure'!F73,"")</f>
        <v>0</v>
      </c>
      <c r="I74" s="219"/>
      <c r="J74" s="286">
        <f t="shared" si="6"/>
        <v>0</v>
      </c>
      <c r="K74" s="212" t="str">
        <f t="shared" si="4"/>
        <v/>
      </c>
      <c r="L74" s="241"/>
    </row>
    <row r="75" spans="1:12">
      <c r="A75" s="69" t="s">
        <v>77</v>
      </c>
      <c r="B75" s="70" t="s">
        <v>78</v>
      </c>
      <c r="C75" s="278" t="str">
        <f>IFERROR(INDEX('CFR 2023-24'!$D$2:$CF$90,MATCH($C$2,'CFR 2023-24'!$D$2:$D$90,0),MATCH(B75,'CFR 2023-24'!$D$2:$CF$2,0)),"")</f>
        <v/>
      </c>
      <c r="D75" s="279">
        <f>IFERROR(INDEX('2024-25 Budgets'!$A$5:$CQ$89, MATCH(B75, '2024-25 Budgets'!$A$5:$A$89, 0), MATCH($C$2, '2024-25 Budgets'!$A$5:$CQ$5, 0)),0)</f>
        <v>0</v>
      </c>
      <c r="E75" s="282"/>
      <c r="F75" s="285">
        <f t="shared" si="5"/>
        <v>0</v>
      </c>
      <c r="G75" s="219"/>
      <c r="H75" s="285">
        <f>IFERROR('2a) YE Income &amp; Expenditure'!F74,"")</f>
        <v>0</v>
      </c>
      <c r="I75" s="219"/>
      <c r="J75" s="286">
        <f t="shared" si="6"/>
        <v>0</v>
      </c>
      <c r="K75" s="212" t="str">
        <f t="shared" si="4"/>
        <v/>
      </c>
      <c r="L75" s="241"/>
    </row>
    <row r="76" spans="1:12">
      <c r="A76" s="69" t="s">
        <v>79</v>
      </c>
      <c r="B76" s="70" t="s">
        <v>229</v>
      </c>
      <c r="C76" s="278" t="str">
        <f>IFERROR(INDEX('CFR 2023-24'!$D$2:$CF$90,MATCH($C$2,'CFR 2023-24'!$D$2:$D$90,0),MATCH(B76,'CFR 2023-24'!$D$2:$CF$2,0)),"")</f>
        <v/>
      </c>
      <c r="D76" s="279">
        <f>IFERROR(INDEX('2024-25 Budgets'!$A$5:$CQ$89, MATCH(B76, '2024-25 Budgets'!$A$5:$A$89, 0), MATCH($C$2, '2024-25 Budgets'!$A$5:$CQ$5, 0)),0)</f>
        <v>0</v>
      </c>
      <c r="E76" s="282"/>
      <c r="F76" s="285">
        <f t="shared" si="5"/>
        <v>0</v>
      </c>
      <c r="G76" s="219"/>
      <c r="H76" s="285">
        <f>IFERROR('2a) YE Income &amp; Expenditure'!F75,"")</f>
        <v>0</v>
      </c>
      <c r="I76" s="219"/>
      <c r="J76" s="286">
        <f t="shared" si="6"/>
        <v>0</v>
      </c>
      <c r="K76" s="212" t="str">
        <f t="shared" si="4"/>
        <v/>
      </c>
      <c r="L76" s="241"/>
    </row>
    <row r="77" spans="1:12">
      <c r="A77" s="69" t="s">
        <v>80</v>
      </c>
      <c r="B77" s="70" t="s">
        <v>230</v>
      </c>
      <c r="C77" s="278" t="str">
        <f>IFERROR(INDEX('CFR 2023-24'!$D$2:$CF$90,MATCH($C$2,'CFR 2023-24'!$D$2:$D$90,0),MATCH(B77,'CFR 2023-24'!$D$2:$CF$2,0)),"")</f>
        <v/>
      </c>
      <c r="D77" s="279">
        <f>IFERROR(INDEX('2024-25 Budgets'!$A$5:$CQ$89, MATCH(B77, '2024-25 Budgets'!$A$5:$A$89, 0), MATCH($C$2, '2024-25 Budgets'!$A$5:$CQ$5, 0)),0)</f>
        <v>0</v>
      </c>
      <c r="E77" s="282"/>
      <c r="F77" s="285">
        <f t="shared" si="5"/>
        <v>0</v>
      </c>
      <c r="G77" s="219"/>
      <c r="H77" s="285">
        <f>IFERROR('2a) YE Income &amp; Expenditure'!F76,"")</f>
        <v>0</v>
      </c>
      <c r="I77" s="219"/>
      <c r="J77" s="286">
        <f t="shared" si="6"/>
        <v>0</v>
      </c>
      <c r="K77" s="212" t="str">
        <f t="shared" si="4"/>
        <v/>
      </c>
      <c r="L77" s="241"/>
    </row>
    <row r="78" spans="1:12">
      <c r="A78" s="69" t="s">
        <v>81</v>
      </c>
      <c r="B78" s="70" t="s">
        <v>82</v>
      </c>
      <c r="C78" s="278" t="str">
        <f>IFERROR(INDEX('CFR 2023-24'!$D$2:$CF$90,MATCH($C$2,'CFR 2023-24'!$D$2:$D$90,0),MATCH(B78,'CFR 2023-24'!$D$2:$CF$2,0)),"")</f>
        <v/>
      </c>
      <c r="D78" s="279">
        <f>IFERROR(INDEX('2024-25 Budgets'!$A$5:$CQ$89, MATCH(B78, '2024-25 Budgets'!$A$5:$A$89, 0), MATCH($C$2, '2024-25 Budgets'!$A$5:$CQ$5, 0)),0)</f>
        <v>0</v>
      </c>
      <c r="E78" s="282"/>
      <c r="F78" s="285">
        <f t="shared" si="5"/>
        <v>0</v>
      </c>
      <c r="G78" s="219"/>
      <c r="H78" s="285">
        <f>IFERROR('2a) YE Income &amp; Expenditure'!F77,"")</f>
        <v>0</v>
      </c>
      <c r="I78" s="219"/>
      <c r="J78" s="286">
        <f t="shared" si="6"/>
        <v>0</v>
      </c>
      <c r="K78" s="212" t="str">
        <f t="shared" si="4"/>
        <v/>
      </c>
      <c r="L78" s="241"/>
    </row>
    <row r="79" spans="1:12">
      <c r="A79" s="69" t="s">
        <v>83</v>
      </c>
      <c r="B79" s="70" t="s">
        <v>84</v>
      </c>
      <c r="C79" s="278" t="str">
        <f>IFERROR(INDEX('CFR 2023-24'!$D$2:$CF$90,MATCH($C$2,'CFR 2023-24'!$D$2:$D$90,0),MATCH(B79,'CFR 2023-24'!$D$2:$CF$2,0)),"")</f>
        <v/>
      </c>
      <c r="D79" s="279">
        <f>IFERROR(INDEX('2024-25 Budgets'!$A$5:$CQ$89, MATCH(B79, '2024-25 Budgets'!$A$5:$A$89, 0), MATCH($C$2, '2024-25 Budgets'!$A$5:$CQ$5, 0)),0)</f>
        <v>0</v>
      </c>
      <c r="E79" s="282"/>
      <c r="F79" s="285">
        <f t="shared" si="5"/>
        <v>0</v>
      </c>
      <c r="G79" s="219"/>
      <c r="H79" s="285">
        <f>IFERROR('2a) YE Income &amp; Expenditure'!F78,"")</f>
        <v>0</v>
      </c>
      <c r="I79" s="219"/>
      <c r="J79" s="286">
        <f t="shared" si="6"/>
        <v>0</v>
      </c>
      <c r="K79" s="212" t="str">
        <f t="shared" si="4"/>
        <v/>
      </c>
      <c r="L79" s="241"/>
    </row>
    <row r="80" spans="1:12">
      <c r="A80" s="69" t="s">
        <v>104</v>
      </c>
      <c r="B80" s="70" t="s">
        <v>106</v>
      </c>
      <c r="C80" s="278" t="str">
        <f>IFERROR(INDEX('CFR 2023-24'!$D$2:$CF$90,MATCH($C$2,'CFR 2023-24'!$D$2:$D$90,0),MATCH(B80,'CFR 2023-24'!$D$2:$CF$2,0)),"")</f>
        <v/>
      </c>
      <c r="D80" s="279">
        <f>IFERROR(INDEX('2024-25 Budgets'!$A$5:$CQ$89, MATCH(B80, '2024-25 Budgets'!$A$5:$A$89, 0), MATCH($C$2, '2024-25 Budgets'!$A$5:$CQ$5, 0)),0)</f>
        <v>0</v>
      </c>
      <c r="E80" s="282"/>
      <c r="F80" s="285">
        <f t="shared" si="5"/>
        <v>0</v>
      </c>
      <c r="G80" s="219"/>
      <c r="H80" s="285">
        <f>IFERROR('2a) YE Income &amp; Expenditure'!F79,"")</f>
        <v>0</v>
      </c>
      <c r="I80" s="219"/>
      <c r="J80" s="286">
        <f t="shared" si="6"/>
        <v>0</v>
      </c>
      <c r="K80" s="212" t="str">
        <f t="shared" si="4"/>
        <v/>
      </c>
      <c r="L80" s="241"/>
    </row>
    <row r="81" spans="1:12" ht="15" thickBot="1">
      <c r="A81" s="71" t="s">
        <v>105</v>
      </c>
      <c r="B81" s="72" t="s">
        <v>107</v>
      </c>
      <c r="C81" s="278" t="str">
        <f>IFERROR(INDEX('CFR 2023-24'!$D$2:$CF$90,MATCH($C$2,'CFR 2023-24'!$D$2:$D$90,0),MATCH(B81,'CFR 2023-24'!$D$2:$CF$2,0)),"")</f>
        <v/>
      </c>
      <c r="D81" s="279">
        <f>IFERROR(INDEX('2024-25 Budgets'!$A$5:$CQ$89, MATCH(B81, '2024-25 Budgets'!$A$5:$A$89, 0), MATCH($C$2, '2024-25 Budgets'!$A$5:$CQ$5, 0)),0)</f>
        <v>0</v>
      </c>
      <c r="E81" s="282"/>
      <c r="F81" s="285">
        <f t="shared" si="5"/>
        <v>0</v>
      </c>
      <c r="G81" s="219"/>
      <c r="H81" s="285">
        <f>IFERROR('2a) YE Income &amp; Expenditure'!F80,"")</f>
        <v>0</v>
      </c>
      <c r="I81" s="219"/>
      <c r="J81" s="286">
        <f t="shared" si="6"/>
        <v>0</v>
      </c>
      <c r="K81" s="212" t="str">
        <f t="shared" si="4"/>
        <v/>
      </c>
      <c r="L81" s="241"/>
    </row>
    <row r="82" spans="1:12" ht="15" thickBot="1">
      <c r="A82" s="79" t="s">
        <v>85</v>
      </c>
      <c r="B82" s="80"/>
      <c r="C82" s="74">
        <f>SUM(C42:C81)</f>
        <v>0</v>
      </c>
      <c r="D82" s="74">
        <f>SUM(D42:D81)</f>
        <v>0</v>
      </c>
      <c r="E82" s="74">
        <f>SUM(E42:E81)</f>
        <v>0</v>
      </c>
      <c r="F82" s="74">
        <f>SUM(F42:F81)</f>
        <v>0</v>
      </c>
      <c r="G82" s="219"/>
      <c r="H82" s="74">
        <f>SUM(H42:H81)</f>
        <v>0</v>
      </c>
      <c r="I82" s="219"/>
      <c r="J82" s="74">
        <f>SUM(J42:J81)</f>
        <v>0</v>
      </c>
      <c r="K82" s="213" t="str">
        <f t="shared" si="4"/>
        <v/>
      </c>
      <c r="L82" s="223"/>
    </row>
    <row r="83" spans="1:12" ht="15" thickBot="1">
      <c r="C83" s="219"/>
      <c r="D83" s="219"/>
      <c r="E83" s="219"/>
      <c r="F83" s="219"/>
      <c r="G83" s="219"/>
      <c r="H83" s="219"/>
      <c r="I83" s="219"/>
      <c r="J83" s="219"/>
      <c r="K83" s="224"/>
    </row>
    <row r="84" spans="1:12" ht="15" thickBot="1">
      <c r="A84" s="629" t="s">
        <v>243</v>
      </c>
      <c r="B84" s="630"/>
      <c r="C84" s="74">
        <f>C37-C82</f>
        <v>0</v>
      </c>
      <c r="D84" s="74">
        <f>D37-D82</f>
        <v>0</v>
      </c>
      <c r="E84" s="74">
        <f>E37-E82</f>
        <v>0</v>
      </c>
      <c r="F84" s="74">
        <f>F37-F82</f>
        <v>0</v>
      </c>
      <c r="G84" s="75"/>
      <c r="H84" s="74">
        <f>H37-H82</f>
        <v>0</v>
      </c>
      <c r="I84" s="75"/>
      <c r="J84" s="74">
        <f>J37+J82</f>
        <v>0</v>
      </c>
      <c r="K84" s="82"/>
    </row>
    <row r="85" spans="1:12" ht="19.5" customHeight="1">
      <c r="A85" s="83"/>
      <c r="C85" s="225"/>
      <c r="D85" s="225"/>
      <c r="E85" s="225"/>
      <c r="F85" s="225"/>
      <c r="G85" s="225"/>
      <c r="H85" s="225"/>
      <c r="I85" s="225"/>
      <c r="J85" s="225"/>
      <c r="K85" s="225"/>
    </row>
    <row r="86" spans="1:12" ht="19.5" customHeight="1">
      <c r="A86" s="184" t="s">
        <v>234</v>
      </c>
      <c r="B86" s="287"/>
      <c r="C86" s="288"/>
      <c r="D86" s="288"/>
      <c r="E86" s="225"/>
      <c r="F86" s="288"/>
      <c r="G86" s="225"/>
      <c r="H86" s="288"/>
      <c r="I86" s="225"/>
      <c r="J86" s="225"/>
      <c r="K86" s="225"/>
    </row>
    <row r="87" spans="1:12">
      <c r="A87" s="185" t="s">
        <v>304</v>
      </c>
      <c r="B87" s="62" t="s">
        <v>2</v>
      </c>
      <c r="C87" s="43" t="s">
        <v>706</v>
      </c>
      <c r="D87" s="44" t="s">
        <v>499</v>
      </c>
      <c r="E87" s="225"/>
      <c r="F87" s="44" t="s">
        <v>499</v>
      </c>
      <c r="G87" s="224"/>
      <c r="H87" s="44" t="s">
        <v>499</v>
      </c>
      <c r="I87" s="225"/>
      <c r="J87" s="225"/>
      <c r="K87" s="225"/>
    </row>
    <row r="88" spans="1:12" ht="19.5" customHeight="1">
      <c r="A88" s="69" t="s">
        <v>235</v>
      </c>
      <c r="B88" s="70" t="s">
        <v>231</v>
      </c>
      <c r="C88" s="278" t="str">
        <f>IFERROR(INDEX('CFR 2023-24'!$D$2:$CF$90,MATCH($C$2,'CFR 2023-24'!$D$2:$D$90,0),MATCH(B88,'CFR 2023-24'!$D$2:$CF$2,0)),"")</f>
        <v/>
      </c>
      <c r="D88" s="279">
        <f>IFERROR(INDEX('2024-25 Budgets'!$A$5:$CQ$89, MATCH(B88, '2024-25 Budgets'!$A$5:$A$89, 0), MATCH($C$2, '2024-25 Budgets'!$A$5:$CQ$5, 0)),0)</f>
        <v>0</v>
      </c>
      <c r="E88" s="225"/>
      <c r="F88" s="284">
        <f>D88</f>
        <v>0</v>
      </c>
      <c r="G88" s="219"/>
      <c r="H88" s="284">
        <f>F88</f>
        <v>0</v>
      </c>
      <c r="I88" s="225"/>
      <c r="J88" s="225"/>
      <c r="K88" s="225"/>
    </row>
    <row r="89" spans="1:12" ht="19.5" customHeight="1" thickBot="1">
      <c r="A89" s="71" t="s">
        <v>236</v>
      </c>
      <c r="B89" s="72" t="s">
        <v>233</v>
      </c>
      <c r="C89" s="278" t="str">
        <f>IFERROR(INDEX('CFR 2023-24'!$D$2:$CF$90,MATCH($C$2,'CFR 2023-24'!$D$2:$D$90,0),MATCH(B89,'CFR 2023-24'!$D$2:$CF$2,0)),"")</f>
        <v/>
      </c>
      <c r="D89" s="279">
        <f>IFERROR(INDEX('2024-25 Budgets'!$A$5:$CQ$89, MATCH(B89, '2024-25 Budgets'!$A$5:$A$89, 0), MATCH($C$2, '2024-25 Budgets'!$A$5:$CQ$5, 0)),0)</f>
        <v>0</v>
      </c>
      <c r="E89" s="225"/>
      <c r="F89" s="289">
        <f>D89</f>
        <v>0</v>
      </c>
      <c r="G89" s="219"/>
      <c r="H89" s="289">
        <f>F89</f>
        <v>0</v>
      </c>
      <c r="I89" s="225"/>
      <c r="J89" s="225"/>
      <c r="K89" s="225"/>
    </row>
    <row r="90" spans="1:12" ht="19.5" customHeight="1" thickBot="1">
      <c r="A90" s="85" t="s">
        <v>315</v>
      </c>
      <c r="B90" s="86" t="s">
        <v>247</v>
      </c>
      <c r="C90" s="87" t="str">
        <f>IFERROR(C89+C88,"")</f>
        <v/>
      </c>
      <c r="D90" s="88">
        <f>IFERROR(D89+D88,"")</f>
        <v>0</v>
      </c>
      <c r="E90" s="219"/>
      <c r="F90" s="74">
        <f>IFERROR(F89+F88,"")</f>
        <v>0</v>
      </c>
      <c r="G90" s="219"/>
      <c r="H90" s="74">
        <f>IFERROR(H89+H88,"")</f>
        <v>0</v>
      </c>
      <c r="I90" s="225"/>
      <c r="J90" s="225"/>
      <c r="K90" s="225"/>
    </row>
    <row r="91" spans="1:12" ht="19.5" customHeight="1">
      <c r="A91" s="83"/>
      <c r="C91" s="219"/>
      <c r="D91" s="219"/>
      <c r="E91" s="219"/>
      <c r="F91" s="219"/>
      <c r="G91" s="219"/>
      <c r="H91" s="219"/>
      <c r="I91" s="225"/>
      <c r="J91" s="225"/>
      <c r="K91" s="225"/>
    </row>
    <row r="92" spans="1:12">
      <c r="A92" s="185" t="s">
        <v>237</v>
      </c>
      <c r="B92" s="288"/>
      <c r="C92" s="290"/>
      <c r="D92" s="290"/>
      <c r="E92" s="219"/>
      <c r="F92" s="290"/>
      <c r="G92" s="219"/>
      <c r="H92" s="290"/>
      <c r="I92" s="225"/>
      <c r="J92" s="225"/>
      <c r="K92" s="225"/>
    </row>
    <row r="93" spans="1:12">
      <c r="A93" s="69" t="s">
        <v>238</v>
      </c>
      <c r="B93" s="70" t="s">
        <v>280</v>
      </c>
      <c r="C93" s="278" t="str">
        <f>IFERROR(INDEX('CFR 2023-24'!$D$2:$CF$90,MATCH($C$2,'CFR 2023-24'!$D$2:$D$90,0),MATCH(B93,'CFR 2023-24'!$D$2:$CF$2,0)),"")</f>
        <v/>
      </c>
      <c r="D93" s="279">
        <f>IFERROR(((SUM(D15:D30)+SUM(D33:D36))-SUM(D42:D79)+D88),"")</f>
        <v>0</v>
      </c>
      <c r="E93" s="219"/>
      <c r="F93" s="286">
        <f>IFERROR(((SUM(F16:F30)+SUM(F33:F36))-SUM(F42:F79)+F88),"")</f>
        <v>0</v>
      </c>
      <c r="G93" s="219"/>
      <c r="H93" s="286">
        <f>IFERROR((SUM(H16:H30)+SUM(H33:H36))-SUM(H42:H79)+H88,"")</f>
        <v>0</v>
      </c>
      <c r="J93" s="225"/>
      <c r="L93" s="225"/>
    </row>
    <row r="94" spans="1:12" ht="15" thickBot="1">
      <c r="A94" s="71" t="s">
        <v>239</v>
      </c>
      <c r="B94" s="72" t="s">
        <v>270</v>
      </c>
      <c r="C94" s="278" t="str">
        <f>IFERROR(INDEX('CFR 2023-24'!$D$2:$CF$90,MATCH($C$2,'CFR 2023-24'!$D$2:$D$90,0),MATCH(B94,'CFR 2023-24'!$D$2:$CF$2,0)),"")</f>
        <v/>
      </c>
      <c r="D94" s="279">
        <f>IFERROR(SUM(D31:D32)-SUM(D80:D81)+D89,"")</f>
        <v>0</v>
      </c>
      <c r="E94" s="219"/>
      <c r="F94" s="291">
        <f>IFERROR(SUM(F31:F32)-SUM(F80:F81)+F89,"")</f>
        <v>0</v>
      </c>
      <c r="G94" s="219"/>
      <c r="H94" s="291">
        <f>IFERROR(SUM(H31:H32)-SUM(H80:H81)+H89,"")</f>
        <v>0</v>
      </c>
      <c r="J94" s="225"/>
      <c r="L94" s="225"/>
    </row>
    <row r="95" spans="1:12" ht="15" thickBot="1">
      <c r="A95" s="85" t="s">
        <v>248</v>
      </c>
      <c r="B95" s="86" t="s">
        <v>272</v>
      </c>
      <c r="C95" s="87" t="str">
        <f>IFERROR(C94+C93,"")</f>
        <v/>
      </c>
      <c r="D95" s="88">
        <f>IFERROR(D94+D93,"")</f>
        <v>0</v>
      </c>
      <c r="E95" s="219"/>
      <c r="F95" s="74">
        <f>IFERROR(F94+F93,"")</f>
        <v>0</v>
      </c>
      <c r="G95" s="219"/>
      <c r="H95" s="74">
        <f>IFERROR(H94+H93,"")</f>
        <v>0</v>
      </c>
      <c r="J95" s="225"/>
      <c r="L95" s="225"/>
    </row>
    <row r="96" spans="1:12">
      <c r="A96" s="89"/>
      <c r="B96" s="90"/>
      <c r="C96" s="225"/>
      <c r="D96" s="225"/>
      <c r="E96" s="225"/>
      <c r="F96" s="225"/>
      <c r="L96" s="225"/>
    </row>
    <row r="97" spans="1:12">
      <c r="A97" s="83"/>
      <c r="C97" s="225"/>
      <c r="D97" s="225"/>
      <c r="F97" s="225"/>
      <c r="G97" s="225"/>
      <c r="H97" s="225"/>
      <c r="I97" s="225"/>
      <c r="J97" s="225"/>
      <c r="K97" s="225"/>
    </row>
    <row r="98" spans="1:12">
      <c r="A98" s="84" t="s">
        <v>240</v>
      </c>
      <c r="C98" s="225"/>
      <c r="D98" s="225"/>
      <c r="E98" s="225"/>
      <c r="F98" s="225"/>
      <c r="G98" s="225"/>
      <c r="H98" s="225"/>
      <c r="I98" s="225"/>
      <c r="J98" s="225"/>
      <c r="K98" s="225"/>
    </row>
    <row r="99" spans="1:12" ht="57.6">
      <c r="A99" s="58" t="s">
        <v>0</v>
      </c>
      <c r="B99" s="59"/>
      <c r="C99" s="40" t="str">
        <f>C13</f>
        <v>2023-24 Outturn</v>
      </c>
      <c r="D99" s="45" t="str">
        <f>D13</f>
        <v>2024-25 Ratified Budget (As per budget submission)</v>
      </c>
      <c r="E99" s="225"/>
      <c r="F99" s="45" t="str">
        <f>F13</f>
        <v>2024-25 Q4 Budget</v>
      </c>
      <c r="G99" s="31"/>
      <c r="H99" s="45" t="str">
        <f>H13</f>
        <v>2024-25 Final Outturn Total</v>
      </c>
      <c r="I99" s="31"/>
      <c r="J99" s="45" t="str">
        <f>J13</f>
        <v>Variance (Budget vs Final outturn)</v>
      </c>
      <c r="K99" s="31"/>
      <c r="L99" s="46" t="s">
        <v>1</v>
      </c>
    </row>
    <row r="100" spans="1:12">
      <c r="A100" s="61" t="s">
        <v>86</v>
      </c>
      <c r="B100" s="62" t="s">
        <v>2</v>
      </c>
      <c r="C100" s="47" t="s">
        <v>3</v>
      </c>
      <c r="D100" s="91" t="s">
        <v>3</v>
      </c>
      <c r="E100" s="225"/>
      <c r="F100" s="91" t="s">
        <v>3</v>
      </c>
      <c r="G100" s="67"/>
      <c r="H100" s="92" t="s">
        <v>3</v>
      </c>
      <c r="I100" s="67"/>
      <c r="J100" s="92" t="s">
        <v>3</v>
      </c>
      <c r="K100" s="67"/>
      <c r="L100" s="93"/>
    </row>
    <row r="101" spans="1:12">
      <c r="A101" s="69" t="s">
        <v>87</v>
      </c>
      <c r="B101" s="70" t="s">
        <v>89</v>
      </c>
      <c r="C101" s="278" t="str">
        <f>IFERROR(INDEX('CFR 2023-24'!$D$2:$CF$90,MATCH($C$2,'CFR 2023-24'!$D$2:$D$90,0),MATCH(B101,'CFR 2023-24'!$D$2:$CF$2,0)),"")</f>
        <v/>
      </c>
      <c r="D101" s="279">
        <f>IFERROR(INDEX('2024-25 Budgets'!$A$5:$CQ$89, MATCH(B101, '2024-25 Budgets'!$A$5:$A$89, 0), MATCH($C$2, '2024-25 Budgets'!$A$5:$CQ$5, 0)),0)</f>
        <v>0</v>
      </c>
      <c r="E101" s="219"/>
      <c r="F101" s="284">
        <f>D101</f>
        <v>0</v>
      </c>
      <c r="G101" s="219"/>
      <c r="H101" s="284">
        <f>'2a) YE Income &amp; Expenditure'!F101</f>
        <v>0</v>
      </c>
      <c r="I101" s="219"/>
      <c r="J101" s="286">
        <f>IFERROR(H101-D101,"")</f>
        <v>0</v>
      </c>
      <c r="K101" s="219"/>
      <c r="L101" s="220"/>
    </row>
    <row r="102" spans="1:12">
      <c r="A102" s="69" t="s">
        <v>88</v>
      </c>
      <c r="B102" s="70" t="s">
        <v>90</v>
      </c>
      <c r="C102" s="278" t="str">
        <f>IFERROR(INDEX('CFR 2023-24'!$D$2:$CF$90,MATCH($C$2,'CFR 2023-24'!$D$2:$D$90,0),MATCH(B102,'CFR 2023-24'!$D$2:$CF$2,0)),"")</f>
        <v/>
      </c>
      <c r="D102" s="279">
        <f>IFERROR(INDEX('2024-25 Budgets'!$A$5:$CQ$89, MATCH(B102, '2024-25 Budgets'!$A$5:$A$89, 0), MATCH($C$2, '2024-25 Budgets'!$A$5:$CQ$5, 0)),0)</f>
        <v>0</v>
      </c>
      <c r="E102" s="219"/>
      <c r="F102" s="284">
        <f>D102</f>
        <v>0</v>
      </c>
      <c r="G102" s="219"/>
      <c r="H102" s="284">
        <f>'2a) YE Income &amp; Expenditure'!F102</f>
        <v>0</v>
      </c>
      <c r="I102" s="219"/>
      <c r="J102" s="286">
        <f t="shared" ref="J102:J103" si="11">IFERROR(H102-D102,"")</f>
        <v>0</v>
      </c>
      <c r="K102" s="219"/>
      <c r="L102" s="220"/>
    </row>
    <row r="103" spans="1:12" ht="15" thickBot="1">
      <c r="A103" s="71" t="s">
        <v>263</v>
      </c>
      <c r="B103" s="72" t="s">
        <v>91</v>
      </c>
      <c r="C103" s="278" t="str">
        <f>IFERROR(INDEX('CFR 2023-24'!$D$2:$CF$90,MATCH($C$2,'CFR 2023-24'!$D$2:$D$90,0),MATCH(B103,'CFR 2023-24'!$D$2:$CF$2,0)),"")</f>
        <v/>
      </c>
      <c r="D103" s="279">
        <f>IFERROR(INDEX('2024-25 Budgets'!$A$5:$CQ$89, MATCH(B103, '2024-25 Budgets'!$A$5:$A$89, 0), MATCH($C$2, '2024-25 Budgets'!$A$5:$CQ$5, 0)),0)</f>
        <v>0</v>
      </c>
      <c r="E103" s="219"/>
      <c r="F103" s="284">
        <f>D103</f>
        <v>0</v>
      </c>
      <c r="G103" s="219"/>
      <c r="H103" s="289">
        <f>'2a) YE Income &amp; Expenditure'!F103</f>
        <v>0</v>
      </c>
      <c r="I103" s="219"/>
      <c r="J103" s="286">
        <f t="shared" si="11"/>
        <v>0</v>
      </c>
      <c r="K103" s="219"/>
      <c r="L103" s="220"/>
    </row>
    <row r="104" spans="1:12" ht="15" thickBot="1">
      <c r="A104" s="79" t="s">
        <v>108</v>
      </c>
      <c r="B104" s="292"/>
      <c r="C104" s="293">
        <f>SUM(C101:C103)</f>
        <v>0</v>
      </c>
      <c r="D104" s="293">
        <f>SUM(D101:D103)</f>
        <v>0</v>
      </c>
      <c r="E104" s="219"/>
      <c r="F104" s="293">
        <f>SUM(F101:F103)</f>
        <v>0</v>
      </c>
      <c r="G104" s="219"/>
      <c r="H104" s="293">
        <f>SUM(H101:H103)</f>
        <v>0</v>
      </c>
      <c r="I104" s="219"/>
      <c r="J104" s="293">
        <f>SUM(J101:J103)</f>
        <v>0</v>
      </c>
      <c r="K104" s="222"/>
    </row>
    <row r="105" spans="1:12">
      <c r="A105" s="94"/>
      <c r="C105" s="219"/>
      <c r="D105" s="219"/>
      <c r="E105" s="219"/>
      <c r="F105" s="219"/>
      <c r="G105" s="219"/>
      <c r="H105" s="219"/>
      <c r="I105" s="219"/>
      <c r="J105" s="219"/>
      <c r="K105" s="225"/>
    </row>
    <row r="106" spans="1:12">
      <c r="A106" s="61" t="s">
        <v>95</v>
      </c>
      <c r="B106" s="95" t="s">
        <v>2</v>
      </c>
      <c r="C106" s="48" t="s">
        <v>3</v>
      </c>
      <c r="D106" s="96" t="s">
        <v>3</v>
      </c>
      <c r="E106" s="219"/>
      <c r="F106" s="96" t="s">
        <v>3</v>
      </c>
      <c r="G106" s="49"/>
      <c r="H106" s="48" t="s">
        <v>3</v>
      </c>
      <c r="I106" s="49"/>
      <c r="J106" s="48" t="s">
        <v>3</v>
      </c>
      <c r="K106" s="50"/>
      <c r="L106" s="93"/>
    </row>
    <row r="107" spans="1:12">
      <c r="A107" s="69" t="s">
        <v>92</v>
      </c>
      <c r="B107" s="70" t="s">
        <v>96</v>
      </c>
      <c r="C107" s="278" t="str">
        <f>IFERROR(INDEX('CFR 2023-24'!$D$2:$CF$90,MATCH($C$2,'CFR 2023-24'!$D$2:$D$90,0),MATCH(B107,'CFR 2023-24'!$D$2:$CF$2,0)),"")</f>
        <v/>
      </c>
      <c r="D107" s="279">
        <f>IFERROR(INDEX('2024-25 Budgets'!$A$5:$CQ$89, MATCH(B107, '2024-25 Budgets'!$A$5:$A$89, 0), MATCH($C$2, '2024-25 Budgets'!$A$5:$CQ$5, 0)),0)</f>
        <v>0</v>
      </c>
      <c r="E107" s="219"/>
      <c r="F107" s="284">
        <f>D107</f>
        <v>0</v>
      </c>
      <c r="G107" s="219"/>
      <c r="H107" s="284">
        <f>'2a) YE Income &amp; Expenditure'!F107</f>
        <v>0</v>
      </c>
      <c r="I107" s="219"/>
      <c r="J107" s="286">
        <f>IFERROR(D107-H107,"")</f>
        <v>0</v>
      </c>
      <c r="K107" s="219"/>
      <c r="L107" s="220"/>
    </row>
    <row r="108" spans="1:12">
      <c r="A108" s="69" t="s">
        <v>93</v>
      </c>
      <c r="B108" s="70" t="s">
        <v>97</v>
      </c>
      <c r="C108" s="278" t="str">
        <f>IFERROR(INDEX('CFR 2023-24'!$D$2:$CF$90,MATCH($C$2,'CFR 2023-24'!$D$2:$D$90,0),MATCH(B108,'CFR 2023-24'!$D$2:$CF$2,0)),"")</f>
        <v/>
      </c>
      <c r="D108" s="279">
        <f>IFERROR(INDEX('2024-25 Budgets'!$A$5:$CQ$89, MATCH(B108, '2024-25 Budgets'!$A$5:$A$89, 0), MATCH($C$2, '2024-25 Budgets'!$A$5:$CQ$5, 0)),0)</f>
        <v>0</v>
      </c>
      <c r="E108" s="219"/>
      <c r="F108" s="284">
        <f>D108</f>
        <v>0</v>
      </c>
      <c r="G108" s="219"/>
      <c r="H108" s="284">
        <f>'2a) YE Income &amp; Expenditure'!F108</f>
        <v>0</v>
      </c>
      <c r="I108" s="219"/>
      <c r="J108" s="286">
        <f t="shared" ref="J108:J110" si="12">IFERROR(D108-H108,"")</f>
        <v>0</v>
      </c>
      <c r="K108" s="219"/>
      <c r="L108" s="220"/>
    </row>
    <row r="109" spans="1:12">
      <c r="A109" s="69" t="s">
        <v>94</v>
      </c>
      <c r="B109" s="70" t="s">
        <v>98</v>
      </c>
      <c r="C109" s="278" t="str">
        <f>IFERROR(INDEX('CFR 2023-24'!$D$2:$CF$90,MATCH($C$2,'CFR 2023-24'!$D$2:$D$90,0),MATCH(B109,'CFR 2023-24'!$D$2:$CF$2,0)),"")</f>
        <v/>
      </c>
      <c r="D109" s="279">
        <f>IFERROR(INDEX('2024-25 Budgets'!$A$5:$CQ$89, MATCH(B109, '2024-25 Budgets'!$A$5:$A$89, 0), MATCH($C$2, '2024-25 Budgets'!$A$5:$CQ$5, 0)),0)</f>
        <v>0</v>
      </c>
      <c r="E109" s="219"/>
      <c r="F109" s="284">
        <f>D109</f>
        <v>0</v>
      </c>
      <c r="G109" s="219"/>
      <c r="H109" s="284">
        <f>'2a) YE Income &amp; Expenditure'!F109</f>
        <v>0</v>
      </c>
      <c r="I109" s="219"/>
      <c r="J109" s="286">
        <f t="shared" si="12"/>
        <v>0</v>
      </c>
      <c r="K109" s="219"/>
      <c r="L109" s="220"/>
    </row>
    <row r="110" spans="1:12">
      <c r="A110" s="510" t="s">
        <v>704</v>
      </c>
      <c r="B110" s="511" t="s">
        <v>99</v>
      </c>
      <c r="C110" s="278" t="str">
        <f>IFERROR(INDEX('CFR 2023-24'!$D$2:$CF$90,MATCH($C$2,'CFR 2023-24'!$D$2:$D$90,0),MATCH(B110,'CFR 2023-24'!$D$2:$CF$2,0)),"")</f>
        <v/>
      </c>
      <c r="D110" s="279">
        <f>IFERROR(INDEX('2024-25 Budgets'!$A$5:$CQ$89, MATCH(B110, '2024-25 Budgets'!$A$5:$A$89, 0), MATCH($C$2, '2024-25 Budgets'!$A$5:$CQ$5, 0)),0)</f>
        <v>0</v>
      </c>
      <c r="E110" s="219"/>
      <c r="F110" s="284">
        <f>D110</f>
        <v>0</v>
      </c>
      <c r="G110" s="219"/>
      <c r="H110" s="284">
        <f>'2a) YE Income &amp; Expenditure'!F110</f>
        <v>0</v>
      </c>
      <c r="I110" s="219"/>
      <c r="J110" s="286">
        <f t="shared" si="12"/>
        <v>0</v>
      </c>
      <c r="K110" s="219"/>
      <c r="L110" s="220"/>
    </row>
    <row r="111" spans="1:12">
      <c r="A111" s="71" t="s">
        <v>524</v>
      </c>
      <c r="B111" s="72" t="s">
        <v>519</v>
      </c>
      <c r="C111" s="278" t="str">
        <f>IFERROR(INDEX('CFR 2023-24'!$D$2:$CF$90,MATCH($C$2,'CFR 2023-24'!$D$2:$D$90,0),MATCH(B111,'CFR 2023-24'!$D$2:$CF$2,0)),"")</f>
        <v/>
      </c>
      <c r="D111" s="279">
        <f>IFERROR(INDEX('2024-25 Budgets'!$A$5:$CQ$89, MATCH(B111, '2024-25 Budgets'!$A$5:$A$89, 0), MATCH($C$2, '2024-25 Budgets'!$A$5:$CQ$5, 0)),0)</f>
        <v>0</v>
      </c>
      <c r="E111" s="219"/>
      <c r="F111" s="284">
        <f t="shared" ref="F111:F115" si="13">D111</f>
        <v>0</v>
      </c>
      <c r="G111" s="219"/>
      <c r="H111" s="284">
        <f>'2a) YE Income &amp; Expenditure'!F111</f>
        <v>0</v>
      </c>
      <c r="I111" s="219"/>
      <c r="J111" s="286">
        <f t="shared" ref="J111:J115" si="14">IFERROR(D111-H111,"")</f>
        <v>0</v>
      </c>
      <c r="K111" s="219"/>
      <c r="L111" s="220"/>
    </row>
    <row r="112" spans="1:12">
      <c r="A112" s="71" t="s">
        <v>525</v>
      </c>
      <c r="B112" s="72" t="s">
        <v>520</v>
      </c>
      <c r="C112" s="278" t="str">
        <f>IFERROR(INDEX('CFR 2023-24'!$D$2:$CF$90,MATCH($C$2,'CFR 2023-24'!$D$2:$D$90,0),MATCH(B112,'CFR 2023-24'!$D$2:$CF$2,0)),"")</f>
        <v/>
      </c>
      <c r="D112" s="279">
        <f>IFERROR(INDEX('2024-25 Budgets'!$A$5:$CQ$89, MATCH(B112, '2024-25 Budgets'!$A$5:$A$89, 0), MATCH($C$2, '2024-25 Budgets'!$A$5:$CQ$5, 0)),0)</f>
        <v>0</v>
      </c>
      <c r="E112" s="219"/>
      <c r="F112" s="284">
        <f t="shared" si="13"/>
        <v>0</v>
      </c>
      <c r="G112" s="219"/>
      <c r="H112" s="284">
        <f>'2a) YE Income &amp; Expenditure'!F112</f>
        <v>0</v>
      </c>
      <c r="I112" s="219"/>
      <c r="J112" s="286">
        <f t="shared" si="14"/>
        <v>0</v>
      </c>
      <c r="K112" s="219"/>
      <c r="L112" s="220"/>
    </row>
    <row r="113" spans="1:12">
      <c r="A113" s="71" t="s">
        <v>526</v>
      </c>
      <c r="B113" s="72" t="s">
        <v>521</v>
      </c>
      <c r="C113" s="278" t="str">
        <f>IFERROR(INDEX('CFR 2023-24'!$D$2:$CF$90,MATCH($C$2,'CFR 2023-24'!$D$2:$D$90,0),MATCH(B113,'CFR 2023-24'!$D$2:$CF$2,0)),"")</f>
        <v/>
      </c>
      <c r="D113" s="279">
        <f>IFERROR(INDEX('2024-25 Budgets'!$A$5:$CQ$89, MATCH(B113, '2024-25 Budgets'!$A$5:$A$89, 0), MATCH($C$2, '2024-25 Budgets'!$A$5:$CQ$5, 0)),0)</f>
        <v>0</v>
      </c>
      <c r="E113" s="219"/>
      <c r="F113" s="284">
        <f t="shared" si="13"/>
        <v>0</v>
      </c>
      <c r="G113" s="219"/>
      <c r="H113" s="284">
        <f>'2a) YE Income &amp; Expenditure'!F113</f>
        <v>0</v>
      </c>
      <c r="I113" s="219"/>
      <c r="J113" s="286">
        <f t="shared" si="14"/>
        <v>0</v>
      </c>
      <c r="K113" s="219"/>
      <c r="L113" s="220"/>
    </row>
    <row r="114" spans="1:12">
      <c r="A114" s="71" t="s">
        <v>527</v>
      </c>
      <c r="B114" s="72" t="s">
        <v>522</v>
      </c>
      <c r="C114" s="278" t="str">
        <f>IFERROR(INDEX('CFR 2023-24'!$D$2:$CF$90,MATCH($C$2,'CFR 2023-24'!$D$2:$D$90,0),MATCH(B114,'CFR 2023-24'!$D$2:$CF$2,0)),"")</f>
        <v/>
      </c>
      <c r="D114" s="279">
        <f>IFERROR(INDEX('2024-25 Budgets'!$A$5:$CQ$89, MATCH(B114, '2024-25 Budgets'!$A$5:$A$89, 0), MATCH($C$2, '2024-25 Budgets'!$A$5:$CQ$5, 0)),0)</f>
        <v>0</v>
      </c>
      <c r="E114" s="219"/>
      <c r="F114" s="284">
        <f t="shared" si="13"/>
        <v>0</v>
      </c>
      <c r="G114" s="219"/>
      <c r="H114" s="284">
        <f>'2a) YE Income &amp; Expenditure'!F114</f>
        <v>0</v>
      </c>
      <c r="I114" s="219"/>
      <c r="J114" s="286">
        <f t="shared" si="14"/>
        <v>0</v>
      </c>
      <c r="K114" s="219"/>
      <c r="L114" s="220"/>
    </row>
    <row r="115" spans="1:12" ht="15" thickBot="1">
      <c r="A115" s="71" t="s">
        <v>528</v>
      </c>
      <c r="B115" s="72" t="s">
        <v>523</v>
      </c>
      <c r="C115" s="278" t="str">
        <f>IFERROR(INDEX('CFR 2023-24'!$D$2:$CF$90,MATCH($C$2,'CFR 2023-24'!$D$2:$D$90,0),MATCH(B115,'CFR 2023-24'!$D$2:$CF$2,0)),"")</f>
        <v/>
      </c>
      <c r="D115" s="279">
        <f>IFERROR(INDEX('2024-25 Budgets'!$A$5:$CQ$89, MATCH(B115, '2024-25 Budgets'!$A$5:$A$89, 0), MATCH($C$2, '2024-25 Budgets'!$A$5:$CQ$5, 0)),0)</f>
        <v>0</v>
      </c>
      <c r="E115" s="219"/>
      <c r="F115" s="284">
        <f t="shared" si="13"/>
        <v>0</v>
      </c>
      <c r="G115" s="219"/>
      <c r="H115" s="284">
        <f>'2a) YE Income &amp; Expenditure'!F115</f>
        <v>0</v>
      </c>
      <c r="I115" s="219"/>
      <c r="J115" s="286">
        <f t="shared" si="14"/>
        <v>0</v>
      </c>
      <c r="K115" s="219"/>
      <c r="L115" s="220"/>
    </row>
    <row r="116" spans="1:12" ht="15" thickBot="1">
      <c r="A116" s="79" t="s">
        <v>109</v>
      </c>
      <c r="B116" s="283"/>
      <c r="C116" s="293">
        <f>SUM(C107:C115)</f>
        <v>0</v>
      </c>
      <c r="D116" s="293">
        <f>SUM(D107:D115)</f>
        <v>0</v>
      </c>
      <c r="E116" s="219"/>
      <c r="F116" s="293">
        <f>SUM(F107:F115)</f>
        <v>0</v>
      </c>
      <c r="G116" s="219"/>
      <c r="H116" s="293">
        <f>SUM(H107:H115)</f>
        <v>0</v>
      </c>
      <c r="I116" s="219"/>
      <c r="J116" s="293">
        <f>SUM(J107:J115)</f>
        <v>0</v>
      </c>
      <c r="K116" s="222"/>
    </row>
    <row r="117" spans="1:12" ht="15" thickBot="1">
      <c r="A117" s="94"/>
      <c r="C117" s="219"/>
      <c r="D117" s="219"/>
      <c r="E117" s="219"/>
      <c r="F117" s="219"/>
      <c r="G117" s="219"/>
      <c r="H117" s="219"/>
      <c r="I117" s="219"/>
      <c r="J117" s="219"/>
      <c r="K117" s="225"/>
    </row>
    <row r="118" spans="1:12" ht="15" thickBot="1">
      <c r="A118" s="81" t="s">
        <v>244</v>
      </c>
      <c r="B118" s="80"/>
      <c r="C118" s="74">
        <f>C104-C116</f>
        <v>0</v>
      </c>
      <c r="D118" s="74">
        <f>D104-D116</f>
        <v>0</v>
      </c>
      <c r="E118" s="219"/>
      <c r="F118" s="74">
        <f>F104-F116</f>
        <v>0</v>
      </c>
      <c r="G118" s="219"/>
      <c r="H118" s="74">
        <f>H104-H116</f>
        <v>0</v>
      </c>
      <c r="I118" s="219"/>
      <c r="J118" s="74">
        <f>J104+J116</f>
        <v>0</v>
      </c>
      <c r="K118" s="228"/>
    </row>
    <row r="119" spans="1:12">
      <c r="A119" s="83"/>
      <c r="C119" s="225"/>
      <c r="D119" s="225"/>
      <c r="E119" s="225"/>
      <c r="F119" s="225"/>
      <c r="G119" s="225"/>
      <c r="H119" s="225"/>
      <c r="I119" s="225"/>
      <c r="J119" s="225"/>
      <c r="K119" s="225"/>
    </row>
    <row r="120" spans="1:12">
      <c r="A120" s="186" t="s">
        <v>242</v>
      </c>
      <c r="B120" s="294"/>
      <c r="C120" s="295"/>
      <c r="D120" s="295"/>
      <c r="E120" s="225"/>
      <c r="F120" s="295"/>
      <c r="G120" s="225"/>
      <c r="H120" s="295"/>
      <c r="I120" s="225"/>
      <c r="J120" s="225"/>
      <c r="K120" s="225"/>
    </row>
    <row r="121" spans="1:12" ht="29.4" thickBot="1">
      <c r="A121" s="187" t="s">
        <v>304</v>
      </c>
      <c r="B121" s="62" t="s">
        <v>2</v>
      </c>
      <c r="C121" s="43" t="s">
        <v>707</v>
      </c>
      <c r="D121" s="44" t="s">
        <v>708</v>
      </c>
      <c r="E121" s="225"/>
      <c r="F121" s="44" t="s">
        <v>708</v>
      </c>
      <c r="G121" s="224"/>
      <c r="H121" s="44" t="s">
        <v>708</v>
      </c>
      <c r="I121" s="225"/>
      <c r="J121" s="225"/>
      <c r="K121" s="225"/>
    </row>
    <row r="122" spans="1:12" ht="15" thickBot="1">
      <c r="A122" s="69" t="s">
        <v>246</v>
      </c>
      <c r="B122" s="86" t="s">
        <v>232</v>
      </c>
      <c r="C122" s="278" t="str">
        <f>IFERROR(INDEX('CFR 2023-24'!$D$2:$CF$90,MATCH($C$2,'CFR 2023-24'!$D$2:$D$90,0),MATCH(B122,'CFR 2023-24'!$D$2:$CF$2,0)),"")</f>
        <v/>
      </c>
      <c r="D122" s="279" t="str">
        <f>C125</f>
        <v/>
      </c>
      <c r="E122" s="219"/>
      <c r="F122" s="74" t="str">
        <f>C125</f>
        <v/>
      </c>
      <c r="G122" s="219"/>
      <c r="H122" s="74" t="str">
        <f>F122</f>
        <v/>
      </c>
      <c r="I122" s="225"/>
      <c r="J122" s="225"/>
      <c r="K122" s="225"/>
    </row>
    <row r="123" spans="1:12">
      <c r="A123" s="83"/>
      <c r="C123" s="219"/>
      <c r="D123" s="219"/>
      <c r="E123" s="219"/>
      <c r="F123" s="219"/>
      <c r="G123" s="219"/>
      <c r="H123" s="219"/>
      <c r="I123" s="225"/>
      <c r="J123" s="225"/>
      <c r="K123" s="225"/>
    </row>
    <row r="124" spans="1:12" ht="15" thickBot="1">
      <c r="A124" s="187" t="s">
        <v>237</v>
      </c>
      <c r="B124" s="295"/>
      <c r="C124" s="296"/>
      <c r="D124" s="296"/>
      <c r="E124" s="219"/>
      <c r="F124" s="296"/>
      <c r="G124" s="219"/>
      <c r="H124" s="296"/>
      <c r="I124" s="225"/>
      <c r="J124" s="225"/>
      <c r="K124" s="225"/>
    </row>
    <row r="125" spans="1:12" ht="15" thickBot="1">
      <c r="A125" s="69" t="s">
        <v>245</v>
      </c>
      <c r="B125" s="86" t="s">
        <v>273</v>
      </c>
      <c r="C125" s="87" t="str">
        <f>IFERROR(C122+C118,"")</f>
        <v/>
      </c>
      <c r="D125" s="88" t="str">
        <f>IFERROR(D122+D118,"")</f>
        <v/>
      </c>
      <c r="E125" s="219"/>
      <c r="F125" s="74" t="str">
        <f>IFERROR(F122+F118,"")</f>
        <v/>
      </c>
      <c r="G125" s="219"/>
      <c r="H125" s="74" t="str">
        <f>IFERROR(H122+H118,"")</f>
        <v/>
      </c>
      <c r="I125" s="225"/>
      <c r="J125" s="225"/>
      <c r="K125" s="225"/>
    </row>
    <row r="126" spans="1:12">
      <c r="A126" s="83"/>
      <c r="C126" s="225"/>
      <c r="D126" s="225"/>
      <c r="E126" s="225"/>
      <c r="F126" s="225"/>
      <c r="G126" s="225"/>
      <c r="H126" s="225"/>
      <c r="I126" s="225"/>
      <c r="J126" s="225"/>
      <c r="K126" s="225"/>
    </row>
    <row r="127" spans="1:12">
      <c r="A127" s="83"/>
      <c r="C127" s="225"/>
      <c r="D127" s="225"/>
      <c r="E127" s="225"/>
      <c r="F127" s="225"/>
      <c r="G127" s="225"/>
      <c r="H127" s="225"/>
      <c r="I127" s="225"/>
      <c r="J127" s="225"/>
      <c r="K127" s="225"/>
    </row>
    <row r="128" spans="1:12">
      <c r="A128" s="98"/>
      <c r="B128" s="98"/>
      <c r="C128" s="97" t="s">
        <v>705</v>
      </c>
      <c r="D128" s="99" t="s">
        <v>253</v>
      </c>
      <c r="E128" s="225"/>
      <c r="F128" s="99" t="s">
        <v>497</v>
      </c>
      <c r="G128" s="225"/>
      <c r="H128" s="99" t="s">
        <v>496</v>
      </c>
      <c r="I128" s="225"/>
      <c r="J128" s="225"/>
      <c r="K128" s="225"/>
    </row>
    <row r="129" spans="1:11">
      <c r="A129" s="83"/>
      <c r="B129" s="98" t="s">
        <v>308</v>
      </c>
      <c r="C129" s="285" t="str">
        <f>C95</f>
        <v/>
      </c>
      <c r="D129" s="286">
        <f>D95</f>
        <v>0</v>
      </c>
      <c r="E129" s="219"/>
      <c r="F129" s="286">
        <f>F95</f>
        <v>0</v>
      </c>
      <c r="G129" s="219"/>
      <c r="H129" s="286">
        <f>H95</f>
        <v>0</v>
      </c>
      <c r="I129" s="225"/>
      <c r="J129" s="225"/>
      <c r="K129" s="225"/>
    </row>
    <row r="130" spans="1:11">
      <c r="A130" s="83"/>
      <c r="B130" s="98" t="s">
        <v>309</v>
      </c>
      <c r="C130" s="285" t="str">
        <f>C125</f>
        <v/>
      </c>
      <c r="D130" s="286" t="str">
        <f>D125</f>
        <v/>
      </c>
      <c r="E130" s="219"/>
      <c r="F130" s="286" t="str">
        <f>F125</f>
        <v/>
      </c>
      <c r="G130" s="219"/>
      <c r="H130" s="286" t="str">
        <f>H125</f>
        <v/>
      </c>
      <c r="I130" s="225"/>
      <c r="J130" s="225"/>
      <c r="K130" s="225"/>
    </row>
    <row r="131" spans="1:11">
      <c r="A131" s="83"/>
      <c r="B131" s="98" t="s">
        <v>438</v>
      </c>
      <c r="C131" s="100" t="str">
        <f>IFERROR(C129+C130,"")</f>
        <v/>
      </c>
      <c r="D131" s="101" t="str">
        <f>IFERROR(D129+D130,"")</f>
        <v/>
      </c>
      <c r="E131" s="75"/>
      <c r="F131" s="101" t="str">
        <f>IFERROR(F129+F130,"")</f>
        <v/>
      </c>
      <c r="G131" s="75"/>
      <c r="H131" s="101" t="str">
        <f>IFERROR(H129+H130,"")</f>
        <v/>
      </c>
      <c r="I131" s="225"/>
      <c r="J131" s="225"/>
      <c r="K131" s="225"/>
    </row>
    <row r="132" spans="1:11">
      <c r="A132" s="83"/>
      <c r="B132" s="98"/>
      <c r="C132" s="225"/>
      <c r="D132" s="225"/>
      <c r="E132" s="225"/>
      <c r="F132" s="225"/>
      <c r="G132" s="225"/>
      <c r="H132" s="225"/>
      <c r="I132" s="225"/>
      <c r="J132" s="225"/>
      <c r="K132" s="225"/>
    </row>
    <row r="133" spans="1:11">
      <c r="A133" s="83"/>
      <c r="B133" s="98"/>
      <c r="C133" s="225"/>
      <c r="D133" s="225"/>
      <c r="E133" s="225"/>
      <c r="F133" s="225"/>
      <c r="G133" s="225"/>
      <c r="H133" s="225"/>
      <c r="I133" s="225"/>
      <c r="J133" s="225"/>
      <c r="K133" s="225"/>
    </row>
    <row r="134" spans="1:11">
      <c r="A134" s="89"/>
      <c r="E134" s="225"/>
    </row>
    <row r="135" spans="1:11">
      <c r="E135" s="225"/>
    </row>
    <row r="136" spans="1:11">
      <c r="A136" s="302"/>
      <c r="B136" s="18"/>
      <c r="C136" s="18"/>
      <c r="D136" s="18"/>
      <c r="E136" s="225"/>
      <c r="F136" s="18"/>
      <c r="G136" s="18"/>
      <c r="H136" s="18"/>
      <c r="I136" s="18"/>
      <c r="J136" s="18"/>
      <c r="K136" s="18"/>
    </row>
    <row r="137" spans="1:11">
      <c r="A137" s="297"/>
      <c r="B137" s="18"/>
      <c r="C137" s="18"/>
      <c r="D137" s="18"/>
      <c r="E137" s="225"/>
      <c r="F137" s="18"/>
      <c r="G137" s="18"/>
      <c r="H137" s="18"/>
      <c r="I137" s="18"/>
      <c r="J137" s="18"/>
      <c r="K137" s="18"/>
    </row>
    <row r="138" spans="1:11">
      <c r="E138" s="225"/>
    </row>
    <row r="139" spans="1:11">
      <c r="A139" s="302"/>
    </row>
    <row r="140" spans="1:11">
      <c r="A140" s="297"/>
    </row>
    <row r="142" spans="1:11" ht="15" customHeight="1">
      <c r="A142" s="302"/>
      <c r="B142" s="297"/>
      <c r="C142" s="297"/>
      <c r="D142" s="297"/>
      <c r="E142" s="297"/>
      <c r="F142" s="297"/>
      <c r="G142" s="297"/>
      <c r="H142" s="297"/>
      <c r="I142" s="297"/>
    </row>
    <row r="143" spans="1:11" ht="15" customHeight="1">
      <c r="A143" s="298"/>
      <c r="B143" s="297"/>
      <c r="C143" s="297"/>
      <c r="D143" s="297"/>
      <c r="E143" s="297"/>
      <c r="F143" s="297"/>
      <c r="G143" s="297"/>
      <c r="H143" s="297"/>
      <c r="I143" s="297"/>
    </row>
    <row r="144" spans="1:11">
      <c r="A144" s="299"/>
    </row>
    <row r="145" spans="1:11">
      <c r="A145" s="303"/>
    </row>
    <row r="146" spans="1:11">
      <c r="A146" s="300"/>
      <c r="B146" s="204"/>
      <c r="C146" s="204"/>
      <c r="D146" s="204"/>
      <c r="E146" s="204"/>
      <c r="F146" s="204"/>
      <c r="G146" s="204"/>
      <c r="H146" s="204"/>
      <c r="I146" s="204"/>
      <c r="J146" s="204"/>
      <c r="K146" s="204"/>
    </row>
  </sheetData>
  <sheetProtection algorithmName="SHA-512" hashValue="/qS6tPpE8FHnEbA8TDMh8vv1Af4FuWnhVysmOTwp62U1kZ0PHLmal7HIFaOpsOuTVGFuUA4HrdQE50bt60JVrg==" saltValue="Dwf5sK0uiQb7jx691niicg==" spinCount="100000" sheet="1" objects="1" scenarios="1"/>
  <mergeCells count="1">
    <mergeCell ref="A84:B84"/>
  </mergeCells>
  <pageMargins left="0.25" right="0.25" top="0.75" bottom="0.75" header="0.3" footer="0.3"/>
  <pageSetup paperSize="9" scale="53" fitToHeight="0" orientation="landscape" r:id="rId1"/>
  <rowBreaks count="5" manualBreakCount="5">
    <brk id="38" max="16383" man="1"/>
    <brk id="85" max="16383" man="1"/>
    <brk id="96" max="16383" man="1"/>
    <brk id="126" max="16383" man="1"/>
    <brk id="147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8">
    <pageSetUpPr fitToPage="1"/>
  </sheetPr>
  <dimension ref="B1:M71"/>
  <sheetViews>
    <sheetView showGridLines="0" zoomScale="77"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34" sqref="D34"/>
    </sheetView>
  </sheetViews>
  <sheetFormatPr defaultColWidth="9.109375" defaultRowHeight="15.6"/>
  <cols>
    <col min="1" max="1" width="9.109375" style="57"/>
    <col min="2" max="2" width="51.109375" style="57" customWidth="1"/>
    <col min="3" max="3" width="18.33203125" style="57" customWidth="1"/>
    <col min="4" max="4" width="18.88671875" style="57" customWidth="1"/>
    <col min="5" max="5" width="1.44140625" style="57" customWidth="1"/>
    <col min="6" max="6" width="18.33203125" style="57" customWidth="1"/>
    <col min="7" max="7" width="17.6640625" style="57" customWidth="1"/>
    <col min="8" max="8" width="21.6640625" style="57" customWidth="1"/>
    <col min="9" max="9" width="15.5546875" style="57" customWidth="1"/>
    <col min="10" max="12" width="9.109375" style="57"/>
    <col min="13" max="13" width="36.5546875" style="57" customWidth="1"/>
    <col min="14" max="16384" width="9.109375" style="57"/>
  </cols>
  <sheetData>
    <row r="1" spans="2:9" ht="15.75" customHeight="1">
      <c r="B1" s="102"/>
      <c r="C1" s="103"/>
      <c r="D1" s="104"/>
      <c r="E1" s="104"/>
      <c r="F1" s="105"/>
    </row>
    <row r="2" spans="2:9" ht="21">
      <c r="B2" s="106" t="s">
        <v>332</v>
      </c>
      <c r="C2" s="107"/>
      <c r="D2" s="107"/>
      <c r="E2" s="107"/>
      <c r="F2" s="108"/>
    </row>
    <row r="3" spans="2:9" ht="18">
      <c r="B3" s="109" t="str" cm="1">
        <f t="array" ref="B3">"Period: "&amp;'1) Instructions'!I8:I8</f>
        <v>Period: 2024-25</v>
      </c>
      <c r="C3" s="110"/>
      <c r="D3" s="107"/>
      <c r="E3" s="107"/>
      <c r="F3" s="108"/>
    </row>
    <row r="4" spans="2:9" ht="21.6" thickBot="1">
      <c r="B4" s="111"/>
      <c r="C4" s="112"/>
      <c r="D4" s="112"/>
      <c r="E4" s="112"/>
      <c r="F4" s="113"/>
    </row>
    <row r="5" spans="2:9">
      <c r="B5" s="114" t="s">
        <v>256</v>
      </c>
      <c r="C5" s="115" cm="1">
        <f t="array" ref="C5">'1) Instructions'!I10:I10</f>
        <v>45747</v>
      </c>
      <c r="D5" s="116" t="str">
        <f>IF(C5=0/1/1900,"Please enter date on front sheet","")</f>
        <v/>
      </c>
      <c r="E5" s="117"/>
      <c r="F5" s="117"/>
    </row>
    <row r="7" spans="2:9">
      <c r="B7" s="56" t="s">
        <v>218</v>
      </c>
      <c r="C7" s="118">
        <f>'2a) YE Income &amp; Expenditure'!D2</f>
        <v>0</v>
      </c>
      <c r="E7" s="117"/>
      <c r="F7" s="117"/>
      <c r="G7" s="117"/>
    </row>
    <row r="8" spans="2:9">
      <c r="B8" s="56" t="s">
        <v>116</v>
      </c>
      <c r="C8" s="631" t="str">
        <f>'2a) YE Income &amp; Expenditure'!D3</f>
        <v>Please choose a school</v>
      </c>
      <c r="D8" s="632"/>
      <c r="E8" s="632"/>
      <c r="F8" s="632"/>
      <c r="G8" s="633"/>
    </row>
    <row r="9" spans="2:9">
      <c r="B9" s="56" t="s">
        <v>117</v>
      </c>
      <c r="C9" s="203">
        <f>'2a) YE Income &amp; Expenditure'!D4</f>
        <v>0</v>
      </c>
      <c r="E9" s="117"/>
      <c r="F9" s="117"/>
      <c r="G9" s="117"/>
    </row>
    <row r="10" spans="2:9">
      <c r="B10" s="56" t="s">
        <v>254</v>
      </c>
      <c r="C10" s="118">
        <f>'2a) YE Income &amp; Expenditure'!D5</f>
        <v>0</v>
      </c>
      <c r="E10" s="117"/>
      <c r="F10" s="117"/>
      <c r="G10" s="117"/>
      <c r="I10" s="57" t="s">
        <v>338</v>
      </c>
    </row>
    <row r="12" spans="2:9" ht="16.2" thickBot="1">
      <c r="B12" s="119" t="s">
        <v>371</v>
      </c>
      <c r="C12" s="120"/>
      <c r="D12" s="120"/>
    </row>
    <row r="13" spans="2:9" ht="16.2" thickBot="1">
      <c r="B13" s="121" t="s">
        <v>370</v>
      </c>
      <c r="C13" s="122"/>
      <c r="D13" s="123" t="s">
        <v>3</v>
      </c>
      <c r="F13" s="309" t="s">
        <v>300</v>
      </c>
      <c r="G13" s="124"/>
      <c r="H13" s="124"/>
    </row>
    <row r="14" spans="2:9">
      <c r="B14" s="126" t="s">
        <v>337</v>
      </c>
      <c r="C14" s="127"/>
      <c r="D14" s="533"/>
      <c r="F14" s="308" t="s">
        <v>529</v>
      </c>
      <c r="G14" s="124"/>
      <c r="H14" s="124"/>
    </row>
    <row r="15" spans="2:9">
      <c r="B15" s="126" t="s">
        <v>339</v>
      </c>
      <c r="C15" s="127"/>
      <c r="D15" s="533"/>
      <c r="F15" s="308" t="s">
        <v>529</v>
      </c>
      <c r="G15" s="124"/>
      <c r="H15" s="124"/>
    </row>
    <row r="16" spans="2:9">
      <c r="B16" s="126" t="s">
        <v>340</v>
      </c>
      <c r="C16" s="127"/>
      <c r="D16" s="533"/>
      <c r="F16" s="308" t="s">
        <v>529</v>
      </c>
      <c r="G16" s="124"/>
      <c r="H16" s="124"/>
    </row>
    <row r="17" spans="2:13">
      <c r="B17" s="126" t="s">
        <v>468</v>
      </c>
      <c r="C17" s="127"/>
      <c r="D17" s="533"/>
      <c r="F17" s="308" t="s">
        <v>466</v>
      </c>
    </row>
    <row r="18" spans="2:13">
      <c r="B18" s="126" t="s">
        <v>469</v>
      </c>
      <c r="C18" s="127"/>
      <c r="D18" s="533"/>
      <c r="F18" s="308" t="s">
        <v>467</v>
      </c>
    </row>
    <row r="19" spans="2:13" ht="16.2" thickBot="1">
      <c r="B19" s="128" t="s">
        <v>450</v>
      </c>
      <c r="C19" s="129"/>
      <c r="D19" s="534">
        <f>SUM(D14:D18)</f>
        <v>0</v>
      </c>
      <c r="F19" s="308" t="s">
        <v>335</v>
      </c>
    </row>
    <row r="20" spans="2:13" ht="6.75" customHeight="1">
      <c r="D20" s="357"/>
      <c r="E20" s="125"/>
    </row>
    <row r="21" spans="2:13">
      <c r="B21" s="119" t="s">
        <v>448</v>
      </c>
      <c r="C21" s="120"/>
      <c r="D21" s="358"/>
      <c r="E21" s="125"/>
    </row>
    <row r="22" spans="2:13">
      <c r="B22" s="660" t="s">
        <v>457</v>
      </c>
      <c r="C22" s="661"/>
      <c r="D22" s="535"/>
    </row>
    <row r="23" spans="2:13" ht="31.5" customHeight="1">
      <c r="B23" s="658" t="s">
        <v>451</v>
      </c>
      <c r="C23" s="659"/>
      <c r="D23" s="536"/>
      <c r="F23" s="634"/>
      <c r="G23" s="635"/>
      <c r="H23" s="635"/>
      <c r="I23" s="635"/>
      <c r="J23" s="635"/>
      <c r="K23" s="635"/>
      <c r="L23" s="635"/>
      <c r="M23" s="636"/>
    </row>
    <row r="24" spans="2:13" ht="33.75" customHeight="1">
      <c r="B24" s="658" t="s">
        <v>456</v>
      </c>
      <c r="C24" s="659"/>
      <c r="D24" s="536"/>
      <c r="F24" s="634"/>
      <c r="G24" s="635"/>
      <c r="H24" s="635"/>
      <c r="I24" s="635"/>
      <c r="J24" s="635"/>
      <c r="K24" s="635"/>
      <c r="L24" s="635"/>
      <c r="M24" s="636"/>
    </row>
    <row r="25" spans="2:13" ht="15.75" customHeight="1">
      <c r="B25" s="655" t="s">
        <v>455</v>
      </c>
      <c r="C25" s="656"/>
      <c r="D25" s="537">
        <f>'3b) List of Accruals'!L20</f>
        <v>0</v>
      </c>
      <c r="F25" s="308" t="s">
        <v>473</v>
      </c>
      <c r="G25" s="188"/>
      <c r="H25" s="188"/>
      <c r="I25" s="188"/>
      <c r="J25" s="188"/>
      <c r="K25" s="188"/>
      <c r="L25" s="188"/>
      <c r="M25" s="188"/>
    </row>
    <row r="26" spans="2:13" ht="15.75" customHeight="1">
      <c r="B26" s="655" t="s">
        <v>454</v>
      </c>
      <c r="C26" s="656"/>
      <c r="D26" s="537">
        <f>'3b) List of Accruals'!N20</f>
        <v>0</v>
      </c>
      <c r="F26" s="308" t="s">
        <v>439</v>
      </c>
      <c r="G26" s="188"/>
      <c r="H26" s="188"/>
      <c r="I26" s="188"/>
      <c r="J26" s="188"/>
      <c r="K26" s="188"/>
      <c r="L26" s="188"/>
      <c r="M26" s="188"/>
    </row>
    <row r="27" spans="2:13" ht="15.75" customHeight="1">
      <c r="B27" s="310" t="s">
        <v>453</v>
      </c>
      <c r="C27" s="214"/>
      <c r="D27" s="538"/>
      <c r="E27" s="125"/>
      <c r="F27" s="308" t="s">
        <v>498</v>
      </c>
    </row>
    <row r="28" spans="2:13" ht="16.2" thickBot="1">
      <c r="B28" s="128" t="s">
        <v>341</v>
      </c>
      <c r="C28" s="129"/>
      <c r="D28" s="534">
        <f>SUM(D22:D27)</f>
        <v>0</v>
      </c>
    </row>
    <row r="29" spans="2:13">
      <c r="D29" s="357"/>
    </row>
    <row r="30" spans="2:13">
      <c r="B30" s="119" t="s">
        <v>449</v>
      </c>
      <c r="C30" s="120"/>
      <c r="D30" s="358"/>
    </row>
    <row r="31" spans="2:13" ht="33" customHeight="1">
      <c r="B31" s="662" t="s">
        <v>452</v>
      </c>
      <c r="C31" s="656"/>
      <c r="D31" s="536"/>
      <c r="E31" s="125"/>
      <c r="F31" s="634"/>
      <c r="G31" s="635"/>
      <c r="H31" s="635"/>
      <c r="I31" s="635"/>
      <c r="J31" s="635"/>
      <c r="K31" s="635"/>
      <c r="L31" s="635"/>
      <c r="M31" s="636"/>
    </row>
    <row r="32" spans="2:13" ht="36" customHeight="1">
      <c r="B32" s="662" t="s">
        <v>458</v>
      </c>
      <c r="C32" s="656"/>
      <c r="D32" s="536"/>
      <c r="E32" s="125"/>
      <c r="F32" s="634"/>
      <c r="G32" s="635"/>
      <c r="H32" s="635"/>
      <c r="I32" s="635"/>
      <c r="J32" s="635"/>
      <c r="K32" s="635"/>
      <c r="L32" s="635"/>
      <c r="M32" s="636"/>
    </row>
    <row r="33" spans="2:6" ht="15.75" customHeight="1">
      <c r="B33" s="655" t="s">
        <v>459</v>
      </c>
      <c r="C33" s="656"/>
      <c r="D33" s="537">
        <f>'3b) List of Accruals'!M20</f>
        <v>0</v>
      </c>
      <c r="E33" s="125"/>
      <c r="F33" s="308" t="s">
        <v>474</v>
      </c>
    </row>
    <row r="34" spans="2:6" ht="15.75" customHeight="1">
      <c r="B34" s="655" t="s">
        <v>460</v>
      </c>
      <c r="C34" s="656"/>
      <c r="D34" s="537">
        <f>'3b) List of Accruals'!O20</f>
        <v>0</v>
      </c>
      <c r="E34" s="125"/>
      <c r="F34" s="308" t="s">
        <v>440</v>
      </c>
    </row>
    <row r="35" spans="2:6">
      <c r="B35" s="662" t="s">
        <v>461</v>
      </c>
      <c r="C35" s="656"/>
      <c r="D35" s="536"/>
      <c r="E35" s="125"/>
      <c r="F35" s="308" t="s">
        <v>378</v>
      </c>
    </row>
    <row r="36" spans="2:6">
      <c r="B36" s="655" t="s">
        <v>453</v>
      </c>
      <c r="C36" s="656"/>
      <c r="D36" s="538"/>
      <c r="E36" s="125"/>
      <c r="F36" s="308" t="s">
        <v>498</v>
      </c>
    </row>
    <row r="37" spans="2:6" ht="16.2" thickBot="1">
      <c r="B37" s="128" t="s">
        <v>379</v>
      </c>
      <c r="C37" s="129"/>
      <c r="D37" s="534">
        <f>SUM(D31:D36)</f>
        <v>0</v>
      </c>
    </row>
    <row r="38" spans="2:6" ht="16.2" thickBot="1">
      <c r="D38" s="357"/>
      <c r="F38" s="130"/>
    </row>
    <row r="39" spans="2:6" ht="16.2" thickBot="1">
      <c r="B39" s="131" t="s">
        <v>372</v>
      </c>
      <c r="C39" s="132"/>
      <c r="D39" s="539">
        <f>D19+D28+D37</f>
        <v>0</v>
      </c>
    </row>
    <row r="40" spans="2:6" ht="16.2" thickBot="1">
      <c r="B40" s="55"/>
      <c r="D40" s="133"/>
    </row>
    <row r="41" spans="2:6" ht="16.2" thickBot="1">
      <c r="B41" s="121" t="s">
        <v>219</v>
      </c>
      <c r="C41" s="134"/>
      <c r="D41" s="123" t="s">
        <v>3</v>
      </c>
    </row>
    <row r="42" spans="2:6">
      <c r="B42" s="135" t="s">
        <v>250</v>
      </c>
      <c r="C42" s="136" t="s">
        <v>231</v>
      </c>
      <c r="D42" s="537">
        <f>IFERROR('2a) YE Income &amp; Expenditure'!F87,0)</f>
        <v>0</v>
      </c>
    </row>
    <row r="43" spans="2:6">
      <c r="B43" s="135" t="s">
        <v>251</v>
      </c>
      <c r="C43" s="136" t="s">
        <v>233</v>
      </c>
      <c r="D43" s="537">
        <f>IFERROR('2a) YE Income &amp; Expenditure'!F88,0)</f>
        <v>0</v>
      </c>
    </row>
    <row r="44" spans="2:6">
      <c r="B44" s="137" t="s">
        <v>252</v>
      </c>
      <c r="C44" s="138" t="s">
        <v>232</v>
      </c>
      <c r="D44" s="537" t="str">
        <f>IFERROR('2a) YE Income &amp; Expenditure'!F123,0)</f>
        <v/>
      </c>
    </row>
    <row r="45" spans="2:6">
      <c r="B45" s="139" t="s">
        <v>329</v>
      </c>
      <c r="C45" s="140"/>
      <c r="D45" s="540">
        <f>SUM(D42:D44)</f>
        <v>0</v>
      </c>
    </row>
    <row r="46" spans="2:6" ht="6.75" customHeight="1">
      <c r="D46" s="357"/>
    </row>
    <row r="47" spans="2:6">
      <c r="B47" s="137" t="s">
        <v>380</v>
      </c>
      <c r="C47" s="138"/>
      <c r="D47" s="537">
        <f>'2a) YE Income &amp; Expenditure'!F83</f>
        <v>0</v>
      </c>
    </row>
    <row r="48" spans="2:6">
      <c r="B48" s="137" t="s">
        <v>381</v>
      </c>
      <c r="C48" s="138"/>
      <c r="D48" s="537">
        <f>'2a) YE Income &amp; Expenditure'!F118</f>
        <v>0</v>
      </c>
    </row>
    <row r="49" spans="2:13" ht="16.2" thickBot="1">
      <c r="B49" s="139" t="s">
        <v>330</v>
      </c>
      <c r="C49" s="140"/>
      <c r="D49" s="540">
        <f>SUM(D47:D48)</f>
        <v>0</v>
      </c>
    </row>
    <row r="50" spans="2:13">
      <c r="D50" s="357"/>
    </row>
    <row r="51" spans="2:13">
      <c r="B51" s="137" t="s">
        <v>382</v>
      </c>
      <c r="C51" s="138"/>
      <c r="D51" s="537">
        <f>D42+D43+D47</f>
        <v>0</v>
      </c>
    </row>
    <row r="52" spans="2:13">
      <c r="B52" s="137" t="s">
        <v>383</v>
      </c>
      <c r="C52" s="138"/>
      <c r="D52" s="537" t="e">
        <f>D44+D48</f>
        <v>#VALUE!</v>
      </c>
    </row>
    <row r="53" spans="2:13" ht="16.2" thickBot="1">
      <c r="B53" s="141" t="s">
        <v>331</v>
      </c>
      <c r="C53" s="142"/>
      <c r="D53" s="541" t="e">
        <f>SUM(D51:D52)</f>
        <v>#VALUE!</v>
      </c>
    </row>
    <row r="54" spans="2:13" ht="16.2" thickBot="1">
      <c r="D54" s="357"/>
    </row>
    <row r="55" spans="2:13" ht="16.5" customHeight="1" thickBot="1">
      <c r="B55" s="215" t="s">
        <v>223</v>
      </c>
      <c r="C55" s="181"/>
      <c r="D55" s="542" t="e">
        <f>D39-D53</f>
        <v>#VALUE!</v>
      </c>
      <c r="F55" s="657" t="e">
        <f>IF(OR(D55&lt;-1,D55&gt;1),"submision incomplete or completed with an errors","OK for submission")</f>
        <v>#VALUE!</v>
      </c>
      <c r="G55" s="657"/>
      <c r="H55" s="657"/>
      <c r="I55" s="657"/>
      <c r="J55" s="657"/>
      <c r="K55" s="657"/>
      <c r="L55" s="657"/>
      <c r="M55" s="657"/>
    </row>
    <row r="56" spans="2:13">
      <c r="B56" s="144"/>
      <c r="C56" s="145"/>
      <c r="D56" s="146"/>
      <c r="F56" s="143"/>
      <c r="G56" s="147"/>
      <c r="H56" s="147"/>
      <c r="I56" s="147"/>
      <c r="J56" s="147"/>
    </row>
    <row r="57" spans="2:13">
      <c r="B57" s="144"/>
      <c r="C57" s="145"/>
      <c r="D57" s="146"/>
      <c r="F57" s="143"/>
      <c r="G57" s="147"/>
      <c r="H57" s="147"/>
      <c r="I57" s="147"/>
      <c r="J57" s="147"/>
    </row>
    <row r="58" spans="2:13">
      <c r="B58" s="148" t="s">
        <v>258</v>
      </c>
    </row>
    <row r="59" spans="2:13">
      <c r="B59" s="144"/>
    </row>
    <row r="61" spans="2:13">
      <c r="B61" s="637" t="s">
        <v>110</v>
      </c>
      <c r="C61" s="645"/>
      <c r="D61" s="646"/>
      <c r="E61" s="646"/>
      <c r="F61" s="646"/>
      <c r="G61" s="646"/>
      <c r="H61" s="647"/>
    </row>
    <row r="62" spans="2:13">
      <c r="B62" s="638"/>
      <c r="C62" s="648"/>
      <c r="D62" s="649"/>
      <c r="E62" s="649"/>
      <c r="F62" s="649"/>
      <c r="G62" s="649"/>
      <c r="H62" s="650"/>
    </row>
    <row r="64" spans="2:13">
      <c r="B64" s="637" t="s">
        <v>111</v>
      </c>
      <c r="C64" s="639"/>
      <c r="D64" s="640"/>
      <c r="E64" s="640"/>
      <c r="F64" s="640"/>
      <c r="G64" s="640"/>
      <c r="H64" s="641"/>
    </row>
    <row r="65" spans="2:8">
      <c r="B65" s="638"/>
      <c r="C65" s="642"/>
      <c r="D65" s="643"/>
      <c r="E65" s="643"/>
      <c r="F65" s="643"/>
      <c r="G65" s="643"/>
      <c r="H65" s="644"/>
    </row>
    <row r="67" spans="2:8">
      <c r="B67" s="637" t="s">
        <v>112</v>
      </c>
      <c r="C67" s="651" t="s">
        <v>114</v>
      </c>
      <c r="D67" s="652"/>
      <c r="E67" s="652"/>
      <c r="F67" s="652"/>
      <c r="G67" s="652"/>
      <c r="H67" s="641"/>
    </row>
    <row r="68" spans="2:8">
      <c r="B68" s="638"/>
      <c r="C68" s="653"/>
      <c r="D68" s="654"/>
      <c r="E68" s="654"/>
      <c r="F68" s="654"/>
      <c r="G68" s="654"/>
      <c r="H68" s="644"/>
    </row>
    <row r="70" spans="2:8">
      <c r="B70" s="637" t="s">
        <v>113</v>
      </c>
      <c r="C70" s="639"/>
      <c r="D70" s="640"/>
      <c r="E70" s="640"/>
      <c r="F70" s="640"/>
      <c r="G70" s="640"/>
      <c r="H70" s="641"/>
    </row>
    <row r="71" spans="2:8">
      <c r="B71" s="638"/>
      <c r="C71" s="642"/>
      <c r="D71" s="643"/>
      <c r="E71" s="643"/>
      <c r="F71" s="643"/>
      <c r="G71" s="643"/>
      <c r="H71" s="644"/>
    </row>
  </sheetData>
  <sheetProtection algorithmName="SHA-512" hashValue="M2eIRi0oX7pEUhFyfPwk2ckpDUxR6MFezOCl2opWUjKUVcsFjaIQ1rXZLu/7BES0HAaorUMO7OyjAr+56IsgSg==" saltValue="S+1fwfrLqJEq7knHrCyIOg==" spinCount="100000" sheet="1" objects="1" scenarios="1"/>
  <mergeCells count="25">
    <mergeCell ref="B36:C36"/>
    <mergeCell ref="F55:M55"/>
    <mergeCell ref="B23:C23"/>
    <mergeCell ref="B22:C22"/>
    <mergeCell ref="B24:C24"/>
    <mergeCell ref="B25:C25"/>
    <mergeCell ref="B26:C26"/>
    <mergeCell ref="B33:C33"/>
    <mergeCell ref="B34:C34"/>
    <mergeCell ref="B31:C31"/>
    <mergeCell ref="B32:C32"/>
    <mergeCell ref="B35:C35"/>
    <mergeCell ref="B70:B71"/>
    <mergeCell ref="C70:H71"/>
    <mergeCell ref="B61:B62"/>
    <mergeCell ref="C61:H62"/>
    <mergeCell ref="B64:B65"/>
    <mergeCell ref="C64:H65"/>
    <mergeCell ref="B67:B68"/>
    <mergeCell ref="C67:H68"/>
    <mergeCell ref="C8:G8"/>
    <mergeCell ref="F23:M23"/>
    <mergeCell ref="F31:M31"/>
    <mergeCell ref="F24:M24"/>
    <mergeCell ref="F32:M32"/>
  </mergeCells>
  <conditionalFormatting sqref="D22:D27">
    <cfRule type="expression" dxfId="48" priority="2">
      <formula>"&lt;0"</formula>
    </cfRule>
  </conditionalFormatting>
  <conditionalFormatting sqref="D31:D36">
    <cfRule type="cellIs" dxfId="47" priority="3" operator="greaterThan">
      <formula>0</formula>
    </cfRule>
  </conditionalFormatting>
  <pageMargins left="0.7" right="0.7" top="0.75" bottom="0.75" header="0.3" footer="0.3"/>
  <pageSetup paperSize="9" scale="4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0">
    <tabColor rgb="FFFFFF00"/>
  </sheetPr>
  <dimension ref="A1"/>
  <sheetViews>
    <sheetView workbookViewId="0">
      <selection activeCell="D6" sqref="D6"/>
    </sheetView>
  </sheetViews>
  <sheetFormatPr defaultRowHeight="14.4"/>
  <sheetData>
    <row r="1" spans="1:1" ht="28.8">
      <c r="A1" s="344" t="s">
        <v>530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0D134-C852-4E11-8319-2B64898E50DF}">
  <sheetPr codeName="Sheet21">
    <tabColor rgb="FFFFFF00"/>
  </sheetPr>
  <dimension ref="A1:J20"/>
  <sheetViews>
    <sheetView showGridLines="0" topLeftCell="A4" zoomScale="120" zoomScaleNormal="120" workbookViewId="0">
      <selection activeCell="F10" sqref="F10:G10"/>
    </sheetView>
  </sheetViews>
  <sheetFormatPr defaultRowHeight="14.4"/>
  <cols>
    <col min="1" max="1" width="7.6640625" customWidth="1"/>
    <col min="2" max="2" width="8.5546875" customWidth="1"/>
    <col min="3" max="3" width="33.6640625" customWidth="1"/>
    <col min="4" max="4" width="1.44140625" customWidth="1"/>
    <col min="5" max="5" width="10.88671875" customWidth="1"/>
    <col min="6" max="6" width="3.5546875" customWidth="1"/>
    <col min="7" max="7" width="15.6640625" customWidth="1"/>
    <col min="8" max="8" width="9.5546875" customWidth="1"/>
    <col min="9" max="9" width="11.6640625" customWidth="1"/>
    <col min="10" max="10" width="14.109375" customWidth="1"/>
    <col min="256" max="256" width="16" customWidth="1"/>
    <col min="257" max="257" width="8.5546875" customWidth="1"/>
    <col min="258" max="258" width="36" customWidth="1"/>
    <col min="259" max="259" width="1.44140625" customWidth="1"/>
    <col min="260" max="260" width="12.5546875" customWidth="1"/>
    <col min="261" max="261" width="3.109375" customWidth="1"/>
    <col min="262" max="262" width="0.6640625" customWidth="1"/>
    <col min="263" max="263" width="15.6640625" customWidth="1"/>
    <col min="264" max="264" width="4.33203125" customWidth="1"/>
    <col min="512" max="512" width="16" customWidth="1"/>
    <col min="513" max="513" width="8.5546875" customWidth="1"/>
    <col min="514" max="514" width="36" customWidth="1"/>
    <col min="515" max="515" width="1.44140625" customWidth="1"/>
    <col min="516" max="516" width="12.5546875" customWidth="1"/>
    <col min="517" max="517" width="3.109375" customWidth="1"/>
    <col min="518" max="518" width="0.6640625" customWidth="1"/>
    <col min="519" max="519" width="15.6640625" customWidth="1"/>
    <col min="520" max="520" width="4.33203125" customWidth="1"/>
    <col min="768" max="768" width="16" customWidth="1"/>
    <col min="769" max="769" width="8.5546875" customWidth="1"/>
    <col min="770" max="770" width="36" customWidth="1"/>
    <col min="771" max="771" width="1.44140625" customWidth="1"/>
    <col min="772" max="772" width="12.5546875" customWidth="1"/>
    <col min="773" max="773" width="3.109375" customWidth="1"/>
    <col min="774" max="774" width="0.6640625" customWidth="1"/>
    <col min="775" max="775" width="15.6640625" customWidth="1"/>
    <col min="776" max="776" width="4.33203125" customWidth="1"/>
    <col min="1024" max="1024" width="16" customWidth="1"/>
    <col min="1025" max="1025" width="8.5546875" customWidth="1"/>
    <col min="1026" max="1026" width="36" customWidth="1"/>
    <col min="1027" max="1027" width="1.44140625" customWidth="1"/>
    <col min="1028" max="1028" width="12.5546875" customWidth="1"/>
    <col min="1029" max="1029" width="3.109375" customWidth="1"/>
    <col min="1030" max="1030" width="0.6640625" customWidth="1"/>
    <col min="1031" max="1031" width="15.6640625" customWidth="1"/>
    <col min="1032" max="1032" width="4.33203125" customWidth="1"/>
    <col min="1280" max="1280" width="16" customWidth="1"/>
    <col min="1281" max="1281" width="8.5546875" customWidth="1"/>
    <col min="1282" max="1282" width="36" customWidth="1"/>
    <col min="1283" max="1283" width="1.44140625" customWidth="1"/>
    <col min="1284" max="1284" width="12.5546875" customWidth="1"/>
    <col min="1285" max="1285" width="3.109375" customWidth="1"/>
    <col min="1286" max="1286" width="0.6640625" customWidth="1"/>
    <col min="1287" max="1287" width="15.6640625" customWidth="1"/>
    <col min="1288" max="1288" width="4.33203125" customWidth="1"/>
    <col min="1536" max="1536" width="16" customWidth="1"/>
    <col min="1537" max="1537" width="8.5546875" customWidth="1"/>
    <col min="1538" max="1538" width="36" customWidth="1"/>
    <col min="1539" max="1539" width="1.44140625" customWidth="1"/>
    <col min="1540" max="1540" width="12.5546875" customWidth="1"/>
    <col min="1541" max="1541" width="3.109375" customWidth="1"/>
    <col min="1542" max="1542" width="0.6640625" customWidth="1"/>
    <col min="1543" max="1543" width="15.6640625" customWidth="1"/>
    <col min="1544" max="1544" width="4.33203125" customWidth="1"/>
    <col min="1792" max="1792" width="16" customWidth="1"/>
    <col min="1793" max="1793" width="8.5546875" customWidth="1"/>
    <col min="1794" max="1794" width="36" customWidth="1"/>
    <col min="1795" max="1795" width="1.44140625" customWidth="1"/>
    <col min="1796" max="1796" width="12.5546875" customWidth="1"/>
    <col min="1797" max="1797" width="3.109375" customWidth="1"/>
    <col min="1798" max="1798" width="0.6640625" customWidth="1"/>
    <col min="1799" max="1799" width="15.6640625" customWidth="1"/>
    <col min="1800" max="1800" width="4.33203125" customWidth="1"/>
    <col min="2048" max="2048" width="16" customWidth="1"/>
    <col min="2049" max="2049" width="8.5546875" customWidth="1"/>
    <col min="2050" max="2050" width="36" customWidth="1"/>
    <col min="2051" max="2051" width="1.44140625" customWidth="1"/>
    <col min="2052" max="2052" width="12.5546875" customWidth="1"/>
    <col min="2053" max="2053" width="3.109375" customWidth="1"/>
    <col min="2054" max="2054" width="0.6640625" customWidth="1"/>
    <col min="2055" max="2055" width="15.6640625" customWidth="1"/>
    <col min="2056" max="2056" width="4.33203125" customWidth="1"/>
    <col min="2304" max="2304" width="16" customWidth="1"/>
    <col min="2305" max="2305" width="8.5546875" customWidth="1"/>
    <col min="2306" max="2306" width="36" customWidth="1"/>
    <col min="2307" max="2307" width="1.44140625" customWidth="1"/>
    <col min="2308" max="2308" width="12.5546875" customWidth="1"/>
    <col min="2309" max="2309" width="3.109375" customWidth="1"/>
    <col min="2310" max="2310" width="0.6640625" customWidth="1"/>
    <col min="2311" max="2311" width="15.6640625" customWidth="1"/>
    <col min="2312" max="2312" width="4.33203125" customWidth="1"/>
    <col min="2560" max="2560" width="16" customWidth="1"/>
    <col min="2561" max="2561" width="8.5546875" customWidth="1"/>
    <col min="2562" max="2562" width="36" customWidth="1"/>
    <col min="2563" max="2563" width="1.44140625" customWidth="1"/>
    <col min="2564" max="2564" width="12.5546875" customWidth="1"/>
    <col min="2565" max="2565" width="3.109375" customWidth="1"/>
    <col min="2566" max="2566" width="0.6640625" customWidth="1"/>
    <col min="2567" max="2567" width="15.6640625" customWidth="1"/>
    <col min="2568" max="2568" width="4.33203125" customWidth="1"/>
    <col min="2816" max="2816" width="16" customWidth="1"/>
    <col min="2817" max="2817" width="8.5546875" customWidth="1"/>
    <col min="2818" max="2818" width="36" customWidth="1"/>
    <col min="2819" max="2819" width="1.44140625" customWidth="1"/>
    <col min="2820" max="2820" width="12.5546875" customWidth="1"/>
    <col min="2821" max="2821" width="3.109375" customWidth="1"/>
    <col min="2822" max="2822" width="0.6640625" customWidth="1"/>
    <col min="2823" max="2823" width="15.6640625" customWidth="1"/>
    <col min="2824" max="2824" width="4.33203125" customWidth="1"/>
    <col min="3072" max="3072" width="16" customWidth="1"/>
    <col min="3073" max="3073" width="8.5546875" customWidth="1"/>
    <col min="3074" max="3074" width="36" customWidth="1"/>
    <col min="3075" max="3075" width="1.44140625" customWidth="1"/>
    <col min="3076" max="3076" width="12.5546875" customWidth="1"/>
    <col min="3077" max="3077" width="3.109375" customWidth="1"/>
    <col min="3078" max="3078" width="0.6640625" customWidth="1"/>
    <col min="3079" max="3079" width="15.6640625" customWidth="1"/>
    <col min="3080" max="3080" width="4.33203125" customWidth="1"/>
    <col min="3328" max="3328" width="16" customWidth="1"/>
    <col min="3329" max="3329" width="8.5546875" customWidth="1"/>
    <col min="3330" max="3330" width="36" customWidth="1"/>
    <col min="3331" max="3331" width="1.44140625" customWidth="1"/>
    <col min="3332" max="3332" width="12.5546875" customWidth="1"/>
    <col min="3333" max="3333" width="3.109375" customWidth="1"/>
    <col min="3334" max="3334" width="0.6640625" customWidth="1"/>
    <col min="3335" max="3335" width="15.6640625" customWidth="1"/>
    <col min="3336" max="3336" width="4.33203125" customWidth="1"/>
    <col min="3584" max="3584" width="16" customWidth="1"/>
    <col min="3585" max="3585" width="8.5546875" customWidth="1"/>
    <col min="3586" max="3586" width="36" customWidth="1"/>
    <col min="3587" max="3587" width="1.44140625" customWidth="1"/>
    <col min="3588" max="3588" width="12.5546875" customWidth="1"/>
    <col min="3589" max="3589" width="3.109375" customWidth="1"/>
    <col min="3590" max="3590" width="0.6640625" customWidth="1"/>
    <col min="3591" max="3591" width="15.6640625" customWidth="1"/>
    <col min="3592" max="3592" width="4.33203125" customWidth="1"/>
    <col min="3840" max="3840" width="16" customWidth="1"/>
    <col min="3841" max="3841" width="8.5546875" customWidth="1"/>
    <col min="3842" max="3842" width="36" customWidth="1"/>
    <col min="3843" max="3843" width="1.44140625" customWidth="1"/>
    <col min="3844" max="3844" width="12.5546875" customWidth="1"/>
    <col min="3845" max="3845" width="3.109375" customWidth="1"/>
    <col min="3846" max="3846" width="0.6640625" customWidth="1"/>
    <col min="3847" max="3847" width="15.6640625" customWidth="1"/>
    <col min="3848" max="3848" width="4.33203125" customWidth="1"/>
    <col min="4096" max="4096" width="16" customWidth="1"/>
    <col min="4097" max="4097" width="8.5546875" customWidth="1"/>
    <col min="4098" max="4098" width="36" customWidth="1"/>
    <col min="4099" max="4099" width="1.44140625" customWidth="1"/>
    <col min="4100" max="4100" width="12.5546875" customWidth="1"/>
    <col min="4101" max="4101" width="3.109375" customWidth="1"/>
    <col min="4102" max="4102" width="0.6640625" customWidth="1"/>
    <col min="4103" max="4103" width="15.6640625" customWidth="1"/>
    <col min="4104" max="4104" width="4.33203125" customWidth="1"/>
    <col min="4352" max="4352" width="16" customWidth="1"/>
    <col min="4353" max="4353" width="8.5546875" customWidth="1"/>
    <col min="4354" max="4354" width="36" customWidth="1"/>
    <col min="4355" max="4355" width="1.44140625" customWidth="1"/>
    <col min="4356" max="4356" width="12.5546875" customWidth="1"/>
    <col min="4357" max="4357" width="3.109375" customWidth="1"/>
    <col min="4358" max="4358" width="0.6640625" customWidth="1"/>
    <col min="4359" max="4359" width="15.6640625" customWidth="1"/>
    <col min="4360" max="4360" width="4.33203125" customWidth="1"/>
    <col min="4608" max="4608" width="16" customWidth="1"/>
    <col min="4609" max="4609" width="8.5546875" customWidth="1"/>
    <col min="4610" max="4610" width="36" customWidth="1"/>
    <col min="4611" max="4611" width="1.44140625" customWidth="1"/>
    <col min="4612" max="4612" width="12.5546875" customWidth="1"/>
    <col min="4613" max="4613" width="3.109375" customWidth="1"/>
    <col min="4614" max="4614" width="0.6640625" customWidth="1"/>
    <col min="4615" max="4615" width="15.6640625" customWidth="1"/>
    <col min="4616" max="4616" width="4.33203125" customWidth="1"/>
    <col min="4864" max="4864" width="16" customWidth="1"/>
    <col min="4865" max="4865" width="8.5546875" customWidth="1"/>
    <col min="4866" max="4866" width="36" customWidth="1"/>
    <col min="4867" max="4867" width="1.44140625" customWidth="1"/>
    <col min="4868" max="4868" width="12.5546875" customWidth="1"/>
    <col min="4869" max="4869" width="3.109375" customWidth="1"/>
    <col min="4870" max="4870" width="0.6640625" customWidth="1"/>
    <col min="4871" max="4871" width="15.6640625" customWidth="1"/>
    <col min="4872" max="4872" width="4.33203125" customWidth="1"/>
    <col min="5120" max="5120" width="16" customWidth="1"/>
    <col min="5121" max="5121" width="8.5546875" customWidth="1"/>
    <col min="5122" max="5122" width="36" customWidth="1"/>
    <col min="5123" max="5123" width="1.44140625" customWidth="1"/>
    <col min="5124" max="5124" width="12.5546875" customWidth="1"/>
    <col min="5125" max="5125" width="3.109375" customWidth="1"/>
    <col min="5126" max="5126" width="0.6640625" customWidth="1"/>
    <col min="5127" max="5127" width="15.6640625" customWidth="1"/>
    <col min="5128" max="5128" width="4.33203125" customWidth="1"/>
    <col min="5376" max="5376" width="16" customWidth="1"/>
    <col min="5377" max="5377" width="8.5546875" customWidth="1"/>
    <col min="5378" max="5378" width="36" customWidth="1"/>
    <col min="5379" max="5379" width="1.44140625" customWidth="1"/>
    <col min="5380" max="5380" width="12.5546875" customWidth="1"/>
    <col min="5381" max="5381" width="3.109375" customWidth="1"/>
    <col min="5382" max="5382" width="0.6640625" customWidth="1"/>
    <col min="5383" max="5383" width="15.6640625" customWidth="1"/>
    <col min="5384" max="5384" width="4.33203125" customWidth="1"/>
    <col min="5632" max="5632" width="16" customWidth="1"/>
    <col min="5633" max="5633" width="8.5546875" customWidth="1"/>
    <col min="5634" max="5634" width="36" customWidth="1"/>
    <col min="5635" max="5635" width="1.44140625" customWidth="1"/>
    <col min="5636" max="5636" width="12.5546875" customWidth="1"/>
    <col min="5637" max="5637" width="3.109375" customWidth="1"/>
    <col min="5638" max="5638" width="0.6640625" customWidth="1"/>
    <col min="5639" max="5639" width="15.6640625" customWidth="1"/>
    <col min="5640" max="5640" width="4.33203125" customWidth="1"/>
    <col min="5888" max="5888" width="16" customWidth="1"/>
    <col min="5889" max="5889" width="8.5546875" customWidth="1"/>
    <col min="5890" max="5890" width="36" customWidth="1"/>
    <col min="5891" max="5891" width="1.44140625" customWidth="1"/>
    <col min="5892" max="5892" width="12.5546875" customWidth="1"/>
    <col min="5893" max="5893" width="3.109375" customWidth="1"/>
    <col min="5894" max="5894" width="0.6640625" customWidth="1"/>
    <col min="5895" max="5895" width="15.6640625" customWidth="1"/>
    <col min="5896" max="5896" width="4.33203125" customWidth="1"/>
    <col min="6144" max="6144" width="16" customWidth="1"/>
    <col min="6145" max="6145" width="8.5546875" customWidth="1"/>
    <col min="6146" max="6146" width="36" customWidth="1"/>
    <col min="6147" max="6147" width="1.44140625" customWidth="1"/>
    <col min="6148" max="6148" width="12.5546875" customWidth="1"/>
    <col min="6149" max="6149" width="3.109375" customWidth="1"/>
    <col min="6150" max="6150" width="0.6640625" customWidth="1"/>
    <col min="6151" max="6151" width="15.6640625" customWidth="1"/>
    <col min="6152" max="6152" width="4.33203125" customWidth="1"/>
    <col min="6400" max="6400" width="16" customWidth="1"/>
    <col min="6401" max="6401" width="8.5546875" customWidth="1"/>
    <col min="6402" max="6402" width="36" customWidth="1"/>
    <col min="6403" max="6403" width="1.44140625" customWidth="1"/>
    <col min="6404" max="6404" width="12.5546875" customWidth="1"/>
    <col min="6405" max="6405" width="3.109375" customWidth="1"/>
    <col min="6406" max="6406" width="0.6640625" customWidth="1"/>
    <col min="6407" max="6407" width="15.6640625" customWidth="1"/>
    <col min="6408" max="6408" width="4.33203125" customWidth="1"/>
    <col min="6656" max="6656" width="16" customWidth="1"/>
    <col min="6657" max="6657" width="8.5546875" customWidth="1"/>
    <col min="6658" max="6658" width="36" customWidth="1"/>
    <col min="6659" max="6659" width="1.44140625" customWidth="1"/>
    <col min="6660" max="6660" width="12.5546875" customWidth="1"/>
    <col min="6661" max="6661" width="3.109375" customWidth="1"/>
    <col min="6662" max="6662" width="0.6640625" customWidth="1"/>
    <col min="6663" max="6663" width="15.6640625" customWidth="1"/>
    <col min="6664" max="6664" width="4.33203125" customWidth="1"/>
    <col min="6912" max="6912" width="16" customWidth="1"/>
    <col min="6913" max="6913" width="8.5546875" customWidth="1"/>
    <col min="6914" max="6914" width="36" customWidth="1"/>
    <col min="6915" max="6915" width="1.44140625" customWidth="1"/>
    <col min="6916" max="6916" width="12.5546875" customWidth="1"/>
    <col min="6917" max="6917" width="3.109375" customWidth="1"/>
    <col min="6918" max="6918" width="0.6640625" customWidth="1"/>
    <col min="6919" max="6919" width="15.6640625" customWidth="1"/>
    <col min="6920" max="6920" width="4.33203125" customWidth="1"/>
    <col min="7168" max="7168" width="16" customWidth="1"/>
    <col min="7169" max="7169" width="8.5546875" customWidth="1"/>
    <col min="7170" max="7170" width="36" customWidth="1"/>
    <col min="7171" max="7171" width="1.44140625" customWidth="1"/>
    <col min="7172" max="7172" width="12.5546875" customWidth="1"/>
    <col min="7173" max="7173" width="3.109375" customWidth="1"/>
    <col min="7174" max="7174" width="0.6640625" customWidth="1"/>
    <col min="7175" max="7175" width="15.6640625" customWidth="1"/>
    <col min="7176" max="7176" width="4.33203125" customWidth="1"/>
    <col min="7424" max="7424" width="16" customWidth="1"/>
    <col min="7425" max="7425" width="8.5546875" customWidth="1"/>
    <col min="7426" max="7426" width="36" customWidth="1"/>
    <col min="7427" max="7427" width="1.44140625" customWidth="1"/>
    <col min="7428" max="7428" width="12.5546875" customWidth="1"/>
    <col min="7429" max="7429" width="3.109375" customWidth="1"/>
    <col min="7430" max="7430" width="0.6640625" customWidth="1"/>
    <col min="7431" max="7431" width="15.6640625" customWidth="1"/>
    <col min="7432" max="7432" width="4.33203125" customWidth="1"/>
    <col min="7680" max="7680" width="16" customWidth="1"/>
    <col min="7681" max="7681" width="8.5546875" customWidth="1"/>
    <col min="7682" max="7682" width="36" customWidth="1"/>
    <col min="7683" max="7683" width="1.44140625" customWidth="1"/>
    <col min="7684" max="7684" width="12.5546875" customWidth="1"/>
    <col min="7685" max="7685" width="3.109375" customWidth="1"/>
    <col min="7686" max="7686" width="0.6640625" customWidth="1"/>
    <col min="7687" max="7687" width="15.6640625" customWidth="1"/>
    <col min="7688" max="7688" width="4.33203125" customWidth="1"/>
    <col min="7936" max="7936" width="16" customWidth="1"/>
    <col min="7937" max="7937" width="8.5546875" customWidth="1"/>
    <col min="7938" max="7938" width="36" customWidth="1"/>
    <col min="7939" max="7939" width="1.44140625" customWidth="1"/>
    <col min="7940" max="7940" width="12.5546875" customWidth="1"/>
    <col min="7941" max="7941" width="3.109375" customWidth="1"/>
    <col min="7942" max="7942" width="0.6640625" customWidth="1"/>
    <col min="7943" max="7943" width="15.6640625" customWidth="1"/>
    <col min="7944" max="7944" width="4.33203125" customWidth="1"/>
    <col min="8192" max="8192" width="16" customWidth="1"/>
    <col min="8193" max="8193" width="8.5546875" customWidth="1"/>
    <col min="8194" max="8194" width="36" customWidth="1"/>
    <col min="8195" max="8195" width="1.44140625" customWidth="1"/>
    <col min="8196" max="8196" width="12.5546875" customWidth="1"/>
    <col min="8197" max="8197" width="3.109375" customWidth="1"/>
    <col min="8198" max="8198" width="0.6640625" customWidth="1"/>
    <col min="8199" max="8199" width="15.6640625" customWidth="1"/>
    <col min="8200" max="8200" width="4.33203125" customWidth="1"/>
    <col min="8448" max="8448" width="16" customWidth="1"/>
    <col min="8449" max="8449" width="8.5546875" customWidth="1"/>
    <col min="8450" max="8450" width="36" customWidth="1"/>
    <col min="8451" max="8451" width="1.44140625" customWidth="1"/>
    <col min="8452" max="8452" width="12.5546875" customWidth="1"/>
    <col min="8453" max="8453" width="3.109375" customWidth="1"/>
    <col min="8454" max="8454" width="0.6640625" customWidth="1"/>
    <col min="8455" max="8455" width="15.6640625" customWidth="1"/>
    <col min="8456" max="8456" width="4.33203125" customWidth="1"/>
    <col min="8704" max="8704" width="16" customWidth="1"/>
    <col min="8705" max="8705" width="8.5546875" customWidth="1"/>
    <col min="8706" max="8706" width="36" customWidth="1"/>
    <col min="8707" max="8707" width="1.44140625" customWidth="1"/>
    <col min="8708" max="8708" width="12.5546875" customWidth="1"/>
    <col min="8709" max="8709" width="3.109375" customWidth="1"/>
    <col min="8710" max="8710" width="0.6640625" customWidth="1"/>
    <col min="8711" max="8711" width="15.6640625" customWidth="1"/>
    <col min="8712" max="8712" width="4.33203125" customWidth="1"/>
    <col min="8960" max="8960" width="16" customWidth="1"/>
    <col min="8961" max="8961" width="8.5546875" customWidth="1"/>
    <col min="8962" max="8962" width="36" customWidth="1"/>
    <col min="8963" max="8963" width="1.44140625" customWidth="1"/>
    <col min="8964" max="8964" width="12.5546875" customWidth="1"/>
    <col min="8965" max="8965" width="3.109375" customWidth="1"/>
    <col min="8966" max="8966" width="0.6640625" customWidth="1"/>
    <col min="8967" max="8967" width="15.6640625" customWidth="1"/>
    <col min="8968" max="8968" width="4.33203125" customWidth="1"/>
    <col min="9216" max="9216" width="16" customWidth="1"/>
    <col min="9217" max="9217" width="8.5546875" customWidth="1"/>
    <col min="9218" max="9218" width="36" customWidth="1"/>
    <col min="9219" max="9219" width="1.44140625" customWidth="1"/>
    <col min="9220" max="9220" width="12.5546875" customWidth="1"/>
    <col min="9221" max="9221" width="3.109375" customWidth="1"/>
    <col min="9222" max="9222" width="0.6640625" customWidth="1"/>
    <col min="9223" max="9223" width="15.6640625" customWidth="1"/>
    <col min="9224" max="9224" width="4.33203125" customWidth="1"/>
    <col min="9472" max="9472" width="16" customWidth="1"/>
    <col min="9473" max="9473" width="8.5546875" customWidth="1"/>
    <col min="9474" max="9474" width="36" customWidth="1"/>
    <col min="9475" max="9475" width="1.44140625" customWidth="1"/>
    <col min="9476" max="9476" width="12.5546875" customWidth="1"/>
    <col min="9477" max="9477" width="3.109375" customWidth="1"/>
    <col min="9478" max="9478" width="0.6640625" customWidth="1"/>
    <col min="9479" max="9479" width="15.6640625" customWidth="1"/>
    <col min="9480" max="9480" width="4.33203125" customWidth="1"/>
    <col min="9728" max="9728" width="16" customWidth="1"/>
    <col min="9729" max="9729" width="8.5546875" customWidth="1"/>
    <col min="9730" max="9730" width="36" customWidth="1"/>
    <col min="9731" max="9731" width="1.44140625" customWidth="1"/>
    <col min="9732" max="9732" width="12.5546875" customWidth="1"/>
    <col min="9733" max="9733" width="3.109375" customWidth="1"/>
    <col min="9734" max="9734" width="0.6640625" customWidth="1"/>
    <col min="9735" max="9735" width="15.6640625" customWidth="1"/>
    <col min="9736" max="9736" width="4.33203125" customWidth="1"/>
    <col min="9984" max="9984" width="16" customWidth="1"/>
    <col min="9985" max="9985" width="8.5546875" customWidth="1"/>
    <col min="9986" max="9986" width="36" customWidth="1"/>
    <col min="9987" max="9987" width="1.44140625" customWidth="1"/>
    <col min="9988" max="9988" width="12.5546875" customWidth="1"/>
    <col min="9989" max="9989" width="3.109375" customWidth="1"/>
    <col min="9990" max="9990" width="0.6640625" customWidth="1"/>
    <col min="9991" max="9991" width="15.6640625" customWidth="1"/>
    <col min="9992" max="9992" width="4.33203125" customWidth="1"/>
    <col min="10240" max="10240" width="16" customWidth="1"/>
    <col min="10241" max="10241" width="8.5546875" customWidth="1"/>
    <col min="10242" max="10242" width="36" customWidth="1"/>
    <col min="10243" max="10243" width="1.44140625" customWidth="1"/>
    <col min="10244" max="10244" width="12.5546875" customWidth="1"/>
    <col min="10245" max="10245" width="3.109375" customWidth="1"/>
    <col min="10246" max="10246" width="0.6640625" customWidth="1"/>
    <col min="10247" max="10247" width="15.6640625" customWidth="1"/>
    <col min="10248" max="10248" width="4.33203125" customWidth="1"/>
    <col min="10496" max="10496" width="16" customWidth="1"/>
    <col min="10497" max="10497" width="8.5546875" customWidth="1"/>
    <col min="10498" max="10498" width="36" customWidth="1"/>
    <col min="10499" max="10499" width="1.44140625" customWidth="1"/>
    <col min="10500" max="10500" width="12.5546875" customWidth="1"/>
    <col min="10501" max="10501" width="3.109375" customWidth="1"/>
    <col min="10502" max="10502" width="0.6640625" customWidth="1"/>
    <col min="10503" max="10503" width="15.6640625" customWidth="1"/>
    <col min="10504" max="10504" width="4.33203125" customWidth="1"/>
    <col min="10752" max="10752" width="16" customWidth="1"/>
    <col min="10753" max="10753" width="8.5546875" customWidth="1"/>
    <col min="10754" max="10754" width="36" customWidth="1"/>
    <col min="10755" max="10755" width="1.44140625" customWidth="1"/>
    <col min="10756" max="10756" width="12.5546875" customWidth="1"/>
    <col min="10757" max="10757" width="3.109375" customWidth="1"/>
    <col min="10758" max="10758" width="0.6640625" customWidth="1"/>
    <col min="10759" max="10759" width="15.6640625" customWidth="1"/>
    <col min="10760" max="10760" width="4.33203125" customWidth="1"/>
    <col min="11008" max="11008" width="16" customWidth="1"/>
    <col min="11009" max="11009" width="8.5546875" customWidth="1"/>
    <col min="11010" max="11010" width="36" customWidth="1"/>
    <col min="11011" max="11011" width="1.44140625" customWidth="1"/>
    <col min="11012" max="11012" width="12.5546875" customWidth="1"/>
    <col min="11013" max="11013" width="3.109375" customWidth="1"/>
    <col min="11014" max="11014" width="0.6640625" customWidth="1"/>
    <col min="11015" max="11015" width="15.6640625" customWidth="1"/>
    <col min="11016" max="11016" width="4.33203125" customWidth="1"/>
    <col min="11264" max="11264" width="16" customWidth="1"/>
    <col min="11265" max="11265" width="8.5546875" customWidth="1"/>
    <col min="11266" max="11266" width="36" customWidth="1"/>
    <col min="11267" max="11267" width="1.44140625" customWidth="1"/>
    <col min="11268" max="11268" width="12.5546875" customWidth="1"/>
    <col min="11269" max="11269" width="3.109375" customWidth="1"/>
    <col min="11270" max="11270" width="0.6640625" customWidth="1"/>
    <col min="11271" max="11271" width="15.6640625" customWidth="1"/>
    <col min="11272" max="11272" width="4.33203125" customWidth="1"/>
    <col min="11520" max="11520" width="16" customWidth="1"/>
    <col min="11521" max="11521" width="8.5546875" customWidth="1"/>
    <col min="11522" max="11522" width="36" customWidth="1"/>
    <col min="11523" max="11523" width="1.44140625" customWidth="1"/>
    <col min="11524" max="11524" width="12.5546875" customWidth="1"/>
    <col min="11525" max="11525" width="3.109375" customWidth="1"/>
    <col min="11526" max="11526" width="0.6640625" customWidth="1"/>
    <col min="11527" max="11527" width="15.6640625" customWidth="1"/>
    <col min="11528" max="11528" width="4.33203125" customWidth="1"/>
    <col min="11776" max="11776" width="16" customWidth="1"/>
    <col min="11777" max="11777" width="8.5546875" customWidth="1"/>
    <col min="11778" max="11778" width="36" customWidth="1"/>
    <col min="11779" max="11779" width="1.44140625" customWidth="1"/>
    <col min="11780" max="11780" width="12.5546875" customWidth="1"/>
    <col min="11781" max="11781" width="3.109375" customWidth="1"/>
    <col min="11782" max="11782" width="0.6640625" customWidth="1"/>
    <col min="11783" max="11783" width="15.6640625" customWidth="1"/>
    <col min="11784" max="11784" width="4.33203125" customWidth="1"/>
    <col min="12032" max="12032" width="16" customWidth="1"/>
    <col min="12033" max="12033" width="8.5546875" customWidth="1"/>
    <col min="12034" max="12034" width="36" customWidth="1"/>
    <col min="12035" max="12035" width="1.44140625" customWidth="1"/>
    <col min="12036" max="12036" width="12.5546875" customWidth="1"/>
    <col min="12037" max="12037" width="3.109375" customWidth="1"/>
    <col min="12038" max="12038" width="0.6640625" customWidth="1"/>
    <col min="12039" max="12039" width="15.6640625" customWidth="1"/>
    <col min="12040" max="12040" width="4.33203125" customWidth="1"/>
    <col min="12288" max="12288" width="16" customWidth="1"/>
    <col min="12289" max="12289" width="8.5546875" customWidth="1"/>
    <col min="12290" max="12290" width="36" customWidth="1"/>
    <col min="12291" max="12291" width="1.44140625" customWidth="1"/>
    <col min="12292" max="12292" width="12.5546875" customWidth="1"/>
    <col min="12293" max="12293" width="3.109375" customWidth="1"/>
    <col min="12294" max="12294" width="0.6640625" customWidth="1"/>
    <col min="12295" max="12295" width="15.6640625" customWidth="1"/>
    <col min="12296" max="12296" width="4.33203125" customWidth="1"/>
    <col min="12544" max="12544" width="16" customWidth="1"/>
    <col min="12545" max="12545" width="8.5546875" customWidth="1"/>
    <col min="12546" max="12546" width="36" customWidth="1"/>
    <col min="12547" max="12547" width="1.44140625" customWidth="1"/>
    <col min="12548" max="12548" width="12.5546875" customWidth="1"/>
    <col min="12549" max="12549" width="3.109375" customWidth="1"/>
    <col min="12550" max="12550" width="0.6640625" customWidth="1"/>
    <col min="12551" max="12551" width="15.6640625" customWidth="1"/>
    <col min="12552" max="12552" width="4.33203125" customWidth="1"/>
    <col min="12800" max="12800" width="16" customWidth="1"/>
    <col min="12801" max="12801" width="8.5546875" customWidth="1"/>
    <col min="12802" max="12802" width="36" customWidth="1"/>
    <col min="12803" max="12803" width="1.44140625" customWidth="1"/>
    <col min="12804" max="12804" width="12.5546875" customWidth="1"/>
    <col min="12805" max="12805" width="3.109375" customWidth="1"/>
    <col min="12806" max="12806" width="0.6640625" customWidth="1"/>
    <col min="12807" max="12807" width="15.6640625" customWidth="1"/>
    <col min="12808" max="12808" width="4.33203125" customWidth="1"/>
    <col min="13056" max="13056" width="16" customWidth="1"/>
    <col min="13057" max="13057" width="8.5546875" customWidth="1"/>
    <col min="13058" max="13058" width="36" customWidth="1"/>
    <col min="13059" max="13059" width="1.44140625" customWidth="1"/>
    <col min="13060" max="13060" width="12.5546875" customWidth="1"/>
    <col min="13061" max="13061" width="3.109375" customWidth="1"/>
    <col min="13062" max="13062" width="0.6640625" customWidth="1"/>
    <col min="13063" max="13063" width="15.6640625" customWidth="1"/>
    <col min="13064" max="13064" width="4.33203125" customWidth="1"/>
    <col min="13312" max="13312" width="16" customWidth="1"/>
    <col min="13313" max="13313" width="8.5546875" customWidth="1"/>
    <col min="13314" max="13314" width="36" customWidth="1"/>
    <col min="13315" max="13315" width="1.44140625" customWidth="1"/>
    <col min="13316" max="13316" width="12.5546875" customWidth="1"/>
    <col min="13317" max="13317" width="3.109375" customWidth="1"/>
    <col min="13318" max="13318" width="0.6640625" customWidth="1"/>
    <col min="13319" max="13319" width="15.6640625" customWidth="1"/>
    <col min="13320" max="13320" width="4.33203125" customWidth="1"/>
    <col min="13568" max="13568" width="16" customWidth="1"/>
    <col min="13569" max="13569" width="8.5546875" customWidth="1"/>
    <col min="13570" max="13570" width="36" customWidth="1"/>
    <col min="13571" max="13571" width="1.44140625" customWidth="1"/>
    <col min="13572" max="13572" width="12.5546875" customWidth="1"/>
    <col min="13573" max="13573" width="3.109375" customWidth="1"/>
    <col min="13574" max="13574" width="0.6640625" customWidth="1"/>
    <col min="13575" max="13575" width="15.6640625" customWidth="1"/>
    <col min="13576" max="13576" width="4.33203125" customWidth="1"/>
    <col min="13824" max="13824" width="16" customWidth="1"/>
    <col min="13825" max="13825" width="8.5546875" customWidth="1"/>
    <col min="13826" max="13826" width="36" customWidth="1"/>
    <col min="13827" max="13827" width="1.44140625" customWidth="1"/>
    <col min="13828" max="13828" width="12.5546875" customWidth="1"/>
    <col min="13829" max="13829" width="3.109375" customWidth="1"/>
    <col min="13830" max="13830" width="0.6640625" customWidth="1"/>
    <col min="13831" max="13831" width="15.6640625" customWidth="1"/>
    <col min="13832" max="13832" width="4.33203125" customWidth="1"/>
    <col min="14080" max="14080" width="16" customWidth="1"/>
    <col min="14081" max="14081" width="8.5546875" customWidth="1"/>
    <col min="14082" max="14082" width="36" customWidth="1"/>
    <col min="14083" max="14083" width="1.44140625" customWidth="1"/>
    <col min="14084" max="14084" width="12.5546875" customWidth="1"/>
    <col min="14085" max="14085" width="3.109375" customWidth="1"/>
    <col min="14086" max="14086" width="0.6640625" customWidth="1"/>
    <col min="14087" max="14087" width="15.6640625" customWidth="1"/>
    <col min="14088" max="14088" width="4.33203125" customWidth="1"/>
    <col min="14336" max="14336" width="16" customWidth="1"/>
    <col min="14337" max="14337" width="8.5546875" customWidth="1"/>
    <col min="14338" max="14338" width="36" customWidth="1"/>
    <col min="14339" max="14339" width="1.44140625" customWidth="1"/>
    <col min="14340" max="14340" width="12.5546875" customWidth="1"/>
    <col min="14341" max="14341" width="3.109375" customWidth="1"/>
    <col min="14342" max="14342" width="0.6640625" customWidth="1"/>
    <col min="14343" max="14343" width="15.6640625" customWidth="1"/>
    <col min="14344" max="14344" width="4.33203125" customWidth="1"/>
    <col min="14592" max="14592" width="16" customWidth="1"/>
    <col min="14593" max="14593" width="8.5546875" customWidth="1"/>
    <col min="14594" max="14594" width="36" customWidth="1"/>
    <col min="14595" max="14595" width="1.44140625" customWidth="1"/>
    <col min="14596" max="14596" width="12.5546875" customWidth="1"/>
    <col min="14597" max="14597" width="3.109375" customWidth="1"/>
    <col min="14598" max="14598" width="0.6640625" customWidth="1"/>
    <col min="14599" max="14599" width="15.6640625" customWidth="1"/>
    <col min="14600" max="14600" width="4.33203125" customWidth="1"/>
    <col min="14848" max="14848" width="16" customWidth="1"/>
    <col min="14849" max="14849" width="8.5546875" customWidth="1"/>
    <col min="14850" max="14850" width="36" customWidth="1"/>
    <col min="14851" max="14851" width="1.44140625" customWidth="1"/>
    <col min="14852" max="14852" width="12.5546875" customWidth="1"/>
    <col min="14853" max="14853" width="3.109375" customWidth="1"/>
    <col min="14854" max="14854" width="0.6640625" customWidth="1"/>
    <col min="14855" max="14855" width="15.6640625" customWidth="1"/>
    <col min="14856" max="14856" width="4.33203125" customWidth="1"/>
    <col min="15104" max="15104" width="16" customWidth="1"/>
    <col min="15105" max="15105" width="8.5546875" customWidth="1"/>
    <col min="15106" max="15106" width="36" customWidth="1"/>
    <col min="15107" max="15107" width="1.44140625" customWidth="1"/>
    <col min="15108" max="15108" width="12.5546875" customWidth="1"/>
    <col min="15109" max="15109" width="3.109375" customWidth="1"/>
    <col min="15110" max="15110" width="0.6640625" customWidth="1"/>
    <col min="15111" max="15111" width="15.6640625" customWidth="1"/>
    <col min="15112" max="15112" width="4.33203125" customWidth="1"/>
    <col min="15360" max="15360" width="16" customWidth="1"/>
    <col min="15361" max="15361" width="8.5546875" customWidth="1"/>
    <col min="15362" max="15362" width="36" customWidth="1"/>
    <col min="15363" max="15363" width="1.44140625" customWidth="1"/>
    <col min="15364" max="15364" width="12.5546875" customWidth="1"/>
    <col min="15365" max="15365" width="3.109375" customWidth="1"/>
    <col min="15366" max="15366" width="0.6640625" customWidth="1"/>
    <col min="15367" max="15367" width="15.6640625" customWidth="1"/>
    <col min="15368" max="15368" width="4.33203125" customWidth="1"/>
    <col min="15616" max="15616" width="16" customWidth="1"/>
    <col min="15617" max="15617" width="8.5546875" customWidth="1"/>
    <col min="15618" max="15618" width="36" customWidth="1"/>
    <col min="15619" max="15619" width="1.44140625" customWidth="1"/>
    <col min="15620" max="15620" width="12.5546875" customWidth="1"/>
    <col min="15621" max="15621" width="3.109375" customWidth="1"/>
    <col min="15622" max="15622" width="0.6640625" customWidth="1"/>
    <col min="15623" max="15623" width="15.6640625" customWidth="1"/>
    <col min="15624" max="15624" width="4.33203125" customWidth="1"/>
    <col min="15872" max="15872" width="16" customWidth="1"/>
    <col min="15873" max="15873" width="8.5546875" customWidth="1"/>
    <col min="15874" max="15874" width="36" customWidth="1"/>
    <col min="15875" max="15875" width="1.44140625" customWidth="1"/>
    <col min="15876" max="15876" width="12.5546875" customWidth="1"/>
    <col min="15877" max="15877" width="3.109375" customWidth="1"/>
    <col min="15878" max="15878" width="0.6640625" customWidth="1"/>
    <col min="15879" max="15879" width="15.6640625" customWidth="1"/>
    <col min="15880" max="15880" width="4.33203125" customWidth="1"/>
    <col min="16128" max="16128" width="16" customWidth="1"/>
    <col min="16129" max="16129" width="8.5546875" customWidth="1"/>
    <col min="16130" max="16130" width="36" customWidth="1"/>
    <col min="16131" max="16131" width="1.44140625" customWidth="1"/>
    <col min="16132" max="16132" width="12.5546875" customWidth="1"/>
    <col min="16133" max="16133" width="3.109375" customWidth="1"/>
    <col min="16134" max="16134" width="0.6640625" customWidth="1"/>
    <col min="16135" max="16135" width="15.6640625" customWidth="1"/>
    <col min="16136" max="16136" width="4.33203125" customWidth="1"/>
  </cols>
  <sheetData>
    <row r="1" spans="1:8" ht="23.4">
      <c r="A1" s="359" t="s">
        <v>531</v>
      </c>
      <c r="G1" s="8"/>
      <c r="H1" s="8"/>
    </row>
    <row r="2" spans="1:8" ht="15" customHeight="1">
      <c r="B2" s="682" t="s">
        <v>286</v>
      </c>
      <c r="C2" s="682"/>
      <c r="D2" s="682"/>
      <c r="E2" s="682"/>
      <c r="F2" s="682"/>
      <c r="G2" s="682"/>
      <c r="H2" s="360"/>
    </row>
    <row r="4" spans="1:8" ht="27.75" customHeight="1">
      <c r="B4" s="361" t="s">
        <v>278</v>
      </c>
      <c r="C4" s="362"/>
      <c r="D4" s="362"/>
      <c r="E4" s="363" t="s">
        <v>254</v>
      </c>
      <c r="F4" s="364"/>
      <c r="G4" s="365" cm="1">
        <f t="array" ref="G4">'1) Instructions'!D9:D9</f>
        <v>0</v>
      </c>
    </row>
    <row r="5" spans="1:8" ht="24.75" customHeight="1">
      <c r="B5" s="9"/>
      <c r="C5" s="10" t="s">
        <v>287</v>
      </c>
      <c r="D5" s="683"/>
      <c r="E5" s="683"/>
      <c r="F5" s="21"/>
      <c r="G5" s="22">
        <v>45747</v>
      </c>
    </row>
    <row r="6" spans="1:8" ht="24.75" customHeight="1">
      <c r="B6" s="9"/>
      <c r="C6" s="10" t="s">
        <v>288</v>
      </c>
      <c r="D6" s="683"/>
      <c r="E6" s="683"/>
      <c r="F6" s="684"/>
      <c r="G6" s="684"/>
    </row>
    <row r="7" spans="1:8" ht="24.75" customHeight="1">
      <c r="B7" s="9"/>
      <c r="C7" s="10" t="s">
        <v>289</v>
      </c>
      <c r="D7" s="683"/>
      <c r="E7" s="683"/>
      <c r="F7" s="684"/>
      <c r="G7" s="684"/>
    </row>
    <row r="8" spans="1:8" ht="24.75" customHeight="1">
      <c r="B8" s="9"/>
      <c r="C8" s="10"/>
      <c r="D8" s="683"/>
      <c r="E8" s="683"/>
      <c r="F8" s="684"/>
      <c r="G8" s="684"/>
    </row>
    <row r="9" spans="1:8" ht="24.75" customHeight="1">
      <c r="B9" s="11"/>
      <c r="C9" s="12" t="s">
        <v>290</v>
      </c>
      <c r="D9" s="687" t="s">
        <v>3</v>
      </c>
      <c r="E9" s="687"/>
      <c r="F9" s="688">
        <f>SUM(F6:G8)</f>
        <v>0</v>
      </c>
      <c r="G9" s="688"/>
    </row>
    <row r="10" spans="1:8" ht="24.75" customHeight="1">
      <c r="B10" s="13"/>
      <c r="C10" s="14" t="s">
        <v>291</v>
      </c>
      <c r="D10" s="689"/>
      <c r="E10" s="689"/>
      <c r="F10" s="690"/>
      <c r="G10" s="690"/>
    </row>
    <row r="11" spans="1:8" ht="24.75" customHeight="1">
      <c r="B11" s="13"/>
      <c r="C11" s="14" t="s">
        <v>292</v>
      </c>
      <c r="D11" s="689"/>
      <c r="E11" s="691"/>
      <c r="F11" s="670"/>
      <c r="G11" s="671"/>
    </row>
    <row r="12" spans="1:8" ht="19.5" customHeight="1">
      <c r="B12" s="692"/>
      <c r="C12" s="663" t="s">
        <v>293</v>
      </c>
      <c r="D12" s="663" t="s">
        <v>3</v>
      </c>
      <c r="E12" s="664"/>
      <c r="F12" s="678">
        <f>F9-F10+F11</f>
        <v>0</v>
      </c>
      <c r="G12" s="679"/>
    </row>
    <row r="13" spans="1:8" ht="9.75" customHeight="1">
      <c r="B13" s="692"/>
      <c r="C13" s="663"/>
      <c r="D13" s="663"/>
      <c r="E13" s="664"/>
      <c r="F13" s="680"/>
      <c r="G13" s="681"/>
    </row>
    <row r="15" spans="1:8" ht="24.75" customHeight="1">
      <c r="B15" s="667" t="s">
        <v>294</v>
      </c>
      <c r="C15" s="667"/>
      <c r="D15" s="668" t="s">
        <v>3</v>
      </c>
      <c r="E15" s="669"/>
      <c r="F15" s="670"/>
      <c r="G15" s="671"/>
    </row>
    <row r="16" spans="1:8" ht="24.75" customHeight="1">
      <c r="B16" s="665" t="s">
        <v>295</v>
      </c>
      <c r="C16" s="665"/>
      <c r="D16" s="672" t="s">
        <v>3</v>
      </c>
      <c r="E16" s="673"/>
      <c r="F16" s="670"/>
      <c r="G16" s="671"/>
    </row>
    <row r="17" spans="2:10" ht="24.75" customHeight="1">
      <c r="B17" s="674" t="s">
        <v>296</v>
      </c>
      <c r="C17" s="674"/>
      <c r="D17" s="675" t="s">
        <v>3</v>
      </c>
      <c r="E17" s="676"/>
      <c r="F17" s="685">
        <f>F15-F16</f>
        <v>0</v>
      </c>
      <c r="G17" s="686"/>
      <c r="I17" s="19">
        <f>ROUND(F12-F17,2)</f>
        <v>0</v>
      </c>
      <c r="J17" s="20" t="str">
        <f>IF(I17=0,"agrees","does not agree")</f>
        <v>agrees</v>
      </c>
    </row>
    <row r="18" spans="2:10" ht="24.75" customHeight="1"/>
    <row r="19" spans="2:10" ht="24.75" customHeight="1">
      <c r="B19" s="667" t="s">
        <v>297</v>
      </c>
      <c r="C19" s="667"/>
      <c r="D19" s="667"/>
      <c r="E19" s="15" t="s">
        <v>113</v>
      </c>
      <c r="F19" s="677"/>
      <c r="G19" s="677"/>
    </row>
    <row r="20" spans="2:10" ht="24.75" customHeight="1">
      <c r="B20" s="665" t="s">
        <v>298</v>
      </c>
      <c r="C20" s="665"/>
      <c r="D20" s="665"/>
      <c r="E20" s="16" t="s">
        <v>113</v>
      </c>
      <c r="F20" s="666"/>
      <c r="G20" s="666"/>
    </row>
  </sheetData>
  <mergeCells count="31">
    <mergeCell ref="B2:G2"/>
    <mergeCell ref="D6:E6"/>
    <mergeCell ref="F6:G6"/>
    <mergeCell ref="F17:G17"/>
    <mergeCell ref="D5:E5"/>
    <mergeCell ref="D8:E8"/>
    <mergeCell ref="F8:G8"/>
    <mergeCell ref="D9:E9"/>
    <mergeCell ref="F9:G9"/>
    <mergeCell ref="D10:E10"/>
    <mergeCell ref="F10:G10"/>
    <mergeCell ref="D11:E11"/>
    <mergeCell ref="F11:G11"/>
    <mergeCell ref="D7:E7"/>
    <mergeCell ref="F7:G7"/>
    <mergeCell ref="B12:B13"/>
    <mergeCell ref="C12:C13"/>
    <mergeCell ref="D12:E13"/>
    <mergeCell ref="B20:D20"/>
    <mergeCell ref="F20:G20"/>
    <mergeCell ref="B15:C15"/>
    <mergeCell ref="D15:E15"/>
    <mergeCell ref="F15:G15"/>
    <mergeCell ref="B16:C16"/>
    <mergeCell ref="D16:E16"/>
    <mergeCell ref="F16:G16"/>
    <mergeCell ref="B17:C17"/>
    <mergeCell ref="D17:E17"/>
    <mergeCell ref="B19:D19"/>
    <mergeCell ref="F19:G19"/>
    <mergeCell ref="F12:G13"/>
  </mergeCells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>
    <tabColor rgb="FFFFFF00"/>
  </sheetPr>
  <dimension ref="A1"/>
  <sheetViews>
    <sheetView workbookViewId="0">
      <selection activeCell="L10" sqref="L10"/>
    </sheetView>
  </sheetViews>
  <sheetFormatPr defaultRowHeight="14.4"/>
  <sheetData>
    <row r="1" spans="1:1" ht="28.8">
      <c r="A1" s="344" t="s">
        <v>414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6A752-929A-41D8-9CD8-07C48B97FA54}">
  <sheetPr codeName="Sheet19">
    <pageSetUpPr fitToPage="1"/>
  </sheetPr>
  <dimension ref="A1:P94"/>
  <sheetViews>
    <sheetView showGridLines="0" zoomScale="70" zoomScaleNormal="70" workbookViewId="0">
      <pane xSplit="4" ySplit="20" topLeftCell="E21" activePane="bottomRight" state="frozen"/>
      <selection pane="topRight" activeCell="E1" sqref="E1"/>
      <selection pane="bottomLeft" activeCell="A21" sqref="A21"/>
      <selection pane="bottomRight" activeCell="E28" sqref="E28"/>
    </sheetView>
  </sheetViews>
  <sheetFormatPr defaultColWidth="9.109375" defaultRowHeight="15.6"/>
  <cols>
    <col min="1" max="1" width="22" style="57" customWidth="1"/>
    <col min="2" max="2" width="17.33203125" style="57" customWidth="1"/>
    <col min="3" max="3" width="53" style="57" customWidth="1"/>
    <col min="4" max="4" width="20.33203125" style="57" customWidth="1"/>
    <col min="5" max="5" width="52" style="57" customWidth="1"/>
    <col min="6" max="6" width="48.44140625" style="57" customWidth="1"/>
    <col min="7" max="7" width="21.33203125" style="57" customWidth="1"/>
    <col min="8" max="8" width="20.33203125" style="57" customWidth="1"/>
    <col min="9" max="9" width="15.44140625" style="57" customWidth="1"/>
    <col min="10" max="10" width="24.6640625" style="57" customWidth="1"/>
    <col min="11" max="11" width="21.109375" style="57" customWidth="1"/>
    <col min="12" max="15" width="14.44140625" style="57" customWidth="1"/>
    <col min="16" max="16" width="17" style="57" customWidth="1"/>
    <col min="17" max="16384" width="9.109375" style="57"/>
  </cols>
  <sheetData>
    <row r="1" spans="1:11" ht="18">
      <c r="A1" s="149" t="str" cm="1">
        <f t="array" ref="A1">"End of year accruals list for FY "&amp;'1) Instructions'!I8:I8</f>
        <v>End of year accruals list for FY 2024-25</v>
      </c>
      <c r="B1" s="150"/>
      <c r="C1" s="151"/>
      <c r="D1" s="151"/>
      <c r="E1" s="152"/>
      <c r="F1" s="699" t="s">
        <v>367</v>
      </c>
      <c r="G1" s="700"/>
      <c r="H1" s="700"/>
      <c r="I1" s="700"/>
      <c r="J1" s="700"/>
      <c r="K1" s="701"/>
    </row>
    <row r="2" spans="1:11" ht="18">
      <c r="A2" s="153"/>
      <c r="B2" s="154"/>
      <c r="C2" s="155"/>
      <c r="D2" s="155"/>
      <c r="E2" s="155"/>
      <c r="F2" s="705" t="s">
        <v>369</v>
      </c>
      <c r="G2" s="706"/>
      <c r="H2" s="706"/>
      <c r="I2" s="706"/>
      <c r="J2" s="706"/>
      <c r="K2" s="707"/>
    </row>
    <row r="3" spans="1:11" ht="18">
      <c r="A3" s="156" t="s">
        <v>220</v>
      </c>
      <c r="B3" s="154" t="str" cm="1">
        <f t="array" ref="B3">'1) Instructions'!D10:D10</f>
        <v>Q4 - Year End</v>
      </c>
      <c r="C3" s="155"/>
      <c r="D3" s="155"/>
      <c r="E3" s="155"/>
      <c r="F3" s="157"/>
      <c r="G3" s="158" t="s">
        <v>368</v>
      </c>
      <c r="H3" s="158"/>
      <c r="I3" s="158"/>
      <c r="J3" s="158"/>
      <c r="K3" s="159"/>
    </row>
    <row r="4" spans="1:11" ht="18.600000000000001" thickBot="1">
      <c r="A4" s="367" t="s">
        <v>256</v>
      </c>
      <c r="B4" s="366" cm="1">
        <f t="array" ref="B4">'1) Instructions'!I10:I10</f>
        <v>45747</v>
      </c>
      <c r="C4" s="160"/>
      <c r="D4" s="160"/>
      <c r="E4" s="161"/>
      <c r="F4" s="702" t="s">
        <v>364</v>
      </c>
      <c r="G4" s="703"/>
      <c r="H4" s="703"/>
      <c r="I4" s="703"/>
      <c r="J4" s="703"/>
      <c r="K4" s="704"/>
    </row>
    <row r="5" spans="1:11" ht="16.2" hidden="1" thickBot="1">
      <c r="C5" s="116" t="str">
        <f>IF(B4=0/1/1900,"Please enter date on 1) Front Sheet","")</f>
        <v/>
      </c>
      <c r="D5" s="117"/>
      <c r="E5" s="117"/>
    </row>
    <row r="6" spans="1:11" ht="16.2" thickBot="1"/>
    <row r="7" spans="1:11">
      <c r="A7" s="55" t="s">
        <v>218</v>
      </c>
      <c r="B7" s="118">
        <f>'2a) YE Income &amp; Expenditure'!D2</f>
        <v>0</v>
      </c>
      <c r="D7" s="117"/>
      <c r="E7" s="315" t="s">
        <v>462</v>
      </c>
      <c r="F7" s="171"/>
      <c r="G7" s="172"/>
      <c r="H7" s="173"/>
    </row>
    <row r="8" spans="1:11">
      <c r="A8" s="55" t="s">
        <v>116</v>
      </c>
      <c r="B8" s="631" t="str">
        <f>'2a) YE Income &amp; Expenditure'!D3</f>
        <v>Please choose a school</v>
      </c>
      <c r="C8" s="632"/>
      <c r="D8" s="633"/>
      <c r="E8" s="315" t="s">
        <v>365</v>
      </c>
      <c r="F8" s="174"/>
      <c r="G8" s="175"/>
      <c r="H8" s="176"/>
    </row>
    <row r="9" spans="1:11">
      <c r="A9" s="55" t="s">
        <v>117</v>
      </c>
      <c r="B9" s="203">
        <f>'2a) YE Income &amp; Expenditure'!D4</f>
        <v>0</v>
      </c>
      <c r="D9" s="117"/>
      <c r="E9" s="315" t="s">
        <v>366</v>
      </c>
      <c r="F9" s="177"/>
      <c r="G9" s="175"/>
      <c r="H9" s="176"/>
    </row>
    <row r="10" spans="1:11" ht="16.2" thickBot="1">
      <c r="A10" s="55" t="s">
        <v>254</v>
      </c>
      <c r="B10" s="118">
        <f>'2a) YE Income &amp; Expenditure'!D5</f>
        <v>0</v>
      </c>
      <c r="D10" s="117"/>
      <c r="E10" s="315" t="s">
        <v>463</v>
      </c>
      <c r="F10" s="178"/>
      <c r="G10" s="179"/>
      <c r="H10" s="180"/>
    </row>
    <row r="12" spans="1:11" hidden="1">
      <c r="B12" s="162"/>
      <c r="C12" s="162"/>
      <c r="D12" s="162"/>
      <c r="E12" s="162"/>
      <c r="F12" s="162"/>
      <c r="G12" s="163"/>
      <c r="H12" s="163"/>
      <c r="I12" s="163"/>
    </row>
    <row r="13" spans="1:11" ht="15.75" customHeight="1">
      <c r="A13" s="314" t="s">
        <v>325</v>
      </c>
      <c r="B13" s="311" t="s">
        <v>712</v>
      </c>
      <c r="C13" s="312"/>
      <c r="D13" s="312"/>
      <c r="E13" s="313"/>
      <c r="F13" s="164"/>
      <c r="G13" s="164"/>
      <c r="H13" s="164"/>
      <c r="I13" s="164"/>
    </row>
    <row r="14" spans="1:11" ht="15.75" customHeight="1">
      <c r="A14" s="314" t="s">
        <v>386</v>
      </c>
      <c r="B14" s="311" t="s">
        <v>713</v>
      </c>
      <c r="C14" s="312"/>
      <c r="D14" s="312"/>
      <c r="E14" s="313"/>
      <c r="F14" s="164"/>
      <c r="G14" s="164"/>
      <c r="H14" s="164"/>
      <c r="I14" s="164"/>
    </row>
    <row r="15" spans="1:11" ht="15.75" customHeight="1">
      <c r="A15" s="314" t="s">
        <v>387</v>
      </c>
      <c r="B15" s="311" t="s">
        <v>714</v>
      </c>
      <c r="C15" s="312"/>
      <c r="D15" s="312"/>
      <c r="E15" s="313"/>
      <c r="F15" s="164"/>
      <c r="G15" s="164"/>
      <c r="H15" s="164"/>
      <c r="I15" s="164"/>
    </row>
    <row r="16" spans="1:11" ht="15.75" customHeight="1">
      <c r="A16" s="314" t="s">
        <v>343</v>
      </c>
      <c r="B16" s="311" t="s">
        <v>715</v>
      </c>
      <c r="C16" s="312"/>
      <c r="D16" s="312"/>
      <c r="E16" s="313"/>
      <c r="F16" s="164"/>
      <c r="G16" s="164"/>
      <c r="H16" s="164"/>
      <c r="I16" s="164"/>
    </row>
    <row r="17" spans="1:16" ht="15.75" customHeight="1" thickBot="1">
      <c r="A17" s="314" t="s">
        <v>344</v>
      </c>
      <c r="B17" s="311" t="s">
        <v>716</v>
      </c>
      <c r="C17" s="312"/>
      <c r="D17" s="312"/>
      <c r="E17" s="313"/>
      <c r="F17" s="164"/>
      <c r="G17" s="164"/>
      <c r="H17" s="164"/>
      <c r="I17" s="164"/>
    </row>
    <row r="18" spans="1:16" ht="21.6" thickBot="1">
      <c r="B18" s="165"/>
      <c r="C18" s="166"/>
      <c r="D18" s="163"/>
      <c r="E18" s="163"/>
      <c r="F18" s="348" t="s">
        <v>336</v>
      </c>
      <c r="L18" s="696" t="s">
        <v>443</v>
      </c>
      <c r="M18" s="697"/>
      <c r="N18" s="697"/>
      <c r="O18" s="698"/>
    </row>
    <row r="19" spans="1:16" ht="93.6">
      <c r="A19" s="167" t="s">
        <v>342</v>
      </c>
      <c r="B19" s="168" t="s">
        <v>388</v>
      </c>
      <c r="C19" s="169" t="s">
        <v>389</v>
      </c>
      <c r="D19" s="169" t="s">
        <v>396</v>
      </c>
      <c r="E19" s="169" t="s">
        <v>345</v>
      </c>
      <c r="F19" s="170" t="s">
        <v>390</v>
      </c>
      <c r="G19" s="169" t="s">
        <v>346</v>
      </c>
      <c r="H19" s="169" t="s">
        <v>376</v>
      </c>
      <c r="I19" s="169" t="s">
        <v>394</v>
      </c>
      <c r="J19" s="168" t="s">
        <v>384</v>
      </c>
      <c r="K19" s="193" t="s">
        <v>377</v>
      </c>
      <c r="L19" s="201" t="s">
        <v>399</v>
      </c>
      <c r="M19" s="202" t="s">
        <v>400</v>
      </c>
      <c r="N19" s="201" t="s">
        <v>435</v>
      </c>
      <c r="O19" s="202" t="s">
        <v>436</v>
      </c>
    </row>
    <row r="20" spans="1:16" ht="16.2" thickBot="1">
      <c r="A20" s="189"/>
      <c r="B20" s="190"/>
      <c r="C20" s="191"/>
      <c r="D20" s="191"/>
      <c r="E20" s="191"/>
      <c r="F20" s="192"/>
      <c r="G20" s="191"/>
      <c r="H20" s="191"/>
      <c r="I20" s="191"/>
      <c r="J20" s="190"/>
      <c r="K20" s="194"/>
      <c r="L20" s="197">
        <f>SUM(L21:L82)</f>
        <v>0</v>
      </c>
      <c r="M20" s="198">
        <f>SUM(M21:M82)</f>
        <v>0</v>
      </c>
      <c r="N20" s="197">
        <f>SUM(N21:N82)</f>
        <v>0</v>
      </c>
      <c r="O20" s="198">
        <f>SUM(O21:O82)</f>
        <v>0</v>
      </c>
    </row>
    <row r="21" spans="1:16">
      <c r="A21" s="351"/>
      <c r="B21" s="352"/>
      <c r="C21" s="353"/>
      <c r="D21" s="353"/>
      <c r="E21" s="24"/>
      <c r="F21" s="24"/>
      <c r="G21" s="25"/>
      <c r="H21" s="24"/>
      <c r="I21" s="351"/>
      <c r="J21" s="205"/>
      <c r="K21" s="195"/>
      <c r="L21" s="208" t="str">
        <f t="shared" ref="L21:L22" si="0">IF(AND(A21="Debtor (Income)",LEFT(B21)="I",J21&gt;0),J21,IF(AND(A21="Payment_in_advance",LEFT(B21)="E",J21&lt;0),-J21,IF(AND(A21="Debtor (Expenditure)",LEFT(B21)="E",J21&lt;0),-J21,"")))</f>
        <v/>
      </c>
      <c r="M21" s="209" t="str">
        <f>IF(AND(A21="Creditor",LEFT(B21)="E",J21&gt;0),-J21,IF(AND(A21="Receipts_in_advance",LEFT(B21)="I",J21&lt;0),J21,""))</f>
        <v/>
      </c>
      <c r="N21" s="208" t="str">
        <f>IF(AND(A21="Debtor (Income)",LEFT(B21,2)="CI",J21&gt;0),J21,IF(AND(A21="Payment_in_advance",LEFT(B21,2)="CE",J21&lt;0),-J21,IF(AND(A21="Debtor (Expenditure)",LEFT(B21,2)="CE",J21&lt;0),-J21,"")))</f>
        <v/>
      </c>
      <c r="O21" s="209" t="str">
        <f>IF(AND(A21="Creditor",LEFT(B21,2)="CE",J21&gt;0),-J21,IF(AND(A21="Receipts_in_advance",LEFT(B21,2)="CI",J21&lt;0),J21,""))</f>
        <v/>
      </c>
      <c r="P21" s="207" t="str">
        <f>IF((ABS(SUM(L21:O21))-ABS(J21))=0,"","Please check that Accrual Type(Column A) and/or the CFR code (Colum B) and/or the amount sign (Column J) matches")</f>
        <v/>
      </c>
    </row>
    <row r="22" spans="1:16">
      <c r="A22" s="354"/>
      <c r="B22" s="355"/>
      <c r="C22" s="356"/>
      <c r="D22" s="356"/>
      <c r="E22" s="26"/>
      <c r="F22" s="26"/>
      <c r="G22" s="27"/>
      <c r="H22" s="26"/>
      <c r="I22" s="354"/>
      <c r="J22" s="206"/>
      <c r="K22" s="196"/>
      <c r="L22" s="210" t="str">
        <f t="shared" si="0"/>
        <v/>
      </c>
      <c r="M22" s="211" t="str">
        <f t="shared" ref="M22:M82" si="1">IF(AND(A22="Creditor",LEFT(B22)="E",J22&gt;0),-J22,IF(AND(A22="Receipts_in_advance",LEFT(B22)="I",J22&lt;0),J22,""))</f>
        <v/>
      </c>
      <c r="N22" s="210" t="str">
        <f t="shared" ref="N22:N82" si="2">IF(AND(A22="Debtor (Income)",LEFT(B22,2)="CI",J22&gt;0),J22,IF(AND(A22="Payment_in_advance",LEFT(B22,2)="CE",J22&lt;0),-J22,IF(AND(A22="Debtor (Expenditure)",LEFT(B22,2)="CE",J22&lt;0),-J22,"")))</f>
        <v/>
      </c>
      <c r="O22" s="211" t="str">
        <f t="shared" ref="O22:O82" si="3">IF(AND(A22="Creditor",LEFT(B22,2)="CE",J22&gt;0),-J22,IF(AND(A22="Receipts_in_advance",LEFT(B22,2)="CI",J22&lt;0),J22,""))</f>
        <v/>
      </c>
      <c r="P22" s="207" t="str">
        <f t="shared" ref="P22:P82" si="4">IF((ABS(SUM(L22:O22))-ABS(J22))=0,"","Please check that Accrual Type(Column A) and the CFR code (Colum B) agrees")</f>
        <v/>
      </c>
    </row>
    <row r="23" spans="1:16">
      <c r="A23" s="354"/>
      <c r="B23" s="355"/>
      <c r="C23" s="356"/>
      <c r="D23" s="356"/>
      <c r="E23" s="26"/>
      <c r="F23" s="26"/>
      <c r="G23" s="27"/>
      <c r="H23" s="26"/>
      <c r="I23" s="354"/>
      <c r="J23" s="206"/>
      <c r="K23" s="196"/>
      <c r="L23" s="210" t="str">
        <f>IF(AND(A23="Debtor (Income)",LEFT(B23)="I",J23&gt;0),J23,IF(AND(A23="Payment_in_advance",LEFT(B23)="E",J23&lt;0),-J23,IF(AND(A23="Debtor (Expenditure)",LEFT(B23)="E",J23&lt;0),-J23,"")))</f>
        <v/>
      </c>
      <c r="M23" s="211" t="str">
        <f t="shared" si="1"/>
        <v/>
      </c>
      <c r="N23" s="210" t="str">
        <f t="shared" si="2"/>
        <v/>
      </c>
      <c r="O23" s="211" t="str">
        <f t="shared" si="3"/>
        <v/>
      </c>
      <c r="P23" s="207" t="str">
        <f t="shared" si="4"/>
        <v/>
      </c>
    </row>
    <row r="24" spans="1:16">
      <c r="A24" s="354"/>
      <c r="B24" s="355"/>
      <c r="C24" s="356"/>
      <c r="D24" s="356"/>
      <c r="E24" s="26"/>
      <c r="F24" s="26"/>
      <c r="G24" s="27"/>
      <c r="H24" s="26"/>
      <c r="I24" s="354"/>
      <c r="J24" s="206"/>
      <c r="K24" s="196"/>
      <c r="L24" s="210" t="str">
        <f t="shared" ref="L24:L82" si="5">IF(AND(A24="Debtor (Income)",LEFT(B24)="I",J24&gt;0),J24,IF(AND(A24="Payment_in_advance",LEFT(B24)="E",J24&lt;0),-J24,IF(AND(A24="Debtor (Expenditure)",LEFT(B24)="E",J24&lt;0),-J24,"")))</f>
        <v/>
      </c>
      <c r="M24" s="211" t="str">
        <f t="shared" si="1"/>
        <v/>
      </c>
      <c r="N24" s="210" t="str">
        <f t="shared" si="2"/>
        <v/>
      </c>
      <c r="O24" s="211" t="str">
        <f t="shared" si="3"/>
        <v/>
      </c>
      <c r="P24" s="207" t="str">
        <f t="shared" si="4"/>
        <v/>
      </c>
    </row>
    <row r="25" spans="1:16">
      <c r="A25" s="354"/>
      <c r="B25" s="355"/>
      <c r="C25" s="356"/>
      <c r="D25" s="356"/>
      <c r="E25" s="26"/>
      <c r="F25" s="26"/>
      <c r="G25" s="27"/>
      <c r="H25" s="26"/>
      <c r="I25" s="354"/>
      <c r="J25" s="206"/>
      <c r="K25" s="196"/>
      <c r="L25" s="210" t="str">
        <f t="shared" si="5"/>
        <v/>
      </c>
      <c r="M25" s="211" t="str">
        <f t="shared" si="1"/>
        <v/>
      </c>
      <c r="N25" s="210" t="str">
        <f t="shared" si="2"/>
        <v/>
      </c>
      <c r="O25" s="211" t="str">
        <f t="shared" si="3"/>
        <v/>
      </c>
      <c r="P25" s="207" t="str">
        <f t="shared" si="4"/>
        <v/>
      </c>
    </row>
    <row r="26" spans="1:16">
      <c r="A26" s="354"/>
      <c r="B26" s="355"/>
      <c r="C26" s="356"/>
      <c r="D26" s="356"/>
      <c r="E26" s="26"/>
      <c r="F26" s="26"/>
      <c r="G26" s="27"/>
      <c r="H26" s="26"/>
      <c r="I26" s="354"/>
      <c r="J26" s="206"/>
      <c r="K26" s="196"/>
      <c r="L26" s="210" t="str">
        <f t="shared" si="5"/>
        <v/>
      </c>
      <c r="M26" s="211" t="str">
        <f t="shared" si="1"/>
        <v/>
      </c>
      <c r="N26" s="210" t="str">
        <f t="shared" si="2"/>
        <v/>
      </c>
      <c r="O26" s="211" t="str">
        <f t="shared" si="3"/>
        <v/>
      </c>
      <c r="P26" s="207" t="str">
        <f t="shared" si="4"/>
        <v/>
      </c>
    </row>
    <row r="27" spans="1:16">
      <c r="A27" s="354"/>
      <c r="B27" s="355"/>
      <c r="C27" s="356"/>
      <c r="D27" s="356"/>
      <c r="E27" s="26"/>
      <c r="F27" s="26"/>
      <c r="G27" s="27"/>
      <c r="H27" s="26"/>
      <c r="I27" s="354"/>
      <c r="J27" s="206"/>
      <c r="K27" s="196"/>
      <c r="L27" s="210" t="str">
        <f t="shared" si="5"/>
        <v/>
      </c>
      <c r="M27" s="211" t="str">
        <f>IF(AND(A27="Creditor",LEFT(B27)="E",J27&gt;0),-J27,IF(AND(A27="Receipts_in_advance",LEFT(B27)="I",J27&lt;0),J27,""))</f>
        <v/>
      </c>
      <c r="N27" s="210" t="str">
        <f t="shared" si="2"/>
        <v/>
      </c>
      <c r="O27" s="211" t="str">
        <f t="shared" si="3"/>
        <v/>
      </c>
      <c r="P27" s="207" t="str">
        <f>IF((ABS(SUM(L27:O27))-ABS(J27))=0,"","Please check that Accrual Type(Column A) and the CFR code (Colum B) agrees")</f>
        <v/>
      </c>
    </row>
    <row r="28" spans="1:16">
      <c r="A28" s="354"/>
      <c r="B28" s="355"/>
      <c r="C28" s="356"/>
      <c r="D28" s="356"/>
      <c r="E28" s="26"/>
      <c r="F28" s="26"/>
      <c r="G28" s="27"/>
      <c r="H28" s="26"/>
      <c r="I28" s="354"/>
      <c r="J28" s="206"/>
      <c r="K28" s="196"/>
      <c r="L28" s="210" t="str">
        <f t="shared" si="5"/>
        <v/>
      </c>
      <c r="M28" s="211" t="str">
        <f t="shared" si="1"/>
        <v/>
      </c>
      <c r="N28" s="210" t="str">
        <f t="shared" si="2"/>
        <v/>
      </c>
      <c r="O28" s="211" t="str">
        <f t="shared" si="3"/>
        <v/>
      </c>
      <c r="P28" s="207" t="str">
        <f t="shared" si="4"/>
        <v/>
      </c>
    </row>
    <row r="29" spans="1:16">
      <c r="A29" s="354"/>
      <c r="B29" s="355"/>
      <c r="C29" s="356"/>
      <c r="D29" s="356"/>
      <c r="E29" s="26"/>
      <c r="F29" s="26"/>
      <c r="G29" s="27"/>
      <c r="H29" s="26"/>
      <c r="I29" s="354"/>
      <c r="J29" s="206"/>
      <c r="K29" s="196"/>
      <c r="L29" s="210" t="str">
        <f t="shared" si="5"/>
        <v/>
      </c>
      <c r="M29" s="211" t="str">
        <f t="shared" si="1"/>
        <v/>
      </c>
      <c r="N29" s="210" t="str">
        <f t="shared" si="2"/>
        <v/>
      </c>
      <c r="O29" s="211" t="str">
        <f t="shared" si="3"/>
        <v/>
      </c>
      <c r="P29" s="207" t="str">
        <f t="shared" si="4"/>
        <v/>
      </c>
    </row>
    <row r="30" spans="1:16">
      <c r="A30" s="354"/>
      <c r="B30" s="355"/>
      <c r="C30" s="356"/>
      <c r="D30" s="356"/>
      <c r="E30" s="26"/>
      <c r="F30" s="26"/>
      <c r="G30" s="27"/>
      <c r="H30" s="26"/>
      <c r="I30" s="354"/>
      <c r="J30" s="206"/>
      <c r="K30" s="196"/>
      <c r="L30" s="210" t="str">
        <f t="shared" si="5"/>
        <v/>
      </c>
      <c r="M30" s="211" t="str">
        <f t="shared" si="1"/>
        <v/>
      </c>
      <c r="N30" s="210" t="str">
        <f t="shared" si="2"/>
        <v/>
      </c>
      <c r="O30" s="211" t="str">
        <f t="shared" si="3"/>
        <v/>
      </c>
      <c r="P30" s="207" t="str">
        <f t="shared" si="4"/>
        <v/>
      </c>
    </row>
    <row r="31" spans="1:16">
      <c r="A31" s="354"/>
      <c r="B31" s="355"/>
      <c r="C31" s="356"/>
      <c r="D31" s="356"/>
      <c r="E31" s="26"/>
      <c r="F31" s="26"/>
      <c r="G31" s="27"/>
      <c r="H31" s="26"/>
      <c r="I31" s="354"/>
      <c r="J31" s="206"/>
      <c r="K31" s="196"/>
      <c r="L31" s="210" t="str">
        <f t="shared" si="5"/>
        <v/>
      </c>
      <c r="M31" s="211" t="str">
        <f t="shared" si="1"/>
        <v/>
      </c>
      <c r="N31" s="210" t="str">
        <f t="shared" si="2"/>
        <v/>
      </c>
      <c r="O31" s="211" t="str">
        <f t="shared" si="3"/>
        <v/>
      </c>
      <c r="P31" s="207" t="str">
        <f t="shared" si="4"/>
        <v/>
      </c>
    </row>
    <row r="32" spans="1:16">
      <c r="A32" s="354"/>
      <c r="B32" s="355"/>
      <c r="C32" s="356"/>
      <c r="D32" s="356"/>
      <c r="E32" s="26"/>
      <c r="F32" s="26"/>
      <c r="G32" s="27"/>
      <c r="H32" s="26"/>
      <c r="I32" s="354"/>
      <c r="J32" s="206"/>
      <c r="K32" s="196"/>
      <c r="L32" s="210" t="str">
        <f t="shared" si="5"/>
        <v/>
      </c>
      <c r="M32" s="211" t="str">
        <f t="shared" si="1"/>
        <v/>
      </c>
      <c r="N32" s="210" t="str">
        <f t="shared" si="2"/>
        <v/>
      </c>
      <c r="O32" s="211" t="str">
        <f t="shared" si="3"/>
        <v/>
      </c>
      <c r="P32" s="207" t="str">
        <f t="shared" si="4"/>
        <v/>
      </c>
    </row>
    <row r="33" spans="1:16">
      <c r="A33" s="354"/>
      <c r="B33" s="355"/>
      <c r="C33" s="356"/>
      <c r="D33" s="356"/>
      <c r="E33" s="26"/>
      <c r="F33" s="26"/>
      <c r="G33" s="27"/>
      <c r="H33" s="26"/>
      <c r="I33" s="354"/>
      <c r="J33" s="206"/>
      <c r="K33" s="196"/>
      <c r="L33" s="210" t="str">
        <f t="shared" si="5"/>
        <v/>
      </c>
      <c r="M33" s="211" t="str">
        <f t="shared" si="1"/>
        <v/>
      </c>
      <c r="N33" s="210" t="str">
        <f t="shared" si="2"/>
        <v/>
      </c>
      <c r="O33" s="211" t="str">
        <f t="shared" si="3"/>
        <v/>
      </c>
      <c r="P33" s="207" t="str">
        <f t="shared" si="4"/>
        <v/>
      </c>
    </row>
    <row r="34" spans="1:16">
      <c r="A34" s="354"/>
      <c r="B34" s="355"/>
      <c r="C34" s="356"/>
      <c r="D34" s="356"/>
      <c r="E34" s="26"/>
      <c r="F34" s="26"/>
      <c r="G34" s="27"/>
      <c r="H34" s="26"/>
      <c r="I34" s="354"/>
      <c r="J34" s="206"/>
      <c r="K34" s="196"/>
      <c r="L34" s="210" t="str">
        <f t="shared" si="5"/>
        <v/>
      </c>
      <c r="M34" s="211" t="str">
        <f t="shared" si="1"/>
        <v/>
      </c>
      <c r="N34" s="210" t="str">
        <f t="shared" si="2"/>
        <v/>
      </c>
      <c r="O34" s="211" t="str">
        <f t="shared" si="3"/>
        <v/>
      </c>
      <c r="P34" s="207" t="str">
        <f t="shared" si="4"/>
        <v/>
      </c>
    </row>
    <row r="35" spans="1:16">
      <c r="A35" s="354"/>
      <c r="B35" s="355"/>
      <c r="C35" s="356"/>
      <c r="D35" s="356"/>
      <c r="E35" s="26"/>
      <c r="F35" s="26"/>
      <c r="G35" s="27"/>
      <c r="H35" s="26"/>
      <c r="I35" s="354"/>
      <c r="J35" s="206"/>
      <c r="K35" s="196"/>
      <c r="L35" s="210" t="str">
        <f t="shared" si="5"/>
        <v/>
      </c>
      <c r="M35" s="211" t="str">
        <f t="shared" si="1"/>
        <v/>
      </c>
      <c r="N35" s="210" t="str">
        <f t="shared" si="2"/>
        <v/>
      </c>
      <c r="O35" s="211" t="str">
        <f t="shared" si="3"/>
        <v/>
      </c>
      <c r="P35" s="207" t="str">
        <f t="shared" si="4"/>
        <v/>
      </c>
    </row>
    <row r="36" spans="1:16">
      <c r="A36" s="354"/>
      <c r="B36" s="355"/>
      <c r="C36" s="356"/>
      <c r="D36" s="356"/>
      <c r="E36" s="26"/>
      <c r="F36" s="26"/>
      <c r="G36" s="27"/>
      <c r="H36" s="26"/>
      <c r="I36" s="354"/>
      <c r="J36" s="206"/>
      <c r="K36" s="196"/>
      <c r="L36" s="210" t="str">
        <f t="shared" si="5"/>
        <v/>
      </c>
      <c r="M36" s="211" t="str">
        <f t="shared" si="1"/>
        <v/>
      </c>
      <c r="N36" s="210" t="str">
        <f t="shared" si="2"/>
        <v/>
      </c>
      <c r="O36" s="211" t="str">
        <f t="shared" si="3"/>
        <v/>
      </c>
      <c r="P36" s="207" t="str">
        <f t="shared" si="4"/>
        <v/>
      </c>
    </row>
    <row r="37" spans="1:16">
      <c r="A37" s="354"/>
      <c r="B37" s="355"/>
      <c r="C37" s="356"/>
      <c r="D37" s="356"/>
      <c r="E37" s="26"/>
      <c r="F37" s="26"/>
      <c r="G37" s="27"/>
      <c r="H37" s="26"/>
      <c r="I37" s="354"/>
      <c r="J37" s="206"/>
      <c r="K37" s="196"/>
      <c r="L37" s="210" t="str">
        <f t="shared" si="5"/>
        <v/>
      </c>
      <c r="M37" s="211" t="str">
        <f t="shared" si="1"/>
        <v/>
      </c>
      <c r="N37" s="210" t="str">
        <f t="shared" si="2"/>
        <v/>
      </c>
      <c r="O37" s="211" t="str">
        <f t="shared" si="3"/>
        <v/>
      </c>
      <c r="P37" s="207" t="str">
        <f t="shared" si="4"/>
        <v/>
      </c>
    </row>
    <row r="38" spans="1:16">
      <c r="A38" s="354"/>
      <c r="B38" s="355"/>
      <c r="C38" s="356"/>
      <c r="D38" s="356"/>
      <c r="E38" s="26"/>
      <c r="F38" s="26"/>
      <c r="G38" s="27"/>
      <c r="H38" s="26"/>
      <c r="I38" s="354"/>
      <c r="J38" s="206"/>
      <c r="K38" s="196"/>
      <c r="L38" s="210" t="str">
        <f t="shared" si="5"/>
        <v/>
      </c>
      <c r="M38" s="211" t="str">
        <f t="shared" si="1"/>
        <v/>
      </c>
      <c r="N38" s="210" t="str">
        <f t="shared" si="2"/>
        <v/>
      </c>
      <c r="O38" s="211" t="str">
        <f t="shared" si="3"/>
        <v/>
      </c>
      <c r="P38" s="207" t="str">
        <f t="shared" si="4"/>
        <v/>
      </c>
    </row>
    <row r="39" spans="1:16">
      <c r="A39" s="354"/>
      <c r="B39" s="355"/>
      <c r="C39" s="356"/>
      <c r="D39" s="356"/>
      <c r="E39" s="26"/>
      <c r="F39" s="26"/>
      <c r="G39" s="27"/>
      <c r="H39" s="26"/>
      <c r="I39" s="354"/>
      <c r="J39" s="206"/>
      <c r="K39" s="196"/>
      <c r="L39" s="210" t="str">
        <f t="shared" si="5"/>
        <v/>
      </c>
      <c r="M39" s="211" t="str">
        <f t="shared" si="1"/>
        <v/>
      </c>
      <c r="N39" s="210" t="str">
        <f t="shared" si="2"/>
        <v/>
      </c>
      <c r="O39" s="211" t="str">
        <f t="shared" si="3"/>
        <v/>
      </c>
      <c r="P39" s="207" t="str">
        <f t="shared" si="4"/>
        <v/>
      </c>
    </row>
    <row r="40" spans="1:16">
      <c r="A40" s="354"/>
      <c r="B40" s="355"/>
      <c r="C40" s="356"/>
      <c r="D40" s="356"/>
      <c r="E40" s="26"/>
      <c r="F40" s="26"/>
      <c r="G40" s="27"/>
      <c r="H40" s="26"/>
      <c r="I40" s="354"/>
      <c r="J40" s="206"/>
      <c r="K40" s="196"/>
      <c r="L40" s="210" t="str">
        <f t="shared" si="5"/>
        <v/>
      </c>
      <c r="M40" s="211" t="str">
        <f t="shared" si="1"/>
        <v/>
      </c>
      <c r="N40" s="210" t="str">
        <f t="shared" si="2"/>
        <v/>
      </c>
      <c r="O40" s="211" t="str">
        <f t="shared" si="3"/>
        <v/>
      </c>
      <c r="P40" s="207" t="str">
        <f t="shared" si="4"/>
        <v/>
      </c>
    </row>
    <row r="41" spans="1:16">
      <c r="A41" s="354"/>
      <c r="B41" s="355"/>
      <c r="C41" s="356"/>
      <c r="D41" s="356"/>
      <c r="E41" s="26"/>
      <c r="F41" s="26"/>
      <c r="G41" s="27"/>
      <c r="H41" s="26"/>
      <c r="I41" s="354"/>
      <c r="J41" s="206"/>
      <c r="K41" s="196"/>
      <c r="L41" s="210" t="str">
        <f t="shared" si="5"/>
        <v/>
      </c>
      <c r="M41" s="211" t="str">
        <f t="shared" si="1"/>
        <v/>
      </c>
      <c r="N41" s="210" t="str">
        <f t="shared" si="2"/>
        <v/>
      </c>
      <c r="O41" s="211" t="str">
        <f t="shared" si="3"/>
        <v/>
      </c>
      <c r="P41" s="207" t="str">
        <f t="shared" si="4"/>
        <v/>
      </c>
    </row>
    <row r="42" spans="1:16">
      <c r="A42" s="354"/>
      <c r="B42" s="355"/>
      <c r="C42" s="356"/>
      <c r="D42" s="356"/>
      <c r="E42" s="26"/>
      <c r="F42" s="26"/>
      <c r="G42" s="27"/>
      <c r="H42" s="26"/>
      <c r="I42" s="354"/>
      <c r="J42" s="206"/>
      <c r="K42" s="196"/>
      <c r="L42" s="210" t="str">
        <f t="shared" si="5"/>
        <v/>
      </c>
      <c r="M42" s="211" t="str">
        <f t="shared" si="1"/>
        <v/>
      </c>
      <c r="N42" s="210" t="str">
        <f t="shared" si="2"/>
        <v/>
      </c>
      <c r="O42" s="211" t="str">
        <f t="shared" si="3"/>
        <v/>
      </c>
      <c r="P42" s="207" t="str">
        <f t="shared" si="4"/>
        <v/>
      </c>
    </row>
    <row r="43" spans="1:16">
      <c r="A43" s="354"/>
      <c r="B43" s="355"/>
      <c r="C43" s="356"/>
      <c r="D43" s="356"/>
      <c r="E43" s="26"/>
      <c r="F43" s="26"/>
      <c r="G43" s="27"/>
      <c r="H43" s="26"/>
      <c r="I43" s="354"/>
      <c r="J43" s="206"/>
      <c r="K43" s="196"/>
      <c r="L43" s="210" t="str">
        <f t="shared" si="5"/>
        <v/>
      </c>
      <c r="M43" s="211" t="str">
        <f t="shared" si="1"/>
        <v/>
      </c>
      <c r="N43" s="210" t="str">
        <f t="shared" si="2"/>
        <v/>
      </c>
      <c r="O43" s="211" t="str">
        <f t="shared" si="3"/>
        <v/>
      </c>
      <c r="P43" s="207" t="str">
        <f t="shared" si="4"/>
        <v/>
      </c>
    </row>
    <row r="44" spans="1:16">
      <c r="A44" s="354"/>
      <c r="B44" s="355"/>
      <c r="C44" s="356"/>
      <c r="D44" s="356"/>
      <c r="E44" s="26"/>
      <c r="F44" s="26"/>
      <c r="G44" s="27"/>
      <c r="H44" s="26"/>
      <c r="I44" s="354"/>
      <c r="J44" s="206"/>
      <c r="K44" s="196"/>
      <c r="L44" s="210" t="str">
        <f t="shared" si="5"/>
        <v/>
      </c>
      <c r="M44" s="211" t="str">
        <f t="shared" si="1"/>
        <v/>
      </c>
      <c r="N44" s="210" t="str">
        <f t="shared" si="2"/>
        <v/>
      </c>
      <c r="O44" s="211" t="str">
        <f t="shared" si="3"/>
        <v/>
      </c>
      <c r="P44" s="207" t="str">
        <f t="shared" si="4"/>
        <v/>
      </c>
    </row>
    <row r="45" spans="1:16">
      <c r="A45" s="354"/>
      <c r="B45" s="355"/>
      <c r="C45" s="356"/>
      <c r="D45" s="356"/>
      <c r="E45" s="26"/>
      <c r="F45" s="26"/>
      <c r="G45" s="27"/>
      <c r="H45" s="26"/>
      <c r="I45" s="354"/>
      <c r="J45" s="206"/>
      <c r="K45" s="196"/>
      <c r="L45" s="210" t="str">
        <f t="shared" si="5"/>
        <v/>
      </c>
      <c r="M45" s="211" t="str">
        <f t="shared" si="1"/>
        <v/>
      </c>
      <c r="N45" s="210" t="str">
        <f t="shared" si="2"/>
        <v/>
      </c>
      <c r="O45" s="211" t="str">
        <f t="shared" si="3"/>
        <v/>
      </c>
      <c r="P45" s="207" t="str">
        <f t="shared" si="4"/>
        <v/>
      </c>
    </row>
    <row r="46" spans="1:16">
      <c r="A46" s="354"/>
      <c r="B46" s="355"/>
      <c r="C46" s="356"/>
      <c r="D46" s="356"/>
      <c r="E46" s="26"/>
      <c r="F46" s="26"/>
      <c r="G46" s="27"/>
      <c r="H46" s="26"/>
      <c r="I46" s="354"/>
      <c r="J46" s="206"/>
      <c r="K46" s="196"/>
      <c r="L46" s="210" t="str">
        <f t="shared" si="5"/>
        <v/>
      </c>
      <c r="M46" s="211" t="str">
        <f t="shared" si="1"/>
        <v/>
      </c>
      <c r="N46" s="210" t="str">
        <f t="shared" si="2"/>
        <v/>
      </c>
      <c r="O46" s="211" t="str">
        <f t="shared" si="3"/>
        <v/>
      </c>
      <c r="P46" s="207" t="str">
        <f t="shared" si="4"/>
        <v/>
      </c>
    </row>
    <row r="47" spans="1:16">
      <c r="A47" s="354"/>
      <c r="B47" s="355"/>
      <c r="C47" s="356"/>
      <c r="D47" s="356"/>
      <c r="E47" s="26"/>
      <c r="F47" s="26"/>
      <c r="G47" s="27"/>
      <c r="H47" s="26"/>
      <c r="I47" s="354"/>
      <c r="J47" s="206"/>
      <c r="K47" s="196"/>
      <c r="L47" s="210" t="str">
        <f t="shared" si="5"/>
        <v/>
      </c>
      <c r="M47" s="211" t="str">
        <f t="shared" si="1"/>
        <v/>
      </c>
      <c r="N47" s="210" t="str">
        <f t="shared" si="2"/>
        <v/>
      </c>
      <c r="O47" s="211" t="str">
        <f t="shared" si="3"/>
        <v/>
      </c>
      <c r="P47" s="207" t="str">
        <f t="shared" si="4"/>
        <v/>
      </c>
    </row>
    <row r="48" spans="1:16">
      <c r="A48" s="354"/>
      <c r="B48" s="355"/>
      <c r="C48" s="356"/>
      <c r="D48" s="356"/>
      <c r="E48" s="26"/>
      <c r="F48" s="26"/>
      <c r="G48" s="27"/>
      <c r="H48" s="26"/>
      <c r="I48" s="354"/>
      <c r="J48" s="206"/>
      <c r="K48" s="196"/>
      <c r="L48" s="210" t="str">
        <f t="shared" si="5"/>
        <v/>
      </c>
      <c r="M48" s="211" t="str">
        <f t="shared" si="1"/>
        <v/>
      </c>
      <c r="N48" s="210" t="str">
        <f t="shared" si="2"/>
        <v/>
      </c>
      <c r="O48" s="211" t="str">
        <f t="shared" si="3"/>
        <v/>
      </c>
      <c r="P48" s="207" t="str">
        <f t="shared" si="4"/>
        <v/>
      </c>
    </row>
    <row r="49" spans="1:16">
      <c r="A49" s="354"/>
      <c r="B49" s="355"/>
      <c r="C49" s="356"/>
      <c r="D49" s="356"/>
      <c r="E49" s="26"/>
      <c r="F49" s="26"/>
      <c r="G49" s="27"/>
      <c r="H49" s="26"/>
      <c r="I49" s="354"/>
      <c r="J49" s="206"/>
      <c r="K49" s="196"/>
      <c r="L49" s="210" t="str">
        <f t="shared" si="5"/>
        <v/>
      </c>
      <c r="M49" s="211" t="str">
        <f t="shared" si="1"/>
        <v/>
      </c>
      <c r="N49" s="210" t="str">
        <f t="shared" si="2"/>
        <v/>
      </c>
      <c r="O49" s="211" t="str">
        <f t="shared" si="3"/>
        <v/>
      </c>
      <c r="P49" s="207" t="str">
        <f t="shared" si="4"/>
        <v/>
      </c>
    </row>
    <row r="50" spans="1:16">
      <c r="A50" s="354"/>
      <c r="B50" s="355"/>
      <c r="C50" s="356"/>
      <c r="D50" s="356"/>
      <c r="E50" s="26"/>
      <c r="F50" s="26"/>
      <c r="G50" s="27"/>
      <c r="H50" s="26"/>
      <c r="I50" s="354"/>
      <c r="J50" s="206"/>
      <c r="K50" s="196"/>
      <c r="L50" s="210" t="str">
        <f t="shared" si="5"/>
        <v/>
      </c>
      <c r="M50" s="211" t="str">
        <f t="shared" si="1"/>
        <v/>
      </c>
      <c r="N50" s="210" t="str">
        <f t="shared" si="2"/>
        <v/>
      </c>
      <c r="O50" s="211" t="str">
        <f t="shared" si="3"/>
        <v/>
      </c>
      <c r="P50" s="207" t="str">
        <f t="shared" si="4"/>
        <v/>
      </c>
    </row>
    <row r="51" spans="1:16" hidden="1">
      <c r="A51" s="354"/>
      <c r="B51" s="355"/>
      <c r="C51" s="356"/>
      <c r="D51" s="356"/>
      <c r="E51" s="26"/>
      <c r="F51" s="26"/>
      <c r="G51" s="27"/>
      <c r="H51" s="26"/>
      <c r="I51" s="354"/>
      <c r="J51" s="206"/>
      <c r="K51" s="196"/>
      <c r="L51" s="210" t="str">
        <f t="shared" si="5"/>
        <v/>
      </c>
      <c r="M51" s="211" t="str">
        <f t="shared" si="1"/>
        <v/>
      </c>
      <c r="N51" s="210" t="str">
        <f t="shared" si="2"/>
        <v/>
      </c>
      <c r="O51" s="211" t="str">
        <f t="shared" si="3"/>
        <v/>
      </c>
      <c r="P51" s="207" t="str">
        <f t="shared" si="4"/>
        <v/>
      </c>
    </row>
    <row r="52" spans="1:16" hidden="1">
      <c r="A52" s="354"/>
      <c r="B52" s="355"/>
      <c r="C52" s="356"/>
      <c r="D52" s="356"/>
      <c r="E52" s="26"/>
      <c r="F52" s="26"/>
      <c r="G52" s="27"/>
      <c r="H52" s="26"/>
      <c r="I52" s="354"/>
      <c r="J52" s="206"/>
      <c r="K52" s="196"/>
      <c r="L52" s="210" t="str">
        <f t="shared" si="5"/>
        <v/>
      </c>
      <c r="M52" s="211" t="str">
        <f t="shared" si="1"/>
        <v/>
      </c>
      <c r="N52" s="210" t="str">
        <f t="shared" si="2"/>
        <v/>
      </c>
      <c r="O52" s="211" t="str">
        <f t="shared" si="3"/>
        <v/>
      </c>
      <c r="P52" s="207" t="str">
        <f t="shared" si="4"/>
        <v/>
      </c>
    </row>
    <row r="53" spans="1:16" hidden="1">
      <c r="A53" s="354"/>
      <c r="B53" s="355"/>
      <c r="C53" s="356"/>
      <c r="D53" s="356"/>
      <c r="E53" s="26"/>
      <c r="F53" s="26"/>
      <c r="G53" s="27"/>
      <c r="H53" s="26"/>
      <c r="I53" s="354"/>
      <c r="J53" s="206"/>
      <c r="K53" s="196"/>
      <c r="L53" s="210" t="str">
        <f t="shared" si="5"/>
        <v/>
      </c>
      <c r="M53" s="211" t="str">
        <f t="shared" si="1"/>
        <v/>
      </c>
      <c r="N53" s="210" t="str">
        <f t="shared" si="2"/>
        <v/>
      </c>
      <c r="O53" s="211" t="str">
        <f t="shared" si="3"/>
        <v/>
      </c>
      <c r="P53" s="207" t="str">
        <f t="shared" si="4"/>
        <v/>
      </c>
    </row>
    <row r="54" spans="1:16" hidden="1">
      <c r="A54" s="354"/>
      <c r="B54" s="355"/>
      <c r="C54" s="356"/>
      <c r="D54" s="356"/>
      <c r="E54" s="26"/>
      <c r="F54" s="26"/>
      <c r="G54" s="27"/>
      <c r="H54" s="26"/>
      <c r="I54" s="354"/>
      <c r="J54" s="206"/>
      <c r="K54" s="196"/>
      <c r="L54" s="210" t="str">
        <f t="shared" si="5"/>
        <v/>
      </c>
      <c r="M54" s="211" t="str">
        <f t="shared" si="1"/>
        <v/>
      </c>
      <c r="N54" s="210" t="str">
        <f t="shared" si="2"/>
        <v/>
      </c>
      <c r="O54" s="211" t="str">
        <f t="shared" si="3"/>
        <v/>
      </c>
      <c r="P54" s="207" t="str">
        <f t="shared" si="4"/>
        <v/>
      </c>
    </row>
    <row r="55" spans="1:16" hidden="1">
      <c r="A55" s="354"/>
      <c r="B55" s="355"/>
      <c r="C55" s="356"/>
      <c r="D55" s="356"/>
      <c r="E55" s="26"/>
      <c r="F55" s="26"/>
      <c r="G55" s="27"/>
      <c r="H55" s="26"/>
      <c r="I55" s="354"/>
      <c r="J55" s="206"/>
      <c r="K55" s="196"/>
      <c r="L55" s="210" t="str">
        <f t="shared" si="5"/>
        <v/>
      </c>
      <c r="M55" s="211" t="str">
        <f t="shared" si="1"/>
        <v/>
      </c>
      <c r="N55" s="210" t="str">
        <f t="shared" si="2"/>
        <v/>
      </c>
      <c r="O55" s="211" t="str">
        <f t="shared" si="3"/>
        <v/>
      </c>
      <c r="P55" s="207" t="str">
        <f t="shared" si="4"/>
        <v/>
      </c>
    </row>
    <row r="56" spans="1:16" hidden="1">
      <c r="A56" s="354"/>
      <c r="B56" s="355"/>
      <c r="C56" s="356"/>
      <c r="D56" s="356"/>
      <c r="E56" s="26"/>
      <c r="F56" s="26"/>
      <c r="G56" s="27"/>
      <c r="H56" s="26"/>
      <c r="I56" s="354"/>
      <c r="J56" s="206"/>
      <c r="K56" s="196"/>
      <c r="L56" s="210" t="str">
        <f t="shared" si="5"/>
        <v/>
      </c>
      <c r="M56" s="211" t="str">
        <f t="shared" si="1"/>
        <v/>
      </c>
      <c r="N56" s="210" t="str">
        <f t="shared" si="2"/>
        <v/>
      </c>
      <c r="O56" s="211" t="str">
        <f t="shared" si="3"/>
        <v/>
      </c>
      <c r="P56" s="207" t="str">
        <f t="shared" si="4"/>
        <v/>
      </c>
    </row>
    <row r="57" spans="1:16" hidden="1">
      <c r="A57" s="354"/>
      <c r="B57" s="355"/>
      <c r="C57" s="356"/>
      <c r="D57" s="356"/>
      <c r="E57" s="26"/>
      <c r="F57" s="26"/>
      <c r="G57" s="27"/>
      <c r="H57" s="26"/>
      <c r="I57" s="354"/>
      <c r="J57" s="206"/>
      <c r="K57" s="196"/>
      <c r="L57" s="210" t="str">
        <f t="shared" si="5"/>
        <v/>
      </c>
      <c r="M57" s="211" t="str">
        <f t="shared" si="1"/>
        <v/>
      </c>
      <c r="N57" s="210" t="str">
        <f t="shared" si="2"/>
        <v/>
      </c>
      <c r="O57" s="211" t="str">
        <f t="shared" si="3"/>
        <v/>
      </c>
      <c r="P57" s="207" t="str">
        <f t="shared" si="4"/>
        <v/>
      </c>
    </row>
    <row r="58" spans="1:16" hidden="1">
      <c r="A58" s="354"/>
      <c r="B58" s="355"/>
      <c r="C58" s="356"/>
      <c r="D58" s="356"/>
      <c r="E58" s="26"/>
      <c r="F58" s="26"/>
      <c r="G58" s="27"/>
      <c r="H58" s="26"/>
      <c r="I58" s="354"/>
      <c r="J58" s="206"/>
      <c r="K58" s="196"/>
      <c r="L58" s="210" t="str">
        <f t="shared" si="5"/>
        <v/>
      </c>
      <c r="M58" s="211" t="str">
        <f t="shared" si="1"/>
        <v/>
      </c>
      <c r="N58" s="210" t="str">
        <f t="shared" si="2"/>
        <v/>
      </c>
      <c r="O58" s="211" t="str">
        <f t="shared" si="3"/>
        <v/>
      </c>
      <c r="P58" s="207" t="str">
        <f t="shared" si="4"/>
        <v/>
      </c>
    </row>
    <row r="59" spans="1:16" hidden="1">
      <c r="A59" s="354"/>
      <c r="B59" s="355"/>
      <c r="C59" s="356"/>
      <c r="D59" s="356"/>
      <c r="E59" s="26"/>
      <c r="F59" s="26"/>
      <c r="G59" s="27"/>
      <c r="H59" s="26"/>
      <c r="I59" s="354"/>
      <c r="J59" s="206"/>
      <c r="K59" s="196"/>
      <c r="L59" s="210" t="str">
        <f t="shared" si="5"/>
        <v/>
      </c>
      <c r="M59" s="211" t="str">
        <f t="shared" si="1"/>
        <v/>
      </c>
      <c r="N59" s="210" t="str">
        <f t="shared" si="2"/>
        <v/>
      </c>
      <c r="O59" s="211" t="str">
        <f t="shared" si="3"/>
        <v/>
      </c>
      <c r="P59" s="207" t="str">
        <f t="shared" si="4"/>
        <v/>
      </c>
    </row>
    <row r="60" spans="1:16" hidden="1">
      <c r="A60" s="354"/>
      <c r="B60" s="355"/>
      <c r="C60" s="356"/>
      <c r="D60" s="356"/>
      <c r="E60" s="26"/>
      <c r="F60" s="26"/>
      <c r="G60" s="27"/>
      <c r="H60" s="26"/>
      <c r="I60" s="354"/>
      <c r="J60" s="206"/>
      <c r="K60" s="196"/>
      <c r="L60" s="210" t="str">
        <f t="shared" si="5"/>
        <v/>
      </c>
      <c r="M60" s="211" t="str">
        <f t="shared" si="1"/>
        <v/>
      </c>
      <c r="N60" s="210" t="str">
        <f t="shared" si="2"/>
        <v/>
      </c>
      <c r="O60" s="211" t="str">
        <f t="shared" si="3"/>
        <v/>
      </c>
      <c r="P60" s="207" t="str">
        <f t="shared" si="4"/>
        <v/>
      </c>
    </row>
    <row r="61" spans="1:16" hidden="1">
      <c r="A61" s="354"/>
      <c r="B61" s="355"/>
      <c r="C61" s="356"/>
      <c r="D61" s="356"/>
      <c r="E61" s="26"/>
      <c r="F61" s="26"/>
      <c r="G61" s="27"/>
      <c r="H61" s="26"/>
      <c r="I61" s="354"/>
      <c r="J61" s="206"/>
      <c r="K61" s="196"/>
      <c r="L61" s="210" t="str">
        <f t="shared" si="5"/>
        <v/>
      </c>
      <c r="M61" s="211" t="str">
        <f t="shared" si="1"/>
        <v/>
      </c>
      <c r="N61" s="210" t="str">
        <f t="shared" si="2"/>
        <v/>
      </c>
      <c r="O61" s="211" t="str">
        <f t="shared" si="3"/>
        <v/>
      </c>
      <c r="P61" s="207" t="str">
        <f t="shared" si="4"/>
        <v/>
      </c>
    </row>
    <row r="62" spans="1:16" hidden="1">
      <c r="A62" s="354"/>
      <c r="B62" s="355"/>
      <c r="C62" s="356"/>
      <c r="D62" s="356"/>
      <c r="E62" s="26"/>
      <c r="F62" s="26"/>
      <c r="G62" s="27"/>
      <c r="H62" s="26"/>
      <c r="I62" s="354"/>
      <c r="J62" s="206"/>
      <c r="K62" s="196"/>
      <c r="L62" s="210" t="str">
        <f t="shared" si="5"/>
        <v/>
      </c>
      <c r="M62" s="211" t="str">
        <f t="shared" si="1"/>
        <v/>
      </c>
      <c r="N62" s="210" t="str">
        <f t="shared" si="2"/>
        <v/>
      </c>
      <c r="O62" s="211" t="str">
        <f t="shared" si="3"/>
        <v/>
      </c>
      <c r="P62" s="207" t="str">
        <f t="shared" si="4"/>
        <v/>
      </c>
    </row>
    <row r="63" spans="1:16" hidden="1">
      <c r="A63" s="354"/>
      <c r="B63" s="355"/>
      <c r="C63" s="356"/>
      <c r="D63" s="356"/>
      <c r="E63" s="26"/>
      <c r="F63" s="26"/>
      <c r="G63" s="27"/>
      <c r="H63" s="26"/>
      <c r="I63" s="354"/>
      <c r="J63" s="206"/>
      <c r="K63" s="196"/>
      <c r="L63" s="210" t="str">
        <f t="shared" si="5"/>
        <v/>
      </c>
      <c r="M63" s="211" t="str">
        <f t="shared" si="1"/>
        <v/>
      </c>
      <c r="N63" s="210" t="str">
        <f t="shared" si="2"/>
        <v/>
      </c>
      <c r="O63" s="211" t="str">
        <f t="shared" si="3"/>
        <v/>
      </c>
      <c r="P63" s="207" t="str">
        <f t="shared" si="4"/>
        <v/>
      </c>
    </row>
    <row r="64" spans="1:16" hidden="1">
      <c r="A64" s="354"/>
      <c r="B64" s="355"/>
      <c r="C64" s="356"/>
      <c r="D64" s="356"/>
      <c r="E64" s="26"/>
      <c r="F64" s="26"/>
      <c r="G64" s="27"/>
      <c r="H64" s="26"/>
      <c r="I64" s="354"/>
      <c r="J64" s="206"/>
      <c r="K64" s="196"/>
      <c r="L64" s="210" t="str">
        <f t="shared" si="5"/>
        <v/>
      </c>
      <c r="M64" s="211" t="str">
        <f t="shared" si="1"/>
        <v/>
      </c>
      <c r="N64" s="210" t="str">
        <f t="shared" si="2"/>
        <v/>
      </c>
      <c r="O64" s="211" t="str">
        <f t="shared" si="3"/>
        <v/>
      </c>
      <c r="P64" s="207" t="str">
        <f t="shared" si="4"/>
        <v/>
      </c>
    </row>
    <row r="65" spans="1:16" hidden="1">
      <c r="A65" s="354"/>
      <c r="B65" s="355"/>
      <c r="C65" s="356"/>
      <c r="D65" s="356"/>
      <c r="E65" s="26"/>
      <c r="F65" s="26"/>
      <c r="G65" s="27"/>
      <c r="H65" s="26"/>
      <c r="I65" s="354"/>
      <c r="J65" s="206"/>
      <c r="K65" s="196"/>
      <c r="L65" s="210" t="str">
        <f t="shared" si="5"/>
        <v/>
      </c>
      <c r="M65" s="211" t="str">
        <f t="shared" si="1"/>
        <v/>
      </c>
      <c r="N65" s="210" t="str">
        <f t="shared" si="2"/>
        <v/>
      </c>
      <c r="O65" s="211" t="str">
        <f t="shared" si="3"/>
        <v/>
      </c>
      <c r="P65" s="207" t="str">
        <f t="shared" si="4"/>
        <v/>
      </c>
    </row>
    <row r="66" spans="1:16" hidden="1">
      <c r="A66" s="354"/>
      <c r="B66" s="355"/>
      <c r="C66" s="356"/>
      <c r="D66" s="356"/>
      <c r="E66" s="26"/>
      <c r="F66" s="26"/>
      <c r="G66" s="27"/>
      <c r="H66" s="26"/>
      <c r="I66" s="354"/>
      <c r="J66" s="206"/>
      <c r="K66" s="196"/>
      <c r="L66" s="210" t="str">
        <f t="shared" si="5"/>
        <v/>
      </c>
      <c r="M66" s="211" t="str">
        <f t="shared" si="1"/>
        <v/>
      </c>
      <c r="N66" s="210" t="str">
        <f t="shared" si="2"/>
        <v/>
      </c>
      <c r="O66" s="211" t="str">
        <f t="shared" si="3"/>
        <v/>
      </c>
      <c r="P66" s="207" t="str">
        <f t="shared" si="4"/>
        <v/>
      </c>
    </row>
    <row r="67" spans="1:16" hidden="1">
      <c r="A67" s="354"/>
      <c r="B67" s="355"/>
      <c r="C67" s="356"/>
      <c r="D67" s="356"/>
      <c r="E67" s="26"/>
      <c r="F67" s="26"/>
      <c r="G67" s="27"/>
      <c r="H67" s="26"/>
      <c r="I67" s="354"/>
      <c r="J67" s="206"/>
      <c r="K67" s="196"/>
      <c r="L67" s="210" t="str">
        <f t="shared" si="5"/>
        <v/>
      </c>
      <c r="M67" s="211" t="str">
        <f t="shared" si="1"/>
        <v/>
      </c>
      <c r="N67" s="210" t="str">
        <f t="shared" si="2"/>
        <v/>
      </c>
      <c r="O67" s="211" t="str">
        <f t="shared" si="3"/>
        <v/>
      </c>
      <c r="P67" s="207" t="str">
        <f t="shared" si="4"/>
        <v/>
      </c>
    </row>
    <row r="68" spans="1:16" hidden="1">
      <c r="A68" s="354"/>
      <c r="B68" s="355"/>
      <c r="C68" s="356"/>
      <c r="D68" s="356"/>
      <c r="E68" s="26"/>
      <c r="F68" s="26"/>
      <c r="G68" s="27"/>
      <c r="H68" s="26"/>
      <c r="I68" s="354"/>
      <c r="J68" s="206"/>
      <c r="K68" s="196"/>
      <c r="L68" s="210" t="str">
        <f t="shared" si="5"/>
        <v/>
      </c>
      <c r="M68" s="211" t="str">
        <f t="shared" si="1"/>
        <v/>
      </c>
      <c r="N68" s="210" t="str">
        <f t="shared" si="2"/>
        <v/>
      </c>
      <c r="O68" s="211" t="str">
        <f t="shared" si="3"/>
        <v/>
      </c>
      <c r="P68" s="207" t="str">
        <f t="shared" si="4"/>
        <v/>
      </c>
    </row>
    <row r="69" spans="1:16" hidden="1">
      <c r="A69" s="354"/>
      <c r="B69" s="355"/>
      <c r="C69" s="356"/>
      <c r="D69" s="356"/>
      <c r="E69" s="26"/>
      <c r="F69" s="26"/>
      <c r="G69" s="27"/>
      <c r="H69" s="26"/>
      <c r="I69" s="354"/>
      <c r="J69" s="206"/>
      <c r="K69" s="196"/>
      <c r="L69" s="210" t="str">
        <f t="shared" si="5"/>
        <v/>
      </c>
      <c r="M69" s="211" t="str">
        <f t="shared" si="1"/>
        <v/>
      </c>
      <c r="N69" s="210" t="str">
        <f t="shared" si="2"/>
        <v/>
      </c>
      <c r="O69" s="211" t="str">
        <f t="shared" si="3"/>
        <v/>
      </c>
      <c r="P69" s="207" t="str">
        <f t="shared" si="4"/>
        <v/>
      </c>
    </row>
    <row r="70" spans="1:16" hidden="1">
      <c r="A70" s="354"/>
      <c r="B70" s="355"/>
      <c r="C70" s="356"/>
      <c r="D70" s="356"/>
      <c r="E70" s="26"/>
      <c r="F70" s="26"/>
      <c r="G70" s="27"/>
      <c r="H70" s="26"/>
      <c r="I70" s="354"/>
      <c r="J70" s="206"/>
      <c r="K70" s="196"/>
      <c r="L70" s="210" t="str">
        <f t="shared" si="5"/>
        <v/>
      </c>
      <c r="M70" s="211" t="str">
        <f t="shared" si="1"/>
        <v/>
      </c>
      <c r="N70" s="210" t="str">
        <f t="shared" si="2"/>
        <v/>
      </c>
      <c r="O70" s="211" t="str">
        <f t="shared" si="3"/>
        <v/>
      </c>
      <c r="P70" s="207" t="str">
        <f t="shared" si="4"/>
        <v/>
      </c>
    </row>
    <row r="71" spans="1:16" hidden="1">
      <c r="A71" s="354"/>
      <c r="B71" s="355"/>
      <c r="C71" s="356"/>
      <c r="D71" s="356"/>
      <c r="E71" s="26"/>
      <c r="F71" s="26"/>
      <c r="G71" s="27"/>
      <c r="H71" s="26"/>
      <c r="I71" s="354"/>
      <c r="J71" s="206"/>
      <c r="K71" s="196"/>
      <c r="L71" s="210" t="str">
        <f t="shared" si="5"/>
        <v/>
      </c>
      <c r="M71" s="211" t="str">
        <f t="shared" si="1"/>
        <v/>
      </c>
      <c r="N71" s="210" t="str">
        <f t="shared" si="2"/>
        <v/>
      </c>
      <c r="O71" s="211" t="str">
        <f t="shared" si="3"/>
        <v/>
      </c>
      <c r="P71" s="207" t="str">
        <f t="shared" si="4"/>
        <v/>
      </c>
    </row>
    <row r="72" spans="1:16" hidden="1">
      <c r="A72" s="354"/>
      <c r="B72" s="355"/>
      <c r="C72" s="356"/>
      <c r="D72" s="356"/>
      <c r="E72" s="26"/>
      <c r="F72" s="26"/>
      <c r="G72" s="27"/>
      <c r="H72" s="26"/>
      <c r="I72" s="354"/>
      <c r="J72" s="206"/>
      <c r="K72" s="196"/>
      <c r="L72" s="210" t="str">
        <f t="shared" si="5"/>
        <v/>
      </c>
      <c r="M72" s="211" t="str">
        <f t="shared" si="1"/>
        <v/>
      </c>
      <c r="N72" s="210" t="str">
        <f t="shared" si="2"/>
        <v/>
      </c>
      <c r="O72" s="211" t="str">
        <f t="shared" si="3"/>
        <v/>
      </c>
      <c r="P72" s="207" t="str">
        <f t="shared" si="4"/>
        <v/>
      </c>
    </row>
    <row r="73" spans="1:16" hidden="1">
      <c r="A73" s="354"/>
      <c r="B73" s="355"/>
      <c r="C73" s="356"/>
      <c r="D73" s="356"/>
      <c r="E73" s="26"/>
      <c r="F73" s="26"/>
      <c r="G73" s="27"/>
      <c r="H73" s="26"/>
      <c r="I73" s="354"/>
      <c r="J73" s="206"/>
      <c r="K73" s="196"/>
      <c r="L73" s="210" t="str">
        <f t="shared" si="5"/>
        <v/>
      </c>
      <c r="M73" s="211" t="str">
        <f t="shared" si="1"/>
        <v/>
      </c>
      <c r="N73" s="210" t="str">
        <f t="shared" si="2"/>
        <v/>
      </c>
      <c r="O73" s="211" t="str">
        <f t="shared" si="3"/>
        <v/>
      </c>
      <c r="P73" s="207" t="str">
        <f t="shared" si="4"/>
        <v/>
      </c>
    </row>
    <row r="74" spans="1:16" hidden="1">
      <c r="A74" s="354"/>
      <c r="B74" s="355"/>
      <c r="C74" s="356"/>
      <c r="D74" s="356"/>
      <c r="E74" s="26"/>
      <c r="F74" s="26"/>
      <c r="G74" s="27"/>
      <c r="H74" s="26"/>
      <c r="I74" s="354"/>
      <c r="J74" s="206"/>
      <c r="K74" s="196"/>
      <c r="L74" s="210" t="str">
        <f t="shared" si="5"/>
        <v/>
      </c>
      <c r="M74" s="211" t="str">
        <f t="shared" si="1"/>
        <v/>
      </c>
      <c r="N74" s="210" t="str">
        <f t="shared" si="2"/>
        <v/>
      </c>
      <c r="O74" s="211" t="str">
        <f t="shared" si="3"/>
        <v/>
      </c>
      <c r="P74" s="207" t="str">
        <f t="shared" si="4"/>
        <v/>
      </c>
    </row>
    <row r="75" spans="1:16" hidden="1">
      <c r="A75" s="354"/>
      <c r="B75" s="355"/>
      <c r="C75" s="356"/>
      <c r="D75" s="356"/>
      <c r="E75" s="26"/>
      <c r="F75" s="26"/>
      <c r="G75" s="27"/>
      <c r="H75" s="26"/>
      <c r="I75" s="354"/>
      <c r="J75" s="206"/>
      <c r="K75" s="196"/>
      <c r="L75" s="210" t="str">
        <f t="shared" si="5"/>
        <v/>
      </c>
      <c r="M75" s="211" t="str">
        <f t="shared" si="1"/>
        <v/>
      </c>
      <c r="N75" s="210" t="str">
        <f t="shared" si="2"/>
        <v/>
      </c>
      <c r="O75" s="211" t="str">
        <f t="shared" si="3"/>
        <v/>
      </c>
      <c r="P75" s="207" t="str">
        <f t="shared" si="4"/>
        <v/>
      </c>
    </row>
    <row r="76" spans="1:16" hidden="1">
      <c r="A76" s="354"/>
      <c r="B76" s="355"/>
      <c r="C76" s="356"/>
      <c r="D76" s="356"/>
      <c r="E76" s="26"/>
      <c r="F76" s="26"/>
      <c r="G76" s="27"/>
      <c r="H76" s="26"/>
      <c r="I76" s="354"/>
      <c r="J76" s="206"/>
      <c r="K76" s="196"/>
      <c r="L76" s="210" t="str">
        <f t="shared" si="5"/>
        <v/>
      </c>
      <c r="M76" s="211" t="str">
        <f t="shared" si="1"/>
        <v/>
      </c>
      <c r="N76" s="210" t="str">
        <f t="shared" si="2"/>
        <v/>
      </c>
      <c r="O76" s="211" t="str">
        <f t="shared" si="3"/>
        <v/>
      </c>
      <c r="P76" s="207" t="str">
        <f t="shared" si="4"/>
        <v/>
      </c>
    </row>
    <row r="77" spans="1:16" hidden="1">
      <c r="A77" s="354"/>
      <c r="B77" s="355"/>
      <c r="C77" s="356"/>
      <c r="D77" s="356"/>
      <c r="E77" s="26"/>
      <c r="F77" s="26"/>
      <c r="G77" s="27"/>
      <c r="H77" s="26"/>
      <c r="I77" s="354"/>
      <c r="J77" s="206"/>
      <c r="K77" s="196"/>
      <c r="L77" s="210" t="str">
        <f t="shared" si="5"/>
        <v/>
      </c>
      <c r="M77" s="211" t="str">
        <f t="shared" si="1"/>
        <v/>
      </c>
      <c r="N77" s="210" t="str">
        <f t="shared" si="2"/>
        <v/>
      </c>
      <c r="O77" s="211" t="str">
        <f t="shared" si="3"/>
        <v/>
      </c>
      <c r="P77" s="207" t="str">
        <f t="shared" si="4"/>
        <v/>
      </c>
    </row>
    <row r="78" spans="1:16" hidden="1">
      <c r="A78" s="354"/>
      <c r="B78" s="355"/>
      <c r="C78" s="356"/>
      <c r="D78" s="356"/>
      <c r="E78" s="26"/>
      <c r="F78" s="26"/>
      <c r="G78" s="27"/>
      <c r="H78" s="26"/>
      <c r="I78" s="354"/>
      <c r="J78" s="206"/>
      <c r="K78" s="196"/>
      <c r="L78" s="210" t="str">
        <f t="shared" si="5"/>
        <v/>
      </c>
      <c r="M78" s="211" t="str">
        <f t="shared" si="1"/>
        <v/>
      </c>
      <c r="N78" s="210" t="str">
        <f t="shared" si="2"/>
        <v/>
      </c>
      <c r="O78" s="211" t="str">
        <f t="shared" si="3"/>
        <v/>
      </c>
      <c r="P78" s="207" t="str">
        <f t="shared" si="4"/>
        <v/>
      </c>
    </row>
    <row r="79" spans="1:16" hidden="1">
      <c r="A79" s="354"/>
      <c r="B79" s="355"/>
      <c r="C79" s="356"/>
      <c r="D79" s="356"/>
      <c r="E79" s="26"/>
      <c r="F79" s="26"/>
      <c r="G79" s="27"/>
      <c r="H79" s="26"/>
      <c r="I79" s="354"/>
      <c r="J79" s="206"/>
      <c r="K79" s="196"/>
      <c r="L79" s="210" t="str">
        <f t="shared" si="5"/>
        <v/>
      </c>
      <c r="M79" s="211" t="str">
        <f t="shared" si="1"/>
        <v/>
      </c>
      <c r="N79" s="210" t="str">
        <f t="shared" si="2"/>
        <v/>
      </c>
      <c r="O79" s="211" t="str">
        <f t="shared" si="3"/>
        <v/>
      </c>
      <c r="P79" s="207" t="str">
        <f t="shared" si="4"/>
        <v/>
      </c>
    </row>
    <row r="80" spans="1:16" hidden="1">
      <c r="A80" s="354"/>
      <c r="B80" s="355"/>
      <c r="C80" s="356"/>
      <c r="D80" s="356"/>
      <c r="E80" s="26"/>
      <c r="F80" s="26"/>
      <c r="G80" s="27"/>
      <c r="H80" s="26"/>
      <c r="I80" s="354"/>
      <c r="J80" s="206"/>
      <c r="K80" s="196"/>
      <c r="L80" s="210" t="str">
        <f t="shared" si="5"/>
        <v/>
      </c>
      <c r="M80" s="211" t="str">
        <f t="shared" si="1"/>
        <v/>
      </c>
      <c r="N80" s="210" t="str">
        <f t="shared" si="2"/>
        <v/>
      </c>
      <c r="O80" s="211" t="str">
        <f t="shared" si="3"/>
        <v/>
      </c>
      <c r="P80" s="207" t="str">
        <f t="shared" si="4"/>
        <v/>
      </c>
    </row>
    <row r="81" spans="1:16" hidden="1">
      <c r="A81" s="354"/>
      <c r="B81" s="355"/>
      <c r="C81" s="356"/>
      <c r="D81" s="356"/>
      <c r="E81" s="26"/>
      <c r="F81" s="26"/>
      <c r="G81" s="27"/>
      <c r="H81" s="26"/>
      <c r="I81" s="354"/>
      <c r="J81" s="206"/>
      <c r="K81" s="196"/>
      <c r="L81" s="210" t="str">
        <f t="shared" si="5"/>
        <v/>
      </c>
      <c r="M81" s="211" t="str">
        <f t="shared" si="1"/>
        <v/>
      </c>
      <c r="N81" s="210" t="str">
        <f t="shared" si="2"/>
        <v/>
      </c>
      <c r="O81" s="211" t="str">
        <f t="shared" si="3"/>
        <v/>
      </c>
      <c r="P81" s="207" t="str">
        <f t="shared" si="4"/>
        <v/>
      </c>
    </row>
    <row r="82" spans="1:16" hidden="1">
      <c r="A82" s="354"/>
      <c r="B82" s="355"/>
      <c r="C82" s="356"/>
      <c r="D82" s="356"/>
      <c r="E82" s="26"/>
      <c r="F82" s="26"/>
      <c r="G82" s="27"/>
      <c r="H82" s="26"/>
      <c r="I82" s="354"/>
      <c r="J82" s="206"/>
      <c r="K82" s="196"/>
      <c r="L82" s="210" t="str">
        <f t="shared" si="5"/>
        <v/>
      </c>
      <c r="M82" s="211" t="str">
        <f t="shared" si="1"/>
        <v/>
      </c>
      <c r="N82" s="210" t="str">
        <f t="shared" si="2"/>
        <v/>
      </c>
      <c r="O82" s="211" t="str">
        <f t="shared" si="3"/>
        <v/>
      </c>
      <c r="P82" s="207" t="str">
        <f t="shared" si="4"/>
        <v/>
      </c>
    </row>
    <row r="84" spans="1:16">
      <c r="C84" s="199" t="s">
        <v>347</v>
      </c>
      <c r="D84" s="199" t="s">
        <v>348</v>
      </c>
      <c r="E84" s="200"/>
      <c r="F84" s="200"/>
      <c r="G84" s="200"/>
      <c r="H84" s="200"/>
      <c r="I84" s="200"/>
      <c r="J84" s="200"/>
      <c r="K84" s="200"/>
      <c r="L84" s="200"/>
    </row>
    <row r="85" spans="1:16">
      <c r="C85" s="345" t="s">
        <v>349</v>
      </c>
      <c r="D85" s="693" t="s">
        <v>350</v>
      </c>
      <c r="E85" s="693"/>
      <c r="F85" s="693"/>
      <c r="G85" s="693"/>
      <c r="H85" s="693"/>
      <c r="I85" s="693"/>
      <c r="J85" s="693"/>
      <c r="K85" s="693"/>
      <c r="L85" s="693"/>
      <c r="M85" s="164"/>
      <c r="N85" s="164"/>
      <c r="O85" s="164"/>
    </row>
    <row r="86" spans="1:16">
      <c r="C86" s="346" t="s">
        <v>351</v>
      </c>
      <c r="D86" s="694" t="s">
        <v>352</v>
      </c>
      <c r="E86" s="694"/>
      <c r="F86" s="694"/>
      <c r="G86" s="694"/>
      <c r="H86" s="694"/>
      <c r="I86" s="694"/>
      <c r="J86" s="694"/>
      <c r="K86" s="694"/>
      <c r="L86" s="694"/>
      <c r="M86" s="164"/>
      <c r="N86" s="164"/>
      <c r="O86" s="164"/>
    </row>
    <row r="87" spans="1:16">
      <c r="C87" s="346" t="s">
        <v>353</v>
      </c>
      <c r="D87" s="694" t="s">
        <v>437</v>
      </c>
      <c r="E87" s="694"/>
      <c r="F87" s="694"/>
      <c r="G87" s="694"/>
      <c r="H87" s="694"/>
      <c r="I87" s="694"/>
      <c r="J87" s="694"/>
      <c r="K87" s="694"/>
      <c r="L87" s="694"/>
      <c r="M87" s="164"/>
      <c r="N87" s="164"/>
      <c r="O87" s="164"/>
    </row>
    <row r="88" spans="1:16">
      <c r="C88" s="346" t="s">
        <v>354</v>
      </c>
      <c r="D88" s="694" t="s">
        <v>373</v>
      </c>
      <c r="E88" s="694"/>
      <c r="F88" s="694"/>
      <c r="G88" s="694"/>
      <c r="H88" s="694"/>
      <c r="I88" s="694"/>
      <c r="J88" s="694"/>
      <c r="K88" s="694"/>
      <c r="L88" s="694"/>
      <c r="M88" s="164"/>
      <c r="N88" s="164"/>
      <c r="O88" s="164"/>
    </row>
    <row r="89" spans="1:16">
      <c r="C89" s="346" t="s">
        <v>355</v>
      </c>
      <c r="D89" s="694" t="s">
        <v>374</v>
      </c>
      <c r="E89" s="694"/>
      <c r="F89" s="694"/>
      <c r="G89" s="694"/>
      <c r="H89" s="694"/>
      <c r="I89" s="694"/>
      <c r="J89" s="694"/>
      <c r="K89" s="694"/>
      <c r="L89" s="694"/>
      <c r="M89" s="164"/>
      <c r="N89" s="164"/>
      <c r="O89" s="164"/>
    </row>
    <row r="90" spans="1:16">
      <c r="C90" s="346" t="s">
        <v>356</v>
      </c>
      <c r="D90" s="694" t="s">
        <v>375</v>
      </c>
      <c r="E90" s="694"/>
      <c r="F90" s="694"/>
      <c r="G90" s="694"/>
      <c r="H90" s="694"/>
      <c r="I90" s="694"/>
      <c r="J90" s="694"/>
      <c r="K90" s="694"/>
      <c r="L90" s="694"/>
      <c r="M90" s="164"/>
      <c r="N90" s="164"/>
      <c r="O90" s="164"/>
    </row>
    <row r="91" spans="1:16">
      <c r="C91" s="346" t="s">
        <v>357</v>
      </c>
      <c r="D91" s="694" t="s">
        <v>358</v>
      </c>
      <c r="E91" s="694"/>
      <c r="F91" s="694"/>
      <c r="G91" s="694"/>
      <c r="H91" s="694"/>
      <c r="I91" s="694"/>
      <c r="J91" s="694"/>
      <c r="K91" s="694"/>
      <c r="L91" s="694"/>
      <c r="M91" s="164"/>
      <c r="N91" s="164"/>
      <c r="O91" s="164"/>
    </row>
    <row r="92" spans="1:16">
      <c r="C92" s="346" t="s">
        <v>359</v>
      </c>
      <c r="D92" s="694" t="s">
        <v>360</v>
      </c>
      <c r="E92" s="694"/>
      <c r="F92" s="694"/>
      <c r="G92" s="694"/>
      <c r="H92" s="694"/>
      <c r="I92" s="694"/>
      <c r="J92" s="694"/>
      <c r="K92" s="694"/>
      <c r="L92" s="694"/>
      <c r="M92" s="164"/>
      <c r="N92" s="164"/>
      <c r="O92" s="164"/>
    </row>
    <row r="93" spans="1:16">
      <c r="C93" s="346" t="s">
        <v>361</v>
      </c>
      <c r="D93" s="694" t="s">
        <v>362</v>
      </c>
      <c r="E93" s="694"/>
      <c r="F93" s="694"/>
      <c r="G93" s="694"/>
      <c r="H93" s="694"/>
      <c r="I93" s="694"/>
      <c r="J93" s="694"/>
      <c r="K93" s="694"/>
      <c r="L93" s="694"/>
      <c r="M93" s="164"/>
      <c r="N93" s="164"/>
      <c r="O93" s="164"/>
    </row>
    <row r="94" spans="1:16">
      <c r="C94" s="347" t="s">
        <v>363</v>
      </c>
      <c r="D94" s="695" t="s">
        <v>385</v>
      </c>
      <c r="E94" s="695"/>
      <c r="F94" s="695"/>
      <c r="G94" s="695"/>
      <c r="H94" s="695"/>
      <c r="I94" s="695"/>
      <c r="J94" s="695"/>
      <c r="K94" s="695"/>
      <c r="L94" s="695"/>
      <c r="M94" s="164"/>
      <c r="N94" s="164"/>
      <c r="O94" s="164"/>
    </row>
  </sheetData>
  <sheetProtection algorithmName="SHA-512" hashValue="QtC82iEI+zSVzEKUEodhRHc042NNXd7rNfRn7OUJ7LWI4m9O2icsIl+cItc3wL/hr4/I/x1OFsu83Q/BL+KNdw==" saltValue="JDQrMVmX5cRLL7bvLt3qFA==" spinCount="100000" sheet="1" objects="1" scenarios="1"/>
  <mergeCells count="15">
    <mergeCell ref="L18:O18"/>
    <mergeCell ref="F1:K1"/>
    <mergeCell ref="F4:K4"/>
    <mergeCell ref="F2:K2"/>
    <mergeCell ref="B8:D8"/>
    <mergeCell ref="D90:L90"/>
    <mergeCell ref="D91:L91"/>
    <mergeCell ref="D92:L92"/>
    <mergeCell ref="D93:L93"/>
    <mergeCell ref="D94:L94"/>
    <mergeCell ref="D85:L85"/>
    <mergeCell ref="D86:L86"/>
    <mergeCell ref="D87:L87"/>
    <mergeCell ref="D88:L88"/>
    <mergeCell ref="D89:L89"/>
  </mergeCells>
  <phoneticPr fontId="114" type="noConversion"/>
  <conditionalFormatting sqref="A21:A82">
    <cfRule type="expression" dxfId="46" priority="1864">
      <formula>AND(NOT(ISBLANK($B21)),ISBLANK($A21))</formula>
    </cfRule>
    <cfRule type="expression" dxfId="45" priority="1865">
      <formula>AND(ISBLANK($A21), NOT(ISBLANK($J21)))</formula>
    </cfRule>
  </conditionalFormatting>
  <conditionalFormatting sqref="J20:J82">
    <cfRule type="expression" dxfId="44" priority="7">
      <formula>AND($A20="Debtor (Expenditure)", LEFT($B20,2)="CE",$J20&gt;0)</formula>
    </cfRule>
    <cfRule type="expression" dxfId="43" priority="8">
      <formula>AND($A20="Receipts_in_advance", LEFT($B20,2)="CI",$J20&gt;0)</formula>
    </cfRule>
    <cfRule type="expression" dxfId="42" priority="9">
      <formula>AND($A20="Payment_in_advance", LEFT($B20,2)="CE",$J20&gt;0)</formula>
    </cfRule>
    <cfRule type="expression" dxfId="41" priority="10">
      <formula>AND($A20="Debtor (Income)", LEFT($B20,2)="CI",$J20&lt;0)</formula>
    </cfRule>
    <cfRule type="expression" dxfId="40" priority="11">
      <formula>AND($A20="Creditor", LEFT($B20,2)="CE",$J20&lt;0)</formula>
    </cfRule>
    <cfRule type="expression" dxfId="39" priority="12">
      <formula>AND($A20="Debtor (Expenditure)", LEFT($B20)="E",$J20&gt;0)</formula>
    </cfRule>
    <cfRule type="expression" dxfId="38" priority="13">
      <formula>AND($A20="Receipts_in_advance", LEFT($B20)="I",$J20&gt;0)</formula>
    </cfRule>
    <cfRule type="expression" dxfId="37" priority="14">
      <formula>AND($A20="Payment_in_advance", LEFT($B20)="E",$J20&gt;0)</formula>
    </cfRule>
    <cfRule type="expression" dxfId="36" priority="15">
      <formula>AND($A20="Debtor (Income)", LEFT($B20)="I",$J20&lt;0)</formula>
    </cfRule>
    <cfRule type="expression" dxfId="35" priority="16">
      <formula>AND($A20="Creditor", LEFT($B20)="E",$J20&lt;0)</formula>
    </cfRule>
  </conditionalFormatting>
  <conditionalFormatting sqref="L21:O82">
    <cfRule type="expression" dxfId="34" priority="17">
      <formula>ABS(SUM($L21:$O21))&lt;&gt;ABS($J21)</formula>
    </cfRule>
  </conditionalFormatting>
  <dataValidations count="1">
    <dataValidation type="list" allowBlank="1" showInputMessage="1" showErrorMessage="1" sqref="C21:C82" xr:uid="{45016105-C1F5-4F61-ACD3-E52A2EF8A9E0}">
      <formula1>$C$85:$C$94</formula1>
    </dataValidation>
  </dataValidations>
  <pageMargins left="0.25" right="0.25" top="0.75" bottom="0.75" header="0.3" footer="0.3"/>
  <pageSetup paperSize="9" scale="3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548E51C-FDF7-4FB3-9660-8FC8C6D69475}">
          <x14:formula1>
            <xm:f>Lookup!$B$5:$B$9</xm:f>
          </x14:formula1>
          <xm:sqref>A21:A82</xm:sqref>
        </x14:dataValidation>
        <x14:dataValidation type="list" allowBlank="1" showInputMessage="1" showErrorMessage="1" xr:uid="{EC34E4CB-D640-4ADD-83DC-C14E1035DB7D}">
          <x14:formula1>
            <xm:f>Lookup!$J$5:$J$6</xm:f>
          </x14:formula1>
          <xm:sqref>I21:I82</xm:sqref>
        </x14:dataValidation>
        <x14:dataValidation type="list" allowBlank="1" showInputMessage="1" showErrorMessage="1" xr:uid="{775056FC-8A44-4F2B-9A9D-71AD331B37BD}">
          <x14:formula1>
            <xm:f>Lookup!$K$5:$K$7</xm:f>
          </x14:formula1>
          <xm:sqref>D21:D82</xm:sqref>
        </x14:dataValidation>
        <x14:dataValidation type="list" allowBlank="1" showInputMessage="1" showErrorMessage="1" xr:uid="{D1E3DC4A-CC1D-43DF-B023-9986B04CBC45}">
          <x14:formula1>
            <xm:f>Lookup!$D$5:$D$76</xm:f>
          </x14:formula1>
          <xm:sqref>B21:B82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F98CF-55E7-45FA-B8E6-66E3EE0B4DBA}">
  <sheetPr codeName="Sheet6">
    <tabColor rgb="FFFFFF00"/>
  </sheetPr>
  <dimension ref="A1"/>
  <sheetViews>
    <sheetView workbookViewId="0">
      <selection activeCell="A5" sqref="A5"/>
    </sheetView>
  </sheetViews>
  <sheetFormatPr defaultRowHeight="14.4"/>
  <sheetData>
    <row r="1" spans="1:1" ht="28.8">
      <c r="A1" s="344" t="s">
        <v>491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6714B-8227-4B0B-AA89-8B35E1A14925}">
  <sheetPr>
    <pageSetUpPr fitToPage="1"/>
  </sheetPr>
  <dimension ref="B1:U32"/>
  <sheetViews>
    <sheetView showGridLines="0" topLeftCell="A10" zoomScaleNormal="100" workbookViewId="0">
      <selection activeCell="H20" sqref="H20"/>
    </sheetView>
  </sheetViews>
  <sheetFormatPr defaultRowHeight="14.4"/>
  <cols>
    <col min="4" max="4" width="19.88671875" customWidth="1"/>
    <col min="5" max="5" width="24" customWidth="1"/>
    <col min="6" max="6" width="19.88671875" customWidth="1"/>
    <col min="7" max="7" width="18.109375" customWidth="1"/>
    <col min="10" max="14" width="0" hidden="1" customWidth="1"/>
    <col min="16" max="16" width="23.6640625" customWidth="1"/>
    <col min="17" max="17" width="24.33203125" customWidth="1"/>
    <col min="18" max="19" width="26" customWidth="1"/>
  </cols>
  <sheetData>
    <row r="1" spans="2:21" ht="15.6">
      <c r="B1" s="512"/>
      <c r="C1" s="513"/>
      <c r="D1" s="513"/>
      <c r="E1" s="513"/>
      <c r="F1" s="514"/>
      <c r="P1" s="515"/>
      <c r="Q1" s="515"/>
      <c r="R1" s="515"/>
      <c r="S1" s="515"/>
      <c r="T1" s="515"/>
      <c r="U1" s="515"/>
    </row>
    <row r="2" spans="2:21" ht="15.6">
      <c r="B2" s="516" t="s">
        <v>720</v>
      </c>
      <c r="C2" s="4"/>
      <c r="D2" s="4"/>
      <c r="E2" s="4"/>
      <c r="F2" s="517"/>
      <c r="P2" s="515"/>
      <c r="Q2" s="515"/>
      <c r="R2" s="515"/>
      <c r="S2" s="515"/>
      <c r="T2" s="515"/>
      <c r="U2" s="515"/>
    </row>
    <row r="3" spans="2:21" ht="15.6">
      <c r="B3" s="516" t="s">
        <v>721</v>
      </c>
      <c r="C3" s="4"/>
      <c r="D3" s="4"/>
      <c r="E3" s="4"/>
      <c r="F3" s="517"/>
      <c r="P3" s="515"/>
      <c r="Q3" s="515"/>
      <c r="R3" s="515"/>
      <c r="S3" s="515"/>
      <c r="T3" s="515"/>
      <c r="U3" s="515"/>
    </row>
    <row r="4" spans="2:21" ht="16.2" thickBot="1">
      <c r="B4" s="518"/>
      <c r="C4" s="519"/>
      <c r="D4" s="519"/>
      <c r="E4" s="519"/>
      <c r="F4" s="520"/>
      <c r="P4" s="515"/>
      <c r="Q4" s="515"/>
      <c r="R4" s="515"/>
      <c r="S4" s="515"/>
      <c r="T4" s="515"/>
      <c r="U4" s="515"/>
    </row>
    <row r="5" spans="2:21">
      <c r="P5" s="515"/>
      <c r="Q5" s="515"/>
      <c r="R5" s="515"/>
      <c r="S5" s="515"/>
      <c r="T5" s="515"/>
      <c r="U5" s="515"/>
    </row>
    <row r="6" spans="2:21">
      <c r="B6" t="s">
        <v>217</v>
      </c>
      <c r="E6" s="717">
        <f>'2a) YE Income &amp; Expenditure'!D2</f>
        <v>0</v>
      </c>
      <c r="F6" s="717"/>
      <c r="P6" s="515"/>
      <c r="Q6" s="515"/>
      <c r="R6" s="515"/>
      <c r="S6" s="515"/>
      <c r="T6" s="515"/>
      <c r="U6" s="515"/>
    </row>
    <row r="7" spans="2:21">
      <c r="B7" t="s">
        <v>116</v>
      </c>
      <c r="E7" s="718" t="str">
        <f>'2a) YE Income &amp; Expenditure'!D3</f>
        <v>Please choose a school</v>
      </c>
      <c r="F7" s="719"/>
      <c r="G7" s="720"/>
      <c r="P7" s="515"/>
      <c r="Q7" s="515"/>
      <c r="R7" s="515"/>
      <c r="S7" s="515"/>
      <c r="T7" s="515"/>
      <c r="U7" s="515"/>
    </row>
    <row r="8" spans="2:21">
      <c r="B8" t="s">
        <v>254</v>
      </c>
      <c r="E8" s="717">
        <f>'2a) YE Income &amp; Expenditure'!D5</f>
        <v>0</v>
      </c>
      <c r="F8" s="717"/>
      <c r="P8" s="515"/>
      <c r="Q8" s="515"/>
      <c r="R8" s="515"/>
      <c r="S8" s="515"/>
      <c r="T8" s="515"/>
      <c r="U8" s="515"/>
    </row>
    <row r="9" spans="2:21">
      <c r="B9" t="s">
        <v>118</v>
      </c>
      <c r="E9" s="721" t="str">
        <f>'1) Instructions'!D10</f>
        <v>Q4 - Year End</v>
      </c>
      <c r="F9" s="721"/>
      <c r="G9" s="521" t="str" cm="1">
        <f t="array" ref="G9:I9">'1) Instructions'!I8:K8</f>
        <v>2024-25</v>
      </c>
      <c r="H9">
        <v>0</v>
      </c>
      <c r="I9">
        <v>0</v>
      </c>
      <c r="J9" s="3"/>
      <c r="K9" s="522"/>
      <c r="L9" s="522"/>
      <c r="M9" s="522"/>
      <c r="N9" s="522"/>
      <c r="P9" s="515"/>
      <c r="Q9" s="515"/>
      <c r="R9" s="515"/>
      <c r="S9" s="515"/>
      <c r="T9" s="515"/>
      <c r="U9" s="515"/>
    </row>
    <row r="10" spans="2:21">
      <c r="P10" s="515"/>
      <c r="Q10" s="515"/>
      <c r="R10" s="515"/>
      <c r="S10" s="515"/>
      <c r="T10" s="515"/>
      <c r="U10" s="515"/>
    </row>
    <row r="11" spans="2:21">
      <c r="B11" s="722" t="s">
        <v>731</v>
      </c>
      <c r="C11" s="723"/>
      <c r="D11" s="724"/>
      <c r="G11" s="8" t="s">
        <v>3</v>
      </c>
      <c r="P11" s="515"/>
      <c r="Q11" s="515"/>
      <c r="R11" s="515"/>
      <c r="S11" s="515"/>
      <c r="T11" s="515"/>
      <c r="U11" s="515"/>
    </row>
    <row r="12" spans="2:21" ht="15.6">
      <c r="B12" s="725" t="s">
        <v>722</v>
      </c>
      <c r="C12" s="726"/>
      <c r="D12" s="726"/>
      <c r="E12" s="726"/>
      <c r="F12" s="727"/>
      <c r="G12" s="523"/>
      <c r="H12" s="524" t="str">
        <f>IF(G12&lt;0,"please enter VAT on expenditure as a positive figure","")</f>
        <v/>
      </c>
      <c r="P12" s="515"/>
      <c r="Q12" s="515"/>
      <c r="R12" s="515"/>
      <c r="S12" s="515"/>
      <c r="T12" s="515"/>
      <c r="U12" s="515"/>
    </row>
    <row r="13" spans="2:21" ht="15.6">
      <c r="B13" s="725" t="s">
        <v>723</v>
      </c>
      <c r="C13" s="726"/>
      <c r="D13" s="726"/>
      <c r="E13" s="726"/>
      <c r="F13" s="727"/>
      <c r="G13" s="523"/>
      <c r="H13" s="524" t="str">
        <f>IF(G13&gt;0,"please enter VAT on income received as a negative figure","")</f>
        <v/>
      </c>
      <c r="P13" s="515"/>
      <c r="Q13" s="515"/>
      <c r="R13" s="515"/>
      <c r="S13" s="515"/>
      <c r="T13" s="515"/>
      <c r="U13" s="515"/>
    </row>
    <row r="14" spans="2:21">
      <c r="B14" s="728" t="s">
        <v>732</v>
      </c>
      <c r="C14" s="729"/>
      <c r="D14" s="729"/>
      <c r="E14" s="729"/>
      <c r="F14" s="729"/>
      <c r="G14" s="525">
        <f>G13+G12</f>
        <v>0</v>
      </c>
      <c r="P14" s="515"/>
      <c r="Q14" s="515"/>
      <c r="R14" s="515"/>
      <c r="S14" s="515"/>
      <c r="T14" s="515"/>
      <c r="U14" s="515"/>
    </row>
    <row r="15" spans="2:21">
      <c r="P15" s="515"/>
      <c r="Q15" s="515"/>
      <c r="R15" s="515"/>
      <c r="S15" s="515"/>
      <c r="T15" s="515"/>
      <c r="U15" s="515"/>
    </row>
    <row r="16" spans="2:21" ht="30" customHeight="1">
      <c r="B16" s="730" t="s">
        <v>724</v>
      </c>
      <c r="C16" s="723"/>
      <c r="D16" s="724"/>
    </row>
    <row r="17" spans="2:8" ht="28.8">
      <c r="B17" s="722" t="s">
        <v>221</v>
      </c>
      <c r="C17" s="723"/>
      <c r="D17" s="724"/>
      <c r="E17" s="526" t="s">
        <v>725</v>
      </c>
      <c r="F17" s="526" t="s">
        <v>726</v>
      </c>
      <c r="G17" s="526" t="s">
        <v>727</v>
      </c>
    </row>
    <row r="18" spans="2:8" ht="15.6">
      <c r="B18" s="711">
        <v>45383</v>
      </c>
      <c r="C18" s="712"/>
      <c r="D18" s="713"/>
      <c r="E18" s="527" t="str" cm="1">
        <f t="array" ref="E18">IFERROR(_xlfn.XLOOKUP($E$8,'Schools Quarterly VAT Total'!$B$5:$B$92,_xlfn.XLOOKUP(B18,'Schools Quarterly VAT Total'!$B$5:$S$5,'Schools Quarterly VAT Total'!$B$5:$S$92,0)),"")</f>
        <v/>
      </c>
      <c r="F18" s="523"/>
      <c r="G18" s="528" t="str">
        <f>IFERROR(E18-F18,"")</f>
        <v/>
      </c>
    </row>
    <row r="19" spans="2:8" ht="15.6">
      <c r="B19" s="711">
        <v>45413</v>
      </c>
      <c r="C19" s="712"/>
      <c r="D19" s="713"/>
      <c r="E19" s="527" t="str" cm="1">
        <f t="array" ref="E19">IFERROR(_xlfn.XLOOKUP($E$8,'Schools Quarterly VAT Total'!$B$5:$B$92,_xlfn.XLOOKUP(B19,'Schools Quarterly VAT Total'!$B$5:$S$5,'Schools Quarterly VAT Total'!$B$5:$S$92,0)),"")</f>
        <v/>
      </c>
      <c r="F19" s="523"/>
      <c r="G19" s="528" t="str">
        <f t="shared" ref="G19:G28" si="0">IFERROR(E19-F19,"")</f>
        <v/>
      </c>
    </row>
    <row r="20" spans="2:8" ht="15.6">
      <c r="B20" s="711">
        <v>45444</v>
      </c>
      <c r="C20" s="712"/>
      <c r="D20" s="713"/>
      <c r="E20" s="527" t="str" cm="1">
        <f t="array" ref="E20">IFERROR(_xlfn.XLOOKUP($E$8,'Schools Quarterly VAT Total'!$B$5:$B$92,_xlfn.XLOOKUP(B20,'Schools Quarterly VAT Total'!$B$5:$S$5,'Schools Quarterly VAT Total'!$B$5:$S$92,0)),"")</f>
        <v/>
      </c>
      <c r="F20" s="523"/>
      <c r="G20" s="528" t="str">
        <f t="shared" si="0"/>
        <v/>
      </c>
    </row>
    <row r="21" spans="2:8" ht="15.6">
      <c r="B21" s="711">
        <v>45474</v>
      </c>
      <c r="C21" s="712"/>
      <c r="D21" s="713"/>
      <c r="E21" s="527" t="str" cm="1">
        <f t="array" ref="E21">IFERROR(_xlfn.XLOOKUP($E$8,'Schools Quarterly VAT Total'!$B$5:$B$92,_xlfn.XLOOKUP(B21,'Schools Quarterly VAT Total'!$B$5:$S$5,'Schools Quarterly VAT Total'!$B$5:$S$92,0)),"")</f>
        <v/>
      </c>
      <c r="F21" s="523"/>
      <c r="G21" s="528" t="str">
        <f t="shared" si="0"/>
        <v/>
      </c>
    </row>
    <row r="22" spans="2:8" ht="15.6">
      <c r="B22" s="711">
        <v>45505</v>
      </c>
      <c r="C22" s="712"/>
      <c r="D22" s="713"/>
      <c r="E22" s="527" t="str" cm="1">
        <f t="array" ref="E22">IFERROR(_xlfn.XLOOKUP($E$8,'Schools Quarterly VAT Total'!$B$5:$B$92,_xlfn.XLOOKUP(B22,'Schools Quarterly VAT Total'!$B$5:$S$5,'Schools Quarterly VAT Total'!$B$5:$S$92,0)),"")</f>
        <v/>
      </c>
      <c r="F22" s="523"/>
      <c r="G22" s="528" t="str">
        <f t="shared" si="0"/>
        <v/>
      </c>
    </row>
    <row r="23" spans="2:8" ht="15.6">
      <c r="B23" s="711">
        <v>45536</v>
      </c>
      <c r="C23" s="712"/>
      <c r="D23" s="713"/>
      <c r="E23" s="527" t="str" cm="1">
        <f t="array" ref="E23">IFERROR(_xlfn.XLOOKUP($E$8,'Schools Quarterly VAT Total'!$B$5:$B$92,_xlfn.XLOOKUP(B23,'Schools Quarterly VAT Total'!$B$5:$S$5,'Schools Quarterly VAT Total'!$B$5:$S$92,0)),"")</f>
        <v/>
      </c>
      <c r="F23" s="523"/>
      <c r="G23" s="528" t="str">
        <f t="shared" si="0"/>
        <v/>
      </c>
    </row>
    <row r="24" spans="2:8" ht="15.6">
      <c r="B24" s="711">
        <v>45566</v>
      </c>
      <c r="C24" s="712"/>
      <c r="D24" s="713"/>
      <c r="E24" s="527" t="str" cm="1">
        <f t="array" ref="E24">IFERROR(_xlfn.XLOOKUP($E$8,'Schools Quarterly VAT Total'!$B$5:$B$92,_xlfn.XLOOKUP(B24,'Schools Quarterly VAT Total'!$B$5:$S$5,'Schools Quarterly VAT Total'!$B$5:$S$92,0)),"")</f>
        <v/>
      </c>
      <c r="F24" s="523"/>
      <c r="G24" s="528" t="str">
        <f t="shared" si="0"/>
        <v/>
      </c>
    </row>
    <row r="25" spans="2:8" ht="15.6">
      <c r="B25" s="711">
        <v>45597</v>
      </c>
      <c r="C25" s="712"/>
      <c r="D25" s="713"/>
      <c r="E25" s="527" t="str" cm="1">
        <f t="array" ref="E25">IFERROR(_xlfn.XLOOKUP($E$8,'Schools Quarterly VAT Total'!$B$5:$B$92,_xlfn.XLOOKUP(B25,'Schools Quarterly VAT Total'!$B$5:$S$5,'Schools Quarterly VAT Total'!$B$5:$S$92,0)),"")</f>
        <v/>
      </c>
      <c r="F25" s="523"/>
      <c r="G25" s="528" t="str">
        <f t="shared" si="0"/>
        <v/>
      </c>
    </row>
    <row r="26" spans="2:8" ht="15.6">
      <c r="B26" s="711">
        <v>45627</v>
      </c>
      <c r="C26" s="712"/>
      <c r="D26" s="713"/>
      <c r="E26" s="527" t="str" cm="1">
        <f t="array" ref="E26">IFERROR(_xlfn.XLOOKUP($E$8,'Schools Quarterly VAT Total'!$B$5:$B$92,_xlfn.XLOOKUP(B26,'Schools Quarterly VAT Total'!$B$5:$S$5,'Schools Quarterly VAT Total'!$B$5:$S$92,0)),"")</f>
        <v/>
      </c>
      <c r="F26" s="523"/>
      <c r="G26" s="528" t="str">
        <f t="shared" si="0"/>
        <v/>
      </c>
    </row>
    <row r="27" spans="2:8" ht="15.6">
      <c r="B27" s="711">
        <v>45658</v>
      </c>
      <c r="C27" s="712"/>
      <c r="D27" s="713"/>
      <c r="E27" s="527" t="str" cm="1">
        <f t="array" ref="E27">IFERROR(_xlfn.XLOOKUP($E$8,'Schools Quarterly VAT Total'!$B$5:$B$92,_xlfn.XLOOKUP(B27,'Schools Quarterly VAT Total'!$B$5:$S$5,'Schools Quarterly VAT Total'!$B$5:$S$92,0)),"")</f>
        <v/>
      </c>
      <c r="F27" s="523"/>
      <c r="G27" s="528" t="str">
        <f t="shared" si="0"/>
        <v/>
      </c>
    </row>
    <row r="28" spans="2:8" ht="15.6">
      <c r="B28" s="711">
        <v>45689</v>
      </c>
      <c r="C28" s="712"/>
      <c r="D28" s="713"/>
      <c r="E28" s="527" t="str" cm="1">
        <f t="array" ref="E28">IFERROR(_xlfn.XLOOKUP($E$8,'Schools Quarterly VAT Total'!$B$5:$B$92,_xlfn.XLOOKUP(B28,'Schools Quarterly VAT Total'!$B$5:$S$5,'Schools Quarterly VAT Total'!$B$5:$S$92,0)),"")</f>
        <v/>
      </c>
      <c r="F28" s="523"/>
      <c r="G28" s="528" t="str">
        <f t="shared" si="0"/>
        <v/>
      </c>
    </row>
    <row r="29" spans="2:8" ht="15.6">
      <c r="B29" s="711">
        <v>45717</v>
      </c>
      <c r="C29" s="712"/>
      <c r="D29" s="713"/>
      <c r="E29" s="523"/>
      <c r="F29" s="523"/>
      <c r="G29" s="528">
        <f>IFERROR(E29-F29,"")</f>
        <v>0</v>
      </c>
    </row>
    <row r="30" spans="2:8">
      <c r="B30" s="714" t="s">
        <v>728</v>
      </c>
      <c r="C30" s="715"/>
      <c r="D30" s="716"/>
      <c r="E30" s="529">
        <f>SUM(E18:E29)</f>
        <v>0</v>
      </c>
      <c r="F30" s="529">
        <f t="shared" ref="F30:G30" si="1">SUM(F18:F29)</f>
        <v>0</v>
      </c>
      <c r="G30" s="529">
        <f t="shared" si="1"/>
        <v>0</v>
      </c>
      <c r="H30" t="s">
        <v>729</v>
      </c>
    </row>
    <row r="32" spans="2:8">
      <c r="B32" s="708" t="s">
        <v>730</v>
      </c>
      <c r="C32" s="709"/>
      <c r="D32" s="710"/>
      <c r="E32" s="525">
        <f>G14-G30</f>
        <v>0</v>
      </c>
    </row>
  </sheetData>
  <sheetProtection algorithmName="SHA-512" hashValue="T8IyQVBRLBoCGpMzeFNVq2yA7UWVD7KiNj09ymT0kaJSYh72c8JjLZ/b0cG82CoQ/e9zBvttOE3pXdYuwgXroQ==" saltValue="gVZE2RXR3JUzwLy7+5Whvw==" spinCount="100000" sheet="1" objects="1" scenarios="1"/>
  <mergeCells count="24">
    <mergeCell ref="B19:D19"/>
    <mergeCell ref="E6:F6"/>
    <mergeCell ref="E7:G7"/>
    <mergeCell ref="E8:F8"/>
    <mergeCell ref="E9:F9"/>
    <mergeCell ref="B11:D11"/>
    <mergeCell ref="B12:F12"/>
    <mergeCell ref="B13:F13"/>
    <mergeCell ref="B14:F14"/>
    <mergeCell ref="B16:D16"/>
    <mergeCell ref="B17:D17"/>
    <mergeCell ref="B18:D18"/>
    <mergeCell ref="B32:D32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</mergeCells>
  <pageMargins left="0.7" right="0.7" top="0.75" bottom="0.75" header="0.3" footer="0.3"/>
  <pageSetup paperSize="9" scale="3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4AD16-AD44-43DF-96C7-A6DB5107F395}">
  <sheetPr>
    <tabColor rgb="FF7030A0"/>
  </sheetPr>
  <dimension ref="A1:U113"/>
  <sheetViews>
    <sheetView topLeftCell="A2" zoomScale="117" workbookViewId="0">
      <pane xSplit="4" ySplit="4" topLeftCell="O6" activePane="bottomRight" state="frozen"/>
      <selection activeCell="T106" sqref="T106"/>
      <selection pane="topRight" activeCell="T106" sqref="T106"/>
      <selection pane="bottomLeft" activeCell="T106" sqref="T106"/>
      <selection pane="bottomRight" activeCell="R11" activeCellId="4" sqref="H11 L11 P11 Q11 R11"/>
    </sheetView>
  </sheetViews>
  <sheetFormatPr defaultRowHeight="14.4"/>
  <cols>
    <col min="1" max="1" width="7.5546875" style="557" bestFit="1" customWidth="1"/>
    <col min="2" max="2" width="7" style="557" bestFit="1" customWidth="1"/>
    <col min="3" max="3" width="8.44140625" style="559" bestFit="1" customWidth="1"/>
    <col min="4" max="4" width="52.6640625" style="557" bestFit="1" customWidth="1"/>
    <col min="5" max="5" width="12.109375" style="557" bestFit="1" customWidth="1"/>
    <col min="6" max="6" width="13.6640625" style="557" bestFit="1" customWidth="1"/>
    <col min="7" max="7" width="13.33203125" style="557" bestFit="1" customWidth="1"/>
    <col min="8" max="8" width="13.6640625" style="500" bestFit="1" customWidth="1"/>
    <col min="9" max="10" width="12.109375" style="500" bestFit="1" customWidth="1"/>
    <col min="11" max="12" width="13.6640625" style="500" bestFit="1" customWidth="1"/>
    <col min="13" max="15" width="12.109375" style="558" bestFit="1" customWidth="1"/>
    <col min="16" max="16" width="13.6640625" bestFit="1" customWidth="1"/>
    <col min="17" max="18" width="12.109375" style="558" bestFit="1" customWidth="1"/>
    <col min="19" max="19" width="7.33203125" bestFit="1" customWidth="1"/>
    <col min="20" max="20" width="13.33203125" bestFit="1" customWidth="1"/>
    <col min="21" max="21" width="13.6640625" style="501" bestFit="1" customWidth="1"/>
  </cols>
  <sheetData>
    <row r="1" spans="1:21">
      <c r="C1" s="557"/>
    </row>
    <row r="2" spans="1:21">
      <c r="A2"/>
      <c r="D2" s="560" t="s">
        <v>733</v>
      </c>
    </row>
    <row r="3" spans="1:21">
      <c r="A3" s="560"/>
      <c r="C3" s="557"/>
    </row>
    <row r="4" spans="1:21">
      <c r="B4" s="557">
        <v>1</v>
      </c>
      <c r="C4" s="559">
        <v>2</v>
      </c>
      <c r="D4" s="557">
        <v>3</v>
      </c>
      <c r="E4" s="557">
        <v>4</v>
      </c>
      <c r="F4" s="559">
        <v>5</v>
      </c>
      <c r="G4" s="557">
        <v>6</v>
      </c>
      <c r="H4" s="557">
        <v>7</v>
      </c>
      <c r="I4" s="559">
        <v>8</v>
      </c>
      <c r="J4" s="557">
        <v>9</v>
      </c>
      <c r="K4" s="557">
        <v>10</v>
      </c>
      <c r="L4" s="557">
        <v>11</v>
      </c>
      <c r="M4" s="557">
        <v>12</v>
      </c>
      <c r="N4" s="557">
        <v>13</v>
      </c>
      <c r="O4" s="557">
        <v>14</v>
      </c>
      <c r="P4" s="557">
        <v>15</v>
      </c>
      <c r="Q4" s="557">
        <v>16</v>
      </c>
      <c r="R4" s="557">
        <v>17</v>
      </c>
      <c r="S4" s="557">
        <v>18</v>
      </c>
      <c r="T4" s="557">
        <v>19</v>
      </c>
      <c r="U4" s="557">
        <v>20</v>
      </c>
    </row>
    <row r="5" spans="1:21" ht="28.8">
      <c r="A5" s="561" t="s">
        <v>734</v>
      </c>
      <c r="B5" s="562" t="s">
        <v>254</v>
      </c>
      <c r="C5" s="561" t="s">
        <v>735</v>
      </c>
      <c r="D5" s="561" t="s">
        <v>278</v>
      </c>
      <c r="E5" s="563">
        <v>45383</v>
      </c>
      <c r="F5" s="563">
        <v>45413</v>
      </c>
      <c r="G5" s="563">
        <v>45444</v>
      </c>
      <c r="H5" s="564" t="s">
        <v>736</v>
      </c>
      <c r="I5" s="563">
        <v>45474</v>
      </c>
      <c r="J5" s="563">
        <v>45505</v>
      </c>
      <c r="K5" s="563">
        <v>45536</v>
      </c>
      <c r="L5" s="564" t="s">
        <v>737</v>
      </c>
      <c r="M5" s="563">
        <v>45566</v>
      </c>
      <c r="N5" s="563">
        <v>45597</v>
      </c>
      <c r="O5" s="563">
        <v>45627</v>
      </c>
      <c r="P5" s="564" t="s">
        <v>738</v>
      </c>
      <c r="Q5" s="563">
        <v>45658</v>
      </c>
      <c r="R5" s="563">
        <v>45689</v>
      </c>
      <c r="S5" s="563">
        <v>45717</v>
      </c>
      <c r="T5" s="564" t="s">
        <v>739</v>
      </c>
      <c r="U5" s="565" t="s">
        <v>740</v>
      </c>
    </row>
    <row r="6" spans="1:21">
      <c r="A6" s="566">
        <v>3520</v>
      </c>
      <c r="B6" s="557">
        <v>11094</v>
      </c>
      <c r="C6" s="567">
        <v>938701</v>
      </c>
      <c r="D6" s="568" t="s">
        <v>539</v>
      </c>
      <c r="E6" s="569">
        <v>0</v>
      </c>
      <c r="F6" s="569">
        <v>31056.26</v>
      </c>
      <c r="G6" s="569">
        <v>5216.91</v>
      </c>
      <c r="H6" s="570">
        <v>36273.17</v>
      </c>
      <c r="I6" s="569">
        <v>0</v>
      </c>
      <c r="J6" s="569">
        <v>13554.16</v>
      </c>
      <c r="K6" s="569">
        <v>10672.14</v>
      </c>
      <c r="L6" s="570">
        <v>24226.3</v>
      </c>
      <c r="M6" s="569">
        <v>6303.53</v>
      </c>
      <c r="N6" s="571">
        <v>15280.98</v>
      </c>
      <c r="O6" s="569">
        <v>6221.7</v>
      </c>
      <c r="P6" s="570">
        <v>27806.21</v>
      </c>
      <c r="Q6" s="569">
        <v>9915.2999999999993</v>
      </c>
      <c r="R6" s="569">
        <v>14832.56</v>
      </c>
      <c r="S6" s="569"/>
      <c r="T6" s="570"/>
      <c r="U6" s="572"/>
    </row>
    <row r="7" spans="1:21">
      <c r="A7" s="566">
        <v>3317</v>
      </c>
      <c r="B7" s="557">
        <v>10042</v>
      </c>
      <c r="C7" s="567">
        <v>938664</v>
      </c>
      <c r="D7" s="568" t="s">
        <v>741</v>
      </c>
      <c r="E7" s="569">
        <v>0</v>
      </c>
      <c r="F7" s="569">
        <v>14146.65</v>
      </c>
      <c r="G7" s="569">
        <v>3584.93</v>
      </c>
      <c r="H7" s="570">
        <v>17731.579999999998</v>
      </c>
      <c r="I7" s="569">
        <v>0</v>
      </c>
      <c r="J7" s="569">
        <v>6353.85</v>
      </c>
      <c r="K7" s="569">
        <v>6855.47</v>
      </c>
      <c r="L7" s="570">
        <v>13209.32</v>
      </c>
      <c r="M7" s="569">
        <v>4577.97</v>
      </c>
      <c r="N7" s="571">
        <v>6027.44</v>
      </c>
      <c r="O7" s="569">
        <v>1329.49</v>
      </c>
      <c r="P7" s="570">
        <v>11934.9</v>
      </c>
      <c r="Q7" s="569">
        <v>4396.8</v>
      </c>
      <c r="R7" s="569">
        <v>2432.4899999999998</v>
      </c>
      <c r="S7" s="569"/>
      <c r="T7" s="570"/>
      <c r="U7" s="572"/>
    </row>
    <row r="8" spans="1:21">
      <c r="A8" s="566">
        <v>3300</v>
      </c>
      <c r="B8" s="557">
        <v>10040</v>
      </c>
      <c r="C8" s="567">
        <v>938652</v>
      </c>
      <c r="D8" s="568" t="s">
        <v>742</v>
      </c>
      <c r="E8" s="569">
        <v>0</v>
      </c>
      <c r="F8" s="569">
        <v>11966.67</v>
      </c>
      <c r="G8" s="569">
        <v>5807.09</v>
      </c>
      <c r="H8" s="570">
        <v>17773.760000000002</v>
      </c>
      <c r="I8" s="569">
        <v>0</v>
      </c>
      <c r="J8" s="569">
        <v>9390.32</v>
      </c>
      <c r="K8" s="569">
        <v>8323.1299999999992</v>
      </c>
      <c r="L8" s="570">
        <v>17713.449999999997</v>
      </c>
      <c r="M8" s="569">
        <v>8779.76</v>
      </c>
      <c r="N8" s="571">
        <v>4270.29</v>
      </c>
      <c r="O8" s="569">
        <v>7980.39</v>
      </c>
      <c r="P8" s="570">
        <v>21030.44</v>
      </c>
      <c r="Q8" s="569">
        <v>7016.88</v>
      </c>
      <c r="R8" s="569">
        <v>10142.540000000001</v>
      </c>
      <c r="S8" s="569"/>
      <c r="T8" s="570"/>
      <c r="U8" s="572"/>
    </row>
    <row r="9" spans="1:21">
      <c r="A9" s="566">
        <v>3500</v>
      </c>
      <c r="B9" s="557">
        <v>10043</v>
      </c>
      <c r="C9" s="567">
        <v>938665</v>
      </c>
      <c r="D9" s="568" t="s">
        <v>743</v>
      </c>
      <c r="E9" s="569">
        <v>0</v>
      </c>
      <c r="F9" s="569">
        <v>13299.63</v>
      </c>
      <c r="G9" s="569">
        <v>9584.69</v>
      </c>
      <c r="H9" s="570">
        <v>22884.32</v>
      </c>
      <c r="I9" s="569">
        <v>0</v>
      </c>
      <c r="J9" s="569">
        <v>4096.7700000000004</v>
      </c>
      <c r="K9" s="569">
        <v>9006.25</v>
      </c>
      <c r="L9" s="570">
        <v>13103.02</v>
      </c>
      <c r="M9" s="569">
        <v>3357.82</v>
      </c>
      <c r="N9" s="571">
        <v>4336.93</v>
      </c>
      <c r="O9" s="569">
        <v>2727.05</v>
      </c>
      <c r="P9" s="570">
        <v>10421.799999999999</v>
      </c>
      <c r="Q9" s="569">
        <v>9193.84</v>
      </c>
      <c r="R9" s="569">
        <v>4032.98</v>
      </c>
      <c r="S9" s="569"/>
      <c r="T9" s="570"/>
      <c r="U9" s="572"/>
    </row>
    <row r="10" spans="1:21">
      <c r="A10" s="566">
        <v>3514</v>
      </c>
      <c r="B10" s="557">
        <v>10117</v>
      </c>
      <c r="C10" s="567">
        <v>938677</v>
      </c>
      <c r="D10" s="568" t="s">
        <v>744</v>
      </c>
      <c r="E10" s="569">
        <v>0</v>
      </c>
      <c r="F10" s="569">
        <v>16911.36</v>
      </c>
      <c r="G10" s="569">
        <v>7391.66</v>
      </c>
      <c r="H10" s="570">
        <v>24303.02</v>
      </c>
      <c r="I10" s="569">
        <v>8419.67</v>
      </c>
      <c r="J10" s="569">
        <v>0</v>
      </c>
      <c r="K10" s="569">
        <v>6335.98</v>
      </c>
      <c r="L10" s="570">
        <v>14755.65</v>
      </c>
      <c r="M10" s="569">
        <v>5125.1400000000003</v>
      </c>
      <c r="N10" s="571">
        <v>5314.1</v>
      </c>
      <c r="O10" s="569">
        <v>6779.48</v>
      </c>
      <c r="P10" s="570">
        <v>17218.72</v>
      </c>
      <c r="Q10" s="569">
        <v>5552.75</v>
      </c>
      <c r="R10" s="569">
        <v>5645.83</v>
      </c>
      <c r="S10" s="569"/>
      <c r="T10" s="570"/>
      <c r="U10" s="572"/>
    </row>
    <row r="11" spans="1:21">
      <c r="A11" s="566">
        <v>2002</v>
      </c>
      <c r="B11" s="557">
        <v>10044</v>
      </c>
      <c r="C11" s="567">
        <v>938605</v>
      </c>
      <c r="D11" s="568" t="s">
        <v>134</v>
      </c>
      <c r="E11" s="569">
        <v>0</v>
      </c>
      <c r="F11" s="569">
        <v>21898.47</v>
      </c>
      <c r="G11" s="569">
        <v>15491.85</v>
      </c>
      <c r="H11" s="570">
        <v>37390.32</v>
      </c>
      <c r="I11" s="569">
        <v>0</v>
      </c>
      <c r="J11" s="569">
        <v>22262.41</v>
      </c>
      <c r="K11" s="569">
        <v>14148.72</v>
      </c>
      <c r="L11" s="570">
        <v>36411.129999999997</v>
      </c>
      <c r="M11" s="569">
        <v>20425.3</v>
      </c>
      <c r="N11" s="571">
        <v>23606.28</v>
      </c>
      <c r="O11" s="569">
        <v>23062.62</v>
      </c>
      <c r="P11" s="570">
        <v>67094.2</v>
      </c>
      <c r="Q11" s="569">
        <v>9263.5300000000007</v>
      </c>
      <c r="R11" s="569">
        <v>13700.53</v>
      </c>
      <c r="S11" s="569"/>
      <c r="T11" s="570"/>
      <c r="U11" s="572"/>
    </row>
    <row r="12" spans="1:21">
      <c r="A12" s="566">
        <v>2079</v>
      </c>
      <c r="B12" s="557">
        <v>10128</v>
      </c>
      <c r="C12" s="567">
        <v>938651</v>
      </c>
      <c r="D12" s="568" t="s">
        <v>135</v>
      </c>
      <c r="E12" s="569">
        <v>3978.34</v>
      </c>
      <c r="F12" s="569">
        <v>8872.7800000000007</v>
      </c>
      <c r="G12" s="569">
        <v>7343.77</v>
      </c>
      <c r="H12" s="570">
        <v>20194.89</v>
      </c>
      <c r="I12" s="569">
        <v>9796.4699999999993</v>
      </c>
      <c r="J12" s="569">
        <v>1134.6400000000001</v>
      </c>
      <c r="K12" s="569">
        <v>10879.11</v>
      </c>
      <c r="L12" s="570">
        <v>21810.22</v>
      </c>
      <c r="M12" s="569">
        <v>9995.49</v>
      </c>
      <c r="N12" s="571">
        <v>5147.3100000000004</v>
      </c>
      <c r="O12" s="569">
        <v>6744.25</v>
      </c>
      <c r="P12" s="570">
        <v>21887.05</v>
      </c>
      <c r="Q12" s="569">
        <v>7184.21</v>
      </c>
      <c r="R12" s="569">
        <v>8192.25</v>
      </c>
      <c r="S12" s="569"/>
      <c r="T12" s="570"/>
      <c r="U12" s="572"/>
    </row>
    <row r="13" spans="1:21">
      <c r="A13" s="566">
        <v>3524</v>
      </c>
      <c r="B13" s="557">
        <v>11278</v>
      </c>
      <c r="C13" s="567">
        <v>938702</v>
      </c>
      <c r="D13" s="568" t="s">
        <v>545</v>
      </c>
      <c r="E13" s="569">
        <v>0</v>
      </c>
      <c r="F13" s="569">
        <v>15516.34</v>
      </c>
      <c r="G13" s="569">
        <v>6698.85</v>
      </c>
      <c r="H13" s="570">
        <v>22215.190000000002</v>
      </c>
      <c r="I13" s="569">
        <v>0</v>
      </c>
      <c r="J13" s="569">
        <v>13461</v>
      </c>
      <c r="K13" s="569">
        <v>6679.72</v>
      </c>
      <c r="L13" s="570">
        <v>20140.72</v>
      </c>
      <c r="M13" s="569">
        <v>3536.15</v>
      </c>
      <c r="N13" s="571">
        <v>4947.46</v>
      </c>
      <c r="O13" s="569">
        <v>3172.55</v>
      </c>
      <c r="P13" s="570">
        <v>11656.16</v>
      </c>
      <c r="Q13" s="569">
        <v>10314.709999999999</v>
      </c>
      <c r="R13" s="569">
        <v>3258.79</v>
      </c>
      <c r="S13" s="569"/>
      <c r="T13" s="570"/>
      <c r="U13" s="572"/>
    </row>
    <row r="14" spans="1:21">
      <c r="A14" s="566">
        <v>2003</v>
      </c>
      <c r="B14" s="557">
        <v>10045</v>
      </c>
      <c r="C14" s="567">
        <v>938606</v>
      </c>
      <c r="D14" s="568" t="s">
        <v>745</v>
      </c>
      <c r="E14" s="569">
        <v>0</v>
      </c>
      <c r="F14" s="569">
        <v>33686.910000000003</v>
      </c>
      <c r="G14" s="569">
        <v>0</v>
      </c>
      <c r="H14" s="570">
        <v>33686.910000000003</v>
      </c>
      <c r="I14" s="569">
        <v>0</v>
      </c>
      <c r="J14" s="569">
        <v>0</v>
      </c>
      <c r="K14" s="569">
        <v>21948.22</v>
      </c>
      <c r="L14" s="570">
        <v>21948.22</v>
      </c>
      <c r="M14" s="569">
        <v>524.4</v>
      </c>
      <c r="N14" s="571">
        <v>1585.8</v>
      </c>
      <c r="O14" s="569">
        <v>0</v>
      </c>
      <c r="P14" s="570">
        <v>2110.1999999999998</v>
      </c>
      <c r="Q14" s="569">
        <v>0</v>
      </c>
      <c r="R14" s="569">
        <v>0</v>
      </c>
      <c r="S14" s="569"/>
      <c r="T14" s="570"/>
      <c r="U14" s="572"/>
    </row>
    <row r="15" spans="1:21">
      <c r="A15" s="566">
        <v>3511</v>
      </c>
      <c r="B15" s="557">
        <v>10115</v>
      </c>
      <c r="C15" s="567">
        <v>938674</v>
      </c>
      <c r="D15" s="568" t="s">
        <v>746</v>
      </c>
      <c r="E15" s="569">
        <v>0</v>
      </c>
      <c r="F15" s="569">
        <v>41304.39</v>
      </c>
      <c r="G15" s="569">
        <v>19116.93</v>
      </c>
      <c r="H15" s="570">
        <v>60421.32</v>
      </c>
      <c r="I15" s="569">
        <v>0</v>
      </c>
      <c r="J15" s="569">
        <v>27332.3</v>
      </c>
      <c r="K15" s="569">
        <v>15178</v>
      </c>
      <c r="L15" s="570">
        <v>42510.3</v>
      </c>
      <c r="M15" s="569">
        <v>6434.24</v>
      </c>
      <c r="N15" s="571">
        <v>25479.279999999999</v>
      </c>
      <c r="O15" s="569">
        <v>10739.14</v>
      </c>
      <c r="P15" s="570">
        <v>42652.659999999996</v>
      </c>
      <c r="Q15" s="569">
        <v>15491.34</v>
      </c>
      <c r="R15" s="569">
        <v>12182.66</v>
      </c>
      <c r="S15" s="569"/>
      <c r="T15" s="570"/>
      <c r="U15" s="572"/>
    </row>
    <row r="16" spans="1:21">
      <c r="A16" s="566">
        <v>2008</v>
      </c>
      <c r="B16" s="557">
        <v>10047</v>
      </c>
      <c r="C16" s="567">
        <v>938608</v>
      </c>
      <c r="D16" s="568" t="s">
        <v>747</v>
      </c>
      <c r="E16" s="569">
        <v>0</v>
      </c>
      <c r="F16" s="569">
        <v>27080.719999999998</v>
      </c>
      <c r="G16" s="569">
        <v>16402.939999999999</v>
      </c>
      <c r="H16" s="570">
        <v>43483.659999999996</v>
      </c>
      <c r="I16" s="569">
        <v>0</v>
      </c>
      <c r="J16" s="569">
        <v>21186.309999999998</v>
      </c>
      <c r="K16" s="569">
        <v>10532.570000000002</v>
      </c>
      <c r="L16" s="570">
        <v>31718.879999999997</v>
      </c>
      <c r="M16" s="569">
        <v>11133.99</v>
      </c>
      <c r="N16" s="571">
        <v>17910.82</v>
      </c>
      <c r="O16" s="569">
        <v>10384.27</v>
      </c>
      <c r="P16" s="570">
        <v>39429.08</v>
      </c>
      <c r="Q16" s="569">
        <v>13591.85</v>
      </c>
      <c r="R16" s="569">
        <v>9493.66</v>
      </c>
      <c r="S16" s="569"/>
      <c r="T16" s="570"/>
      <c r="U16" s="572"/>
    </row>
    <row r="17" spans="1:21">
      <c r="A17" s="566">
        <v>2007</v>
      </c>
      <c r="B17" s="557">
        <v>10046</v>
      </c>
      <c r="C17" s="567">
        <v>938607</v>
      </c>
      <c r="D17" s="568" t="s">
        <v>140</v>
      </c>
      <c r="E17" s="569">
        <v>0</v>
      </c>
      <c r="F17" s="569">
        <v>24163.850000000002</v>
      </c>
      <c r="G17" s="569">
        <v>9054.49</v>
      </c>
      <c r="H17" s="570">
        <v>33218.340000000004</v>
      </c>
      <c r="I17" s="569">
        <v>0</v>
      </c>
      <c r="J17" s="569">
        <v>11854.84</v>
      </c>
      <c r="K17" s="569">
        <v>12974.89</v>
      </c>
      <c r="L17" s="570">
        <v>24829.73</v>
      </c>
      <c r="M17" s="569">
        <v>10947.42</v>
      </c>
      <c r="N17" s="571">
        <v>8742.36</v>
      </c>
      <c r="O17" s="569">
        <v>12438.05</v>
      </c>
      <c r="P17" s="570">
        <v>32127.829999999998</v>
      </c>
      <c r="Q17" s="569">
        <v>8107.96</v>
      </c>
      <c r="R17" s="569">
        <v>5480.84</v>
      </c>
      <c r="S17" s="569"/>
      <c r="T17" s="570"/>
      <c r="U17" s="572"/>
    </row>
    <row r="18" spans="1:21">
      <c r="A18" s="566">
        <v>2009</v>
      </c>
      <c r="B18" s="557">
        <v>10048</v>
      </c>
      <c r="C18" s="567">
        <v>938609</v>
      </c>
      <c r="D18" s="568" t="s">
        <v>748</v>
      </c>
      <c r="E18" s="569">
        <v>0</v>
      </c>
      <c r="F18" s="569">
        <v>30359.920000000002</v>
      </c>
      <c r="G18" s="569">
        <v>6816.55</v>
      </c>
      <c r="H18" s="570">
        <v>37176.47</v>
      </c>
      <c r="I18" s="569">
        <v>5180.26</v>
      </c>
      <c r="J18" s="569">
        <v>0</v>
      </c>
      <c r="K18" s="569">
        <v>18674.55</v>
      </c>
      <c r="L18" s="570">
        <v>23854.809999999998</v>
      </c>
      <c r="M18" s="569">
        <v>10273.209999999999</v>
      </c>
      <c r="N18" s="571">
        <v>11436.63</v>
      </c>
      <c r="O18" s="569">
        <v>4852.58</v>
      </c>
      <c r="P18" s="570">
        <v>26562.42</v>
      </c>
      <c r="Q18" s="569">
        <v>11405.11</v>
      </c>
      <c r="R18" s="569">
        <v>0</v>
      </c>
      <c r="S18" s="569"/>
      <c r="T18" s="570"/>
      <c r="U18" s="572"/>
    </row>
    <row r="19" spans="1:21">
      <c r="A19" s="566">
        <v>2067</v>
      </c>
      <c r="B19" s="557">
        <v>10118</v>
      </c>
      <c r="C19" s="567">
        <v>938642</v>
      </c>
      <c r="D19" s="568" t="s">
        <v>749</v>
      </c>
      <c r="E19" s="569">
        <v>16521.79</v>
      </c>
      <c r="F19" s="569">
        <v>0</v>
      </c>
      <c r="G19" s="569">
        <v>9726.8799999999992</v>
      </c>
      <c r="H19" s="570">
        <v>26248.67</v>
      </c>
      <c r="I19" s="569">
        <v>0</v>
      </c>
      <c r="J19" s="569">
        <v>7131.91</v>
      </c>
      <c r="K19" s="569">
        <v>13635.64</v>
      </c>
      <c r="L19" s="570">
        <v>20767.55</v>
      </c>
      <c r="M19" s="569">
        <v>2422.5099999999998</v>
      </c>
      <c r="N19" s="571">
        <v>4865.49</v>
      </c>
      <c r="O19" s="569">
        <v>8121.33</v>
      </c>
      <c r="P19" s="570">
        <v>15409.33</v>
      </c>
      <c r="Q19" s="569">
        <v>1642.17</v>
      </c>
      <c r="R19" s="569">
        <v>6468.23</v>
      </c>
      <c r="S19" s="569"/>
      <c r="T19" s="570"/>
      <c r="U19" s="572"/>
    </row>
    <row r="20" spans="1:21">
      <c r="A20" s="566">
        <v>3302</v>
      </c>
      <c r="B20" s="557">
        <v>10050</v>
      </c>
      <c r="C20" s="567">
        <v>938653</v>
      </c>
      <c r="D20" s="568" t="s">
        <v>750</v>
      </c>
      <c r="E20" s="569">
        <v>0</v>
      </c>
      <c r="F20" s="569">
        <v>9846.07</v>
      </c>
      <c r="G20" s="569">
        <v>1025.23</v>
      </c>
      <c r="H20" s="570">
        <v>10871.3</v>
      </c>
      <c r="I20" s="569">
        <v>3335.87</v>
      </c>
      <c r="J20" s="569">
        <v>0</v>
      </c>
      <c r="K20" s="569">
        <v>2992.95</v>
      </c>
      <c r="L20" s="570">
        <v>6328.82</v>
      </c>
      <c r="M20" s="569">
        <v>4064.03</v>
      </c>
      <c r="N20" s="571">
        <v>2303.38</v>
      </c>
      <c r="O20" s="569">
        <v>1405.99</v>
      </c>
      <c r="P20" s="570">
        <v>7773.4</v>
      </c>
      <c r="Q20" s="569">
        <v>5194.42</v>
      </c>
      <c r="R20" s="569">
        <v>1559.38</v>
      </c>
      <c r="S20" s="569"/>
      <c r="T20" s="570"/>
      <c r="U20" s="572"/>
    </row>
    <row r="21" spans="1:21">
      <c r="A21" s="566">
        <v>2011</v>
      </c>
      <c r="B21" s="557">
        <v>10051</v>
      </c>
      <c r="C21" s="567">
        <v>938611</v>
      </c>
      <c r="D21" s="568" t="s">
        <v>751</v>
      </c>
      <c r="E21" s="569">
        <v>0</v>
      </c>
      <c r="F21" s="569">
        <v>10075.41</v>
      </c>
      <c r="G21" s="569">
        <v>7806.99</v>
      </c>
      <c r="H21" s="570">
        <v>17882.400000000001</v>
      </c>
      <c r="I21" s="569">
        <v>2053.87</v>
      </c>
      <c r="J21" s="569">
        <v>0</v>
      </c>
      <c r="K21" s="569">
        <v>6439.3</v>
      </c>
      <c r="L21" s="570">
        <v>8493.17</v>
      </c>
      <c r="M21" s="569">
        <v>2411.13</v>
      </c>
      <c r="N21" s="571">
        <v>5158.51</v>
      </c>
      <c r="O21" s="569">
        <v>1918.98</v>
      </c>
      <c r="P21" s="570">
        <v>9488.6200000000008</v>
      </c>
      <c r="Q21" s="569">
        <v>7622.08</v>
      </c>
      <c r="R21" s="569">
        <v>2944.91</v>
      </c>
      <c r="S21" s="569"/>
      <c r="T21" s="570"/>
      <c r="U21" s="572"/>
    </row>
    <row r="22" spans="1:21">
      <c r="A22" s="566">
        <v>2014</v>
      </c>
      <c r="B22" s="557">
        <v>10054</v>
      </c>
      <c r="C22" s="567">
        <v>938612</v>
      </c>
      <c r="D22" s="568" t="s">
        <v>145</v>
      </c>
      <c r="E22" s="569">
        <v>0</v>
      </c>
      <c r="F22" s="569">
        <v>28582.46</v>
      </c>
      <c r="G22" s="569">
        <v>27707.74</v>
      </c>
      <c r="H22" s="570">
        <v>56290.2</v>
      </c>
      <c r="I22" s="569">
        <v>0</v>
      </c>
      <c r="J22" s="569">
        <v>30698.560000000001</v>
      </c>
      <c r="K22" s="569">
        <v>31510.02</v>
      </c>
      <c r="L22" s="570">
        <v>62208.58</v>
      </c>
      <c r="M22" s="569">
        <v>27998.870000000003</v>
      </c>
      <c r="N22" s="571">
        <v>18615.47</v>
      </c>
      <c r="O22" s="569">
        <v>13868.32</v>
      </c>
      <c r="P22" s="570">
        <v>60482.66</v>
      </c>
      <c r="Q22" s="569">
        <v>25563.7</v>
      </c>
      <c r="R22" s="569">
        <v>15971.02</v>
      </c>
      <c r="S22" s="569"/>
      <c r="T22" s="570"/>
      <c r="U22" s="572"/>
    </row>
    <row r="23" spans="1:21">
      <c r="A23" s="566">
        <v>2015</v>
      </c>
      <c r="B23" s="557">
        <v>10055</v>
      </c>
      <c r="C23" s="567">
        <v>938613</v>
      </c>
      <c r="D23" s="568" t="s">
        <v>752</v>
      </c>
      <c r="E23" s="569">
        <v>0</v>
      </c>
      <c r="F23" s="569">
        <v>28675.550000000003</v>
      </c>
      <c r="G23" s="569">
        <v>12851.24</v>
      </c>
      <c r="H23" s="570">
        <v>41526.79</v>
      </c>
      <c r="I23" s="569">
        <v>0</v>
      </c>
      <c r="J23" s="569">
        <v>14660.16</v>
      </c>
      <c r="K23" s="569">
        <v>9989.9699999999993</v>
      </c>
      <c r="L23" s="570">
        <v>24650.129999999997</v>
      </c>
      <c r="M23" s="569">
        <v>7393.83</v>
      </c>
      <c r="N23" s="571">
        <v>5060.62</v>
      </c>
      <c r="O23" s="569">
        <v>6537.13</v>
      </c>
      <c r="P23" s="570">
        <v>18991.580000000002</v>
      </c>
      <c r="Q23" s="569">
        <v>13108.57</v>
      </c>
      <c r="R23" s="569">
        <v>50.98</v>
      </c>
      <c r="S23" s="569"/>
      <c r="T23" s="570"/>
      <c r="U23" s="572"/>
    </row>
    <row r="24" spans="1:21">
      <c r="A24" s="566">
        <v>2016</v>
      </c>
      <c r="B24" s="557">
        <v>10056</v>
      </c>
      <c r="C24" s="567">
        <v>938614</v>
      </c>
      <c r="D24" s="568" t="s">
        <v>147</v>
      </c>
      <c r="E24" s="569">
        <v>0</v>
      </c>
      <c r="F24" s="569">
        <v>15462.67</v>
      </c>
      <c r="G24" s="569">
        <v>4891.2700000000004</v>
      </c>
      <c r="H24" s="570">
        <v>20353.940000000002</v>
      </c>
      <c r="I24" s="569">
        <v>0</v>
      </c>
      <c r="J24" s="569">
        <v>4358.4699999999993</v>
      </c>
      <c r="K24" s="569">
        <v>6827.2</v>
      </c>
      <c r="L24" s="570">
        <v>11185.669999999998</v>
      </c>
      <c r="M24" s="569">
        <v>4449.33</v>
      </c>
      <c r="N24" s="571">
        <v>1246.73</v>
      </c>
      <c r="O24" s="569">
        <v>4860.1400000000003</v>
      </c>
      <c r="P24" s="570">
        <v>10556.2</v>
      </c>
      <c r="Q24" s="569">
        <v>6906.3899999999994</v>
      </c>
      <c r="R24" s="569">
        <v>4811.7</v>
      </c>
      <c r="S24" s="569"/>
      <c r="T24" s="570"/>
      <c r="U24" s="572"/>
    </row>
    <row r="25" spans="1:21">
      <c r="A25" s="566">
        <v>2017</v>
      </c>
      <c r="B25" s="557">
        <v>10057</v>
      </c>
      <c r="C25" s="567">
        <v>938615</v>
      </c>
      <c r="D25" s="568" t="s">
        <v>753</v>
      </c>
      <c r="E25" s="569">
        <v>33102.53</v>
      </c>
      <c r="F25" s="569">
        <v>0</v>
      </c>
      <c r="G25" s="569">
        <v>9333.5499999999993</v>
      </c>
      <c r="H25" s="570">
        <v>42436.08</v>
      </c>
      <c r="I25" s="569">
        <v>18468.169999999998</v>
      </c>
      <c r="J25" s="569">
        <v>0</v>
      </c>
      <c r="K25" s="569">
        <v>11961.390000000001</v>
      </c>
      <c r="L25" s="570">
        <v>30429.559999999998</v>
      </c>
      <c r="M25" s="569">
        <v>18459.59</v>
      </c>
      <c r="N25" s="571">
        <v>12248.230000000001</v>
      </c>
      <c r="O25" s="569">
        <v>11024.320000000002</v>
      </c>
      <c r="P25" s="570">
        <v>41732.14</v>
      </c>
      <c r="Q25" s="569">
        <v>11857.52</v>
      </c>
      <c r="R25" s="569">
        <v>10571.869999999999</v>
      </c>
      <c r="S25" s="569"/>
      <c r="T25" s="570"/>
      <c r="U25" s="572"/>
    </row>
    <row r="26" spans="1:21">
      <c r="A26" s="566">
        <v>2073</v>
      </c>
      <c r="B26" s="557">
        <v>10083</v>
      </c>
      <c r="C26" s="567">
        <v>938646</v>
      </c>
      <c r="D26" s="568" t="s">
        <v>754</v>
      </c>
      <c r="E26" s="569">
        <v>0</v>
      </c>
      <c r="F26" s="569">
        <v>37205.409999999996</v>
      </c>
      <c r="G26" s="569">
        <v>12542.58</v>
      </c>
      <c r="H26" s="570">
        <v>49747.99</v>
      </c>
      <c r="I26" s="569">
        <v>23305.61</v>
      </c>
      <c r="J26" s="569">
        <v>0</v>
      </c>
      <c r="K26" s="569">
        <v>12559.789999999999</v>
      </c>
      <c r="L26" s="570">
        <v>35865.4</v>
      </c>
      <c r="M26" s="569">
        <v>13998.83</v>
      </c>
      <c r="N26" s="571">
        <v>13614.23</v>
      </c>
      <c r="O26" s="569">
        <v>11628.48</v>
      </c>
      <c r="P26" s="570">
        <v>39241.539999999994</v>
      </c>
      <c r="Q26" s="569">
        <v>12575.390000000001</v>
      </c>
      <c r="R26" s="569">
        <v>3292.2799999999997</v>
      </c>
      <c r="S26" s="569"/>
      <c r="T26" s="570"/>
      <c r="U26" s="572"/>
    </row>
    <row r="27" spans="1:21">
      <c r="A27" s="566">
        <v>2019</v>
      </c>
      <c r="B27" s="557">
        <v>10059</v>
      </c>
      <c r="C27" s="567">
        <v>938617</v>
      </c>
      <c r="D27" s="568" t="s">
        <v>150</v>
      </c>
      <c r="E27" s="569">
        <v>0</v>
      </c>
      <c r="F27" s="569">
        <v>11738.08</v>
      </c>
      <c r="G27" s="569">
        <v>922.17</v>
      </c>
      <c r="H27" s="570">
        <v>12660.25</v>
      </c>
      <c r="I27" s="569">
        <v>0</v>
      </c>
      <c r="J27" s="569">
        <v>6456.4800000000014</v>
      </c>
      <c r="K27" s="569">
        <v>4909.12</v>
      </c>
      <c r="L27" s="570">
        <v>11365.600000000002</v>
      </c>
      <c r="M27" s="569">
        <v>4212.1900000000005</v>
      </c>
      <c r="N27" s="571">
        <v>5367.0199999999995</v>
      </c>
      <c r="O27" s="569">
        <v>2142.4599999999996</v>
      </c>
      <c r="P27" s="570">
        <v>11721.669999999998</v>
      </c>
      <c r="Q27" s="569">
        <v>3975.21</v>
      </c>
      <c r="R27" s="569">
        <v>4340.8900000000003</v>
      </c>
      <c r="S27" s="569"/>
      <c r="T27" s="570"/>
      <c r="U27" s="572"/>
    </row>
    <row r="28" spans="1:21">
      <c r="A28" s="566">
        <v>2021</v>
      </c>
      <c r="B28" s="557">
        <v>10061</v>
      </c>
      <c r="C28" s="567">
        <v>938618</v>
      </c>
      <c r="D28" s="568" t="s">
        <v>151</v>
      </c>
      <c r="E28" s="569">
        <v>0</v>
      </c>
      <c r="F28" s="569">
        <v>0</v>
      </c>
      <c r="G28" s="569">
        <v>36151.49</v>
      </c>
      <c r="H28" s="570">
        <v>36151.49</v>
      </c>
      <c r="I28" s="569">
        <v>0</v>
      </c>
      <c r="J28" s="569">
        <v>0</v>
      </c>
      <c r="K28" s="569">
        <v>0</v>
      </c>
      <c r="L28" s="570">
        <v>0</v>
      </c>
      <c r="M28" s="569">
        <v>0</v>
      </c>
      <c r="N28" s="571">
        <v>0</v>
      </c>
      <c r="O28" s="569">
        <v>0</v>
      </c>
      <c r="P28" s="570">
        <v>0</v>
      </c>
      <c r="Q28" s="569">
        <v>0</v>
      </c>
      <c r="R28" s="569">
        <v>0</v>
      </c>
      <c r="S28" s="569"/>
      <c r="T28" s="570"/>
      <c r="U28" s="572"/>
    </row>
    <row r="29" spans="1:21">
      <c r="A29" s="566">
        <v>2023</v>
      </c>
      <c r="B29" s="557">
        <v>10063</v>
      </c>
      <c r="C29" s="567">
        <v>938620</v>
      </c>
      <c r="D29" s="568" t="s">
        <v>560</v>
      </c>
      <c r="E29" s="569">
        <v>0</v>
      </c>
      <c r="F29" s="569">
        <v>23157.140000000003</v>
      </c>
      <c r="G29" s="569">
        <v>13272.7</v>
      </c>
      <c r="H29" s="570">
        <v>36429.840000000004</v>
      </c>
      <c r="I29" s="569">
        <v>0</v>
      </c>
      <c r="J29" s="569">
        <v>18271.53</v>
      </c>
      <c r="K29" s="569">
        <v>8839.85</v>
      </c>
      <c r="L29" s="570">
        <v>27111.379999999997</v>
      </c>
      <c r="M29" s="569">
        <v>19260.84</v>
      </c>
      <c r="N29" s="571">
        <v>8753.83</v>
      </c>
      <c r="O29" s="569">
        <v>11504.55</v>
      </c>
      <c r="P29" s="570">
        <v>39519.22</v>
      </c>
      <c r="Q29" s="569">
        <v>10013.879999999999</v>
      </c>
      <c r="R29" s="569">
        <v>15008.51</v>
      </c>
      <c r="S29" s="569"/>
      <c r="T29" s="570"/>
      <c r="U29" s="572"/>
    </row>
    <row r="30" spans="1:21">
      <c r="A30" s="566">
        <v>2024</v>
      </c>
      <c r="B30" s="557">
        <v>10064</v>
      </c>
      <c r="C30" s="567">
        <v>938621</v>
      </c>
      <c r="D30" s="568" t="s">
        <v>755</v>
      </c>
      <c r="E30" s="569">
        <v>0</v>
      </c>
      <c r="F30" s="569">
        <v>22815.25</v>
      </c>
      <c r="G30" s="569">
        <v>7151.17</v>
      </c>
      <c r="H30" s="570">
        <v>29966.42</v>
      </c>
      <c r="I30" s="569">
        <v>11791.52</v>
      </c>
      <c r="J30" s="569">
        <v>0</v>
      </c>
      <c r="K30" s="569">
        <v>6243.86</v>
      </c>
      <c r="L30" s="570">
        <v>18035.38</v>
      </c>
      <c r="M30" s="569"/>
      <c r="N30" s="571">
        <v>8873.9599999999991</v>
      </c>
      <c r="O30" s="569">
        <v>9193.4500000000007</v>
      </c>
      <c r="P30" s="570">
        <v>18067.41</v>
      </c>
      <c r="Q30" s="569">
        <v>7351.11</v>
      </c>
      <c r="R30" s="569">
        <v>5920.08</v>
      </c>
      <c r="S30" s="569"/>
      <c r="T30" s="570"/>
      <c r="U30" s="572"/>
    </row>
    <row r="31" spans="1:21">
      <c r="A31" s="566">
        <v>2025</v>
      </c>
      <c r="B31" s="557">
        <v>10065</v>
      </c>
      <c r="C31" s="567">
        <v>938622</v>
      </c>
      <c r="D31" s="568" t="s">
        <v>756</v>
      </c>
      <c r="E31" s="569">
        <v>0</v>
      </c>
      <c r="F31" s="569">
        <v>16109.51</v>
      </c>
      <c r="G31" s="569">
        <v>1275.24</v>
      </c>
      <c r="H31" s="570">
        <v>17384.75</v>
      </c>
      <c r="I31" s="569">
        <v>0</v>
      </c>
      <c r="J31" s="569">
        <v>5903.82</v>
      </c>
      <c r="K31" s="569">
        <v>6916.03</v>
      </c>
      <c r="L31" s="570">
        <v>12819.849999999999</v>
      </c>
      <c r="M31" s="569">
        <v>8109.26</v>
      </c>
      <c r="N31" s="571">
        <v>4574.16</v>
      </c>
      <c r="O31" s="569">
        <v>1594.5</v>
      </c>
      <c r="P31" s="570">
        <v>14277.92</v>
      </c>
      <c r="Q31" s="569">
        <v>5506.55</v>
      </c>
      <c r="R31" s="569">
        <v>5619.09</v>
      </c>
      <c r="S31" s="569"/>
      <c r="T31" s="570"/>
      <c r="U31" s="572"/>
    </row>
    <row r="32" spans="1:21">
      <c r="A32" s="566">
        <v>2026</v>
      </c>
      <c r="B32" s="557">
        <v>10066</v>
      </c>
      <c r="C32" s="567">
        <v>938623</v>
      </c>
      <c r="D32" s="568" t="s">
        <v>155</v>
      </c>
      <c r="E32" s="569">
        <v>0</v>
      </c>
      <c r="F32" s="569">
        <v>20622.690000000002</v>
      </c>
      <c r="G32" s="569">
        <v>8111.04</v>
      </c>
      <c r="H32" s="570">
        <v>28733.730000000003</v>
      </c>
      <c r="I32" s="569">
        <v>0</v>
      </c>
      <c r="J32" s="569">
        <v>13773.73</v>
      </c>
      <c r="K32" s="569">
        <v>10245.99</v>
      </c>
      <c r="L32" s="570">
        <v>24019.72</v>
      </c>
      <c r="M32" s="569">
        <v>9590.2100000000009</v>
      </c>
      <c r="N32" s="571">
        <v>8629.99</v>
      </c>
      <c r="O32" s="569">
        <v>10189.769999999999</v>
      </c>
      <c r="P32" s="570">
        <v>28409.97</v>
      </c>
      <c r="Q32" s="569">
        <v>9991.92</v>
      </c>
      <c r="R32" s="569">
        <v>8824.2000000000007</v>
      </c>
      <c r="S32" s="569"/>
      <c r="T32" s="570"/>
      <c r="U32" s="572"/>
    </row>
    <row r="33" spans="1:21">
      <c r="A33" s="566">
        <v>2028</v>
      </c>
      <c r="B33" s="557">
        <v>10068</v>
      </c>
      <c r="C33" s="567">
        <v>938625</v>
      </c>
      <c r="D33" s="568" t="s">
        <v>156</v>
      </c>
      <c r="E33" s="569">
        <v>29678.32</v>
      </c>
      <c r="F33" s="569">
        <v>19943.05</v>
      </c>
      <c r="G33" s="569">
        <v>8892.7900000000009</v>
      </c>
      <c r="H33" s="570">
        <v>58514.159999999996</v>
      </c>
      <c r="I33" s="569">
        <v>11179.08</v>
      </c>
      <c r="J33" s="569">
        <v>0</v>
      </c>
      <c r="K33" s="569">
        <v>4372.6000000000004</v>
      </c>
      <c r="L33" s="570">
        <v>15551.68</v>
      </c>
      <c r="M33" s="569">
        <v>8154.74</v>
      </c>
      <c r="N33" s="571">
        <v>3446.17</v>
      </c>
      <c r="O33" s="569">
        <v>8733.4699999999993</v>
      </c>
      <c r="P33" s="570">
        <v>20334.379999999997</v>
      </c>
      <c r="Q33" s="569">
        <v>5871.88</v>
      </c>
      <c r="R33" s="569">
        <v>4265.28</v>
      </c>
      <c r="S33" s="569"/>
      <c r="T33" s="570"/>
      <c r="U33" s="572"/>
    </row>
    <row r="34" spans="1:21">
      <c r="A34" s="566">
        <v>2027</v>
      </c>
      <c r="B34" s="557">
        <v>10067</v>
      </c>
      <c r="C34" s="567">
        <v>938624</v>
      </c>
      <c r="D34" s="568" t="s">
        <v>757</v>
      </c>
      <c r="E34" s="569">
        <v>0</v>
      </c>
      <c r="F34" s="569">
        <v>0</v>
      </c>
      <c r="G34" s="569">
        <v>9305.24</v>
      </c>
      <c r="H34" s="570">
        <v>9305.24</v>
      </c>
      <c r="I34" s="569">
        <v>11018.21</v>
      </c>
      <c r="J34" s="569">
        <v>0</v>
      </c>
      <c r="K34" s="569">
        <v>17947.87</v>
      </c>
      <c r="L34" s="570">
        <v>28966.079999999998</v>
      </c>
      <c r="M34" s="569">
        <v>14067.54</v>
      </c>
      <c r="N34" s="571">
        <v>7641.54</v>
      </c>
      <c r="O34" s="569">
        <v>18606.18</v>
      </c>
      <c r="P34" s="570">
        <v>40315.26</v>
      </c>
      <c r="Q34" s="569">
        <v>0</v>
      </c>
      <c r="R34" s="569">
        <v>9835.0499999999993</v>
      </c>
      <c r="S34" s="569"/>
      <c r="T34" s="570"/>
      <c r="U34" s="572"/>
    </row>
    <row r="35" spans="1:21">
      <c r="A35" s="566">
        <v>2029</v>
      </c>
      <c r="B35" s="557">
        <v>10069</v>
      </c>
      <c r="C35" s="567">
        <v>938626</v>
      </c>
      <c r="D35" s="568" t="s">
        <v>758</v>
      </c>
      <c r="E35" s="569">
        <v>0</v>
      </c>
      <c r="F35" s="569">
        <v>18253.810000000001</v>
      </c>
      <c r="G35" s="569">
        <v>12879.43</v>
      </c>
      <c r="H35" s="570">
        <v>31133.24</v>
      </c>
      <c r="I35" s="569">
        <v>0</v>
      </c>
      <c r="J35" s="569">
        <v>10871.26</v>
      </c>
      <c r="K35" s="569">
        <v>9610.6200000000008</v>
      </c>
      <c r="L35" s="570">
        <v>20481.88</v>
      </c>
      <c r="M35" s="569">
        <v>9890.6299999999992</v>
      </c>
      <c r="N35" s="571">
        <v>7078.19</v>
      </c>
      <c r="O35" s="569">
        <v>4076.01</v>
      </c>
      <c r="P35" s="570">
        <v>21044.83</v>
      </c>
      <c r="Q35" s="569">
        <v>9714.49</v>
      </c>
      <c r="R35" s="569">
        <v>7332.36</v>
      </c>
      <c r="S35" s="569"/>
      <c r="T35" s="570"/>
      <c r="U35" s="572"/>
    </row>
    <row r="36" spans="1:21">
      <c r="A36" s="566">
        <v>3516</v>
      </c>
      <c r="B36" s="557">
        <v>10121</v>
      </c>
      <c r="C36" s="567">
        <v>938678</v>
      </c>
      <c r="D36" s="568" t="s">
        <v>159</v>
      </c>
      <c r="E36" s="569">
        <v>401.07</v>
      </c>
      <c r="F36" s="569">
        <v>0</v>
      </c>
      <c r="G36" s="569">
        <v>7568.52</v>
      </c>
      <c r="H36" s="570">
        <v>7969.59</v>
      </c>
      <c r="I36" s="569">
        <v>3246.42</v>
      </c>
      <c r="J36" s="569">
        <v>5332.3</v>
      </c>
      <c r="K36" s="569">
        <v>0</v>
      </c>
      <c r="L36" s="570">
        <v>8578.7200000000012</v>
      </c>
      <c r="M36" s="569">
        <v>3038.94</v>
      </c>
      <c r="N36" s="571">
        <v>1905.85</v>
      </c>
      <c r="O36" s="569">
        <v>1703.12</v>
      </c>
      <c r="P36" s="570">
        <v>6647.91</v>
      </c>
      <c r="Q36" s="569">
        <v>3621.74</v>
      </c>
      <c r="R36" s="569">
        <v>2544.6</v>
      </c>
      <c r="S36" s="569"/>
      <c r="T36" s="570"/>
      <c r="U36" s="572"/>
    </row>
    <row r="37" spans="1:21">
      <c r="A37" s="566">
        <v>2031</v>
      </c>
      <c r="B37" s="557">
        <v>10071</v>
      </c>
      <c r="C37" s="567">
        <v>938628</v>
      </c>
      <c r="D37" s="568" t="s">
        <v>759</v>
      </c>
      <c r="E37" s="569">
        <v>0</v>
      </c>
      <c r="F37" s="569">
        <v>11626.51</v>
      </c>
      <c r="G37" s="569">
        <v>6612.25</v>
      </c>
      <c r="H37" s="570">
        <v>18238.760000000002</v>
      </c>
      <c r="I37" s="569">
        <v>0</v>
      </c>
      <c r="J37" s="569">
        <v>7602.59</v>
      </c>
      <c r="K37" s="569">
        <v>5077.2700000000004</v>
      </c>
      <c r="L37" s="570">
        <v>12679.86</v>
      </c>
      <c r="M37" s="569">
        <v>2048.7399999999998</v>
      </c>
      <c r="N37" s="571">
        <v>9981.41</v>
      </c>
      <c r="O37" s="569">
        <v>2803.61</v>
      </c>
      <c r="P37" s="570">
        <v>14833.76</v>
      </c>
      <c r="Q37" s="569">
        <v>2272.56</v>
      </c>
      <c r="R37" s="569">
        <v>5119.96</v>
      </c>
      <c r="S37" s="569"/>
      <c r="T37" s="570"/>
      <c r="U37" s="572"/>
    </row>
    <row r="38" spans="1:21">
      <c r="A38" s="566">
        <v>2032</v>
      </c>
      <c r="B38" s="557">
        <v>10072</v>
      </c>
      <c r="C38" s="567">
        <v>938629</v>
      </c>
      <c r="D38" s="568" t="s">
        <v>161</v>
      </c>
      <c r="E38" s="569">
        <v>30901.33</v>
      </c>
      <c r="F38" s="569">
        <v>0</v>
      </c>
      <c r="G38" s="569">
        <v>15395.29</v>
      </c>
      <c r="H38" s="570">
        <v>46296.62</v>
      </c>
      <c r="I38" s="569">
        <v>17948.07</v>
      </c>
      <c r="J38" s="569">
        <v>0</v>
      </c>
      <c r="K38" s="569">
        <v>10509.33</v>
      </c>
      <c r="L38" s="570">
        <v>28457.4</v>
      </c>
      <c r="M38" s="569">
        <v>12893.79</v>
      </c>
      <c r="N38" s="571">
        <v>4738.7299999999996</v>
      </c>
      <c r="O38" s="569">
        <v>9030.35</v>
      </c>
      <c r="P38" s="570">
        <v>26662.870000000003</v>
      </c>
      <c r="Q38" s="569">
        <v>12211.52</v>
      </c>
      <c r="R38" s="569">
        <v>12454.27</v>
      </c>
      <c r="S38" s="569"/>
      <c r="T38" s="570"/>
      <c r="U38" s="572"/>
    </row>
    <row r="39" spans="1:21">
      <c r="A39" s="566">
        <v>3304</v>
      </c>
      <c r="B39" s="557">
        <v>10073</v>
      </c>
      <c r="C39" s="567">
        <v>938654</v>
      </c>
      <c r="D39" s="568" t="s">
        <v>760</v>
      </c>
      <c r="E39" s="569">
        <v>0</v>
      </c>
      <c r="F39" s="569">
        <v>18293.879999999997</v>
      </c>
      <c r="G39" s="569">
        <v>8161.99</v>
      </c>
      <c r="H39" s="570">
        <v>26455.869999999995</v>
      </c>
      <c r="I39" s="569">
        <v>0</v>
      </c>
      <c r="J39" s="569">
        <v>9053.58</v>
      </c>
      <c r="K39" s="569">
        <v>5238.1899999999996</v>
      </c>
      <c r="L39" s="570">
        <v>14291.77</v>
      </c>
      <c r="M39" s="569">
        <v>8775.369999999999</v>
      </c>
      <c r="N39" s="571">
        <v>5987.55</v>
      </c>
      <c r="O39" s="569">
        <v>5937.67</v>
      </c>
      <c r="P39" s="570">
        <v>20700.589999999997</v>
      </c>
      <c r="Q39" s="569">
        <v>8749.0499999999993</v>
      </c>
      <c r="R39" s="569">
        <v>4579.29</v>
      </c>
      <c r="S39" s="569"/>
      <c r="T39" s="570"/>
      <c r="U39" s="572"/>
    </row>
    <row r="40" spans="1:21">
      <c r="A40" s="566">
        <v>2036</v>
      </c>
      <c r="B40" s="557">
        <v>10074</v>
      </c>
      <c r="C40" s="567">
        <v>938630</v>
      </c>
      <c r="D40" s="568" t="s">
        <v>163</v>
      </c>
      <c r="E40" s="569">
        <v>0</v>
      </c>
      <c r="F40" s="569">
        <v>21449.88</v>
      </c>
      <c r="G40" s="569">
        <v>6826.81</v>
      </c>
      <c r="H40" s="570">
        <v>28276.690000000002</v>
      </c>
      <c r="I40" s="569">
        <v>0</v>
      </c>
      <c r="J40" s="569">
        <v>10196.27</v>
      </c>
      <c r="K40" s="569">
        <v>12034.880000000001</v>
      </c>
      <c r="L40" s="570">
        <v>22231.15</v>
      </c>
      <c r="M40" s="569">
        <v>10909.56</v>
      </c>
      <c r="N40" s="571">
        <v>8260.0500000000011</v>
      </c>
      <c r="O40" s="569">
        <v>5033.13</v>
      </c>
      <c r="P40" s="570">
        <v>24202.74</v>
      </c>
      <c r="Q40" s="569">
        <v>7887.4000000000005</v>
      </c>
      <c r="R40" s="569">
        <v>6074.19</v>
      </c>
      <c r="S40" s="569"/>
      <c r="T40" s="570"/>
      <c r="U40" s="572"/>
    </row>
    <row r="41" spans="1:21">
      <c r="A41" s="566">
        <v>2037</v>
      </c>
      <c r="B41" s="557">
        <v>10075</v>
      </c>
      <c r="C41" s="567">
        <v>938631</v>
      </c>
      <c r="D41" s="568" t="s">
        <v>761</v>
      </c>
      <c r="E41" s="569">
        <v>0</v>
      </c>
      <c r="F41" s="569">
        <v>27252.95</v>
      </c>
      <c r="G41" s="569">
        <v>8845.61</v>
      </c>
      <c r="H41" s="570">
        <v>36098.559999999998</v>
      </c>
      <c r="I41" s="569">
        <v>10750.2</v>
      </c>
      <c r="J41" s="569">
        <v>0</v>
      </c>
      <c r="K41" s="569">
        <v>8595.82</v>
      </c>
      <c r="L41" s="570">
        <v>19346.02</v>
      </c>
      <c r="M41" s="569">
        <v>9021.59</v>
      </c>
      <c r="N41" s="571">
        <v>6556.72</v>
      </c>
      <c r="O41" s="569">
        <v>6779.02</v>
      </c>
      <c r="P41" s="570">
        <v>22357.33</v>
      </c>
      <c r="Q41" s="569">
        <v>0</v>
      </c>
      <c r="R41" s="569">
        <v>8754.51</v>
      </c>
      <c r="S41" s="569"/>
      <c r="T41" s="570"/>
      <c r="U41" s="572"/>
    </row>
    <row r="42" spans="1:21">
      <c r="A42" s="566">
        <v>3523</v>
      </c>
      <c r="B42" s="557">
        <v>11093</v>
      </c>
      <c r="C42" s="567">
        <v>938700</v>
      </c>
      <c r="D42" s="568" t="s">
        <v>572</v>
      </c>
      <c r="E42" s="569">
        <v>0</v>
      </c>
      <c r="F42" s="569">
        <v>22013.66</v>
      </c>
      <c r="G42" s="569">
        <v>16073.19</v>
      </c>
      <c r="H42" s="570">
        <v>38086.85</v>
      </c>
      <c r="I42" s="569">
        <v>0</v>
      </c>
      <c r="J42" s="569">
        <v>21866.210000000003</v>
      </c>
      <c r="K42" s="569">
        <v>17883.579999999998</v>
      </c>
      <c r="L42" s="570">
        <v>39749.79</v>
      </c>
      <c r="M42" s="569">
        <v>12844.86</v>
      </c>
      <c r="N42" s="571">
        <v>12504.7</v>
      </c>
      <c r="O42" s="569">
        <v>13013.640000000001</v>
      </c>
      <c r="P42" s="570">
        <v>38363.200000000004</v>
      </c>
      <c r="Q42" s="569">
        <v>22746.61</v>
      </c>
      <c r="R42" s="569">
        <v>19233.29</v>
      </c>
      <c r="S42" s="569"/>
      <c r="T42" s="570"/>
      <c r="U42" s="572"/>
    </row>
    <row r="43" spans="1:21">
      <c r="A43" s="566">
        <v>5948</v>
      </c>
      <c r="B43" s="557">
        <v>10125</v>
      </c>
      <c r="C43" s="567">
        <v>938694</v>
      </c>
      <c r="D43" s="568" t="s">
        <v>762</v>
      </c>
      <c r="E43" s="569">
        <v>7171.61</v>
      </c>
      <c r="F43" s="569">
        <v>5831.55</v>
      </c>
      <c r="G43" s="569">
        <v>6573.68</v>
      </c>
      <c r="H43" s="570">
        <v>19576.84</v>
      </c>
      <c r="I43" s="569">
        <v>6643.73</v>
      </c>
      <c r="J43" s="569">
        <v>4610.62</v>
      </c>
      <c r="K43" s="569">
        <v>5537.49</v>
      </c>
      <c r="L43" s="570">
        <v>16791.839999999997</v>
      </c>
      <c r="M43" s="569">
        <v>8206.1299999999992</v>
      </c>
      <c r="N43" s="571">
        <v>4846.78</v>
      </c>
      <c r="O43" s="569">
        <v>3957.04</v>
      </c>
      <c r="P43" s="570">
        <v>17009.95</v>
      </c>
      <c r="Q43" s="569">
        <v>4979.3100000000004</v>
      </c>
      <c r="R43" s="569">
        <v>5457.98</v>
      </c>
      <c r="S43" s="569"/>
      <c r="T43" s="570"/>
      <c r="U43" s="572"/>
    </row>
    <row r="44" spans="1:21">
      <c r="A44" s="566">
        <v>5949</v>
      </c>
      <c r="B44" s="557">
        <v>10126</v>
      </c>
      <c r="C44" s="567">
        <v>938695</v>
      </c>
      <c r="D44" s="568" t="s">
        <v>167</v>
      </c>
      <c r="E44" s="569">
        <v>3055.91</v>
      </c>
      <c r="F44" s="569">
        <v>13637.57</v>
      </c>
      <c r="G44" s="569">
        <v>10355.43</v>
      </c>
      <c r="H44" s="570">
        <v>27048.91</v>
      </c>
      <c r="I44" s="569">
        <v>6725.68</v>
      </c>
      <c r="J44" s="569">
        <v>910.65</v>
      </c>
      <c r="K44" s="569">
        <v>14045.01</v>
      </c>
      <c r="L44" s="570">
        <v>21681.34</v>
      </c>
      <c r="M44" s="569">
        <v>859.16</v>
      </c>
      <c r="N44" s="571">
        <v>18188.82</v>
      </c>
      <c r="O44" s="569">
        <v>0</v>
      </c>
      <c r="P44" s="570">
        <v>19047.98</v>
      </c>
      <c r="Q44" s="569">
        <v>3502.4</v>
      </c>
      <c r="R44" s="569">
        <v>8626.1299999999992</v>
      </c>
      <c r="S44" s="569"/>
      <c r="T44" s="570"/>
      <c r="U44" s="572"/>
    </row>
    <row r="45" spans="1:21">
      <c r="A45" s="566">
        <v>3513</v>
      </c>
      <c r="B45" s="557">
        <v>10114</v>
      </c>
      <c r="C45" s="567">
        <v>938676</v>
      </c>
      <c r="D45" s="568" t="s">
        <v>168</v>
      </c>
      <c r="E45" s="569">
        <v>0</v>
      </c>
      <c r="F45" s="569">
        <v>15507.24</v>
      </c>
      <c r="G45" s="569">
        <v>3665.46</v>
      </c>
      <c r="H45" s="570">
        <v>19172.7</v>
      </c>
      <c r="I45" s="569">
        <v>6363.47</v>
      </c>
      <c r="J45" s="569">
        <v>1427.62</v>
      </c>
      <c r="K45" s="569">
        <v>11320.21</v>
      </c>
      <c r="L45" s="570">
        <v>19111.3</v>
      </c>
      <c r="M45" s="569">
        <v>4488.6099999999997</v>
      </c>
      <c r="N45" s="571">
        <v>7473.43</v>
      </c>
      <c r="O45" s="569">
        <v>5865.97</v>
      </c>
      <c r="P45" s="570">
        <v>17828.010000000002</v>
      </c>
      <c r="Q45" s="569">
        <v>3621.06</v>
      </c>
      <c r="R45" s="569">
        <v>5526.74</v>
      </c>
      <c r="S45" s="569"/>
      <c r="T45" s="570"/>
      <c r="U45" s="572"/>
    </row>
    <row r="46" spans="1:21">
      <c r="A46" s="566">
        <v>3305</v>
      </c>
      <c r="B46" s="557">
        <v>10078</v>
      </c>
      <c r="C46" s="567">
        <v>938655</v>
      </c>
      <c r="D46" s="568" t="s">
        <v>763</v>
      </c>
      <c r="E46" s="569">
        <v>0</v>
      </c>
      <c r="F46" s="569">
        <v>8041.67</v>
      </c>
      <c r="G46" s="569">
        <v>600.80999999999995</v>
      </c>
      <c r="H46" s="570">
        <v>8642.48</v>
      </c>
      <c r="I46" s="569">
        <v>3870.05</v>
      </c>
      <c r="J46" s="569">
        <v>0</v>
      </c>
      <c r="K46" s="569">
        <v>2136.39</v>
      </c>
      <c r="L46" s="573">
        <v>6006.4400000000005</v>
      </c>
      <c r="M46" s="569">
        <v>2714.84</v>
      </c>
      <c r="N46" s="571">
        <v>1034.49</v>
      </c>
      <c r="O46" s="569">
        <v>0</v>
      </c>
      <c r="P46" s="570">
        <v>3749.33</v>
      </c>
      <c r="Q46" s="569">
        <v>3872.68</v>
      </c>
      <c r="R46" s="569">
        <v>1875.0700000000002</v>
      </c>
      <c r="S46" s="569"/>
      <c r="T46" s="570"/>
      <c r="U46" s="572"/>
    </row>
    <row r="47" spans="1:21">
      <c r="A47" s="566">
        <v>2042</v>
      </c>
      <c r="B47" s="557">
        <v>10079</v>
      </c>
      <c r="C47" s="567">
        <v>938632</v>
      </c>
      <c r="D47" s="568" t="s">
        <v>170</v>
      </c>
      <c r="E47" s="569">
        <v>0</v>
      </c>
      <c r="F47" s="569">
        <v>12272.36</v>
      </c>
      <c r="G47" s="569">
        <v>8111.46</v>
      </c>
      <c r="H47" s="570">
        <v>20383.82</v>
      </c>
      <c r="I47" s="569">
        <v>7191.01</v>
      </c>
      <c r="J47" s="569">
        <v>0</v>
      </c>
      <c r="K47" s="569">
        <v>7304.32</v>
      </c>
      <c r="L47" s="570">
        <v>14495.33</v>
      </c>
      <c r="M47" s="569">
        <v>7360.52</v>
      </c>
      <c r="N47" s="571">
        <v>7967.01</v>
      </c>
      <c r="O47" s="569">
        <v>4400.09</v>
      </c>
      <c r="P47" s="570">
        <v>19727.620000000003</v>
      </c>
      <c r="Q47" s="569">
        <v>8007.01</v>
      </c>
      <c r="R47" s="569">
        <v>5159.8</v>
      </c>
      <c r="S47" s="569"/>
      <c r="T47" s="570"/>
      <c r="U47" s="572"/>
    </row>
    <row r="48" spans="1:21">
      <c r="A48" s="566">
        <v>2044</v>
      </c>
      <c r="B48" s="557">
        <v>10081</v>
      </c>
      <c r="C48" s="567">
        <v>938634</v>
      </c>
      <c r="D48" s="568" t="s">
        <v>171</v>
      </c>
      <c r="E48" s="569">
        <v>0</v>
      </c>
      <c r="F48" s="569">
        <v>0</v>
      </c>
      <c r="G48" s="569">
        <v>9201.16</v>
      </c>
      <c r="H48" s="570">
        <v>9201.16</v>
      </c>
      <c r="I48" s="569">
        <v>0</v>
      </c>
      <c r="J48" s="569">
        <v>22290.7</v>
      </c>
      <c r="K48" s="569">
        <v>13695.45</v>
      </c>
      <c r="L48" s="570">
        <v>35986.15</v>
      </c>
      <c r="M48" s="569">
        <v>5488</v>
      </c>
      <c r="N48" s="571">
        <v>7842.02</v>
      </c>
      <c r="O48" s="569">
        <v>9481.1200000000008</v>
      </c>
      <c r="P48" s="570">
        <v>22811.14</v>
      </c>
      <c r="Q48" s="569">
        <v>3654.7200000000003</v>
      </c>
      <c r="R48" s="569">
        <v>10426.33</v>
      </c>
      <c r="S48" s="569"/>
      <c r="T48" s="570"/>
      <c r="U48" s="572"/>
    </row>
    <row r="49" spans="1:21">
      <c r="A49" s="566">
        <v>2043</v>
      </c>
      <c r="B49" s="557">
        <v>10080</v>
      </c>
      <c r="C49" s="567">
        <v>938633</v>
      </c>
      <c r="D49" s="568" t="s">
        <v>172</v>
      </c>
      <c r="E49" s="569">
        <v>0</v>
      </c>
      <c r="F49" s="569">
        <v>0</v>
      </c>
      <c r="G49" s="569">
        <v>18216.759999999998</v>
      </c>
      <c r="H49" s="570">
        <v>18216.759999999998</v>
      </c>
      <c r="I49" s="569">
        <v>0</v>
      </c>
      <c r="J49" s="569">
        <v>43128.56</v>
      </c>
      <c r="K49" s="569">
        <v>27378.199999999997</v>
      </c>
      <c r="L49" s="570">
        <v>70506.759999999995</v>
      </c>
      <c r="M49" s="569">
        <v>16711.68</v>
      </c>
      <c r="N49" s="571">
        <v>13030.83</v>
      </c>
      <c r="O49" s="569">
        <v>18462.07</v>
      </c>
      <c r="P49" s="570">
        <v>48204.58</v>
      </c>
      <c r="Q49" s="569">
        <v>14557.29</v>
      </c>
      <c r="R49" s="569">
        <v>26410.49</v>
      </c>
      <c r="S49" s="569"/>
      <c r="T49" s="570"/>
      <c r="U49" s="572"/>
    </row>
    <row r="50" spans="1:21">
      <c r="A50" s="566">
        <v>2045</v>
      </c>
      <c r="B50" s="557">
        <v>10082</v>
      </c>
      <c r="C50" s="567">
        <v>938635</v>
      </c>
      <c r="D50" s="568" t="s">
        <v>173</v>
      </c>
      <c r="E50" s="569">
        <v>12868.78</v>
      </c>
      <c r="F50" s="569">
        <v>0</v>
      </c>
      <c r="G50" s="569">
        <v>4129.68</v>
      </c>
      <c r="H50" s="570">
        <v>16998.46</v>
      </c>
      <c r="I50" s="569">
        <v>15830.95</v>
      </c>
      <c r="J50" s="569">
        <v>0</v>
      </c>
      <c r="K50" s="569">
        <v>3393.82</v>
      </c>
      <c r="L50" s="570">
        <v>19224.77</v>
      </c>
      <c r="M50" s="569">
        <v>5490.38</v>
      </c>
      <c r="N50" s="571">
        <v>3752.0099999999998</v>
      </c>
      <c r="O50" s="569">
        <v>5806.74</v>
      </c>
      <c r="P50" s="570">
        <v>15049.13</v>
      </c>
      <c r="Q50" s="569">
        <v>7316.83</v>
      </c>
      <c r="R50" s="569">
        <v>7807.8</v>
      </c>
      <c r="S50" s="569"/>
      <c r="T50" s="570"/>
      <c r="U50" s="572"/>
    </row>
    <row r="51" spans="1:21">
      <c r="A51" s="566">
        <v>2077</v>
      </c>
      <c r="B51" s="557">
        <v>10127</v>
      </c>
      <c r="C51" s="567">
        <v>938649</v>
      </c>
      <c r="D51" s="568" t="s">
        <v>764</v>
      </c>
      <c r="E51" s="569">
        <v>0</v>
      </c>
      <c r="F51" s="569">
        <v>63881.51</v>
      </c>
      <c r="G51" s="569">
        <v>27834.74</v>
      </c>
      <c r="H51" s="570">
        <v>91716.25</v>
      </c>
      <c r="I51" s="569">
        <v>0</v>
      </c>
      <c r="J51" s="569">
        <v>23140.01</v>
      </c>
      <c r="K51" s="569">
        <v>25631.919999999998</v>
      </c>
      <c r="L51" s="570">
        <v>48771.929999999993</v>
      </c>
      <c r="M51" s="569">
        <v>21317</v>
      </c>
      <c r="N51" s="571">
        <v>17845.330000000002</v>
      </c>
      <c r="O51" s="569">
        <v>16007.5</v>
      </c>
      <c r="P51" s="570">
        <v>55169.83</v>
      </c>
      <c r="Q51" s="569">
        <v>16924.080000000002</v>
      </c>
      <c r="R51" s="569">
        <v>14173.3</v>
      </c>
      <c r="S51" s="569"/>
      <c r="T51" s="570"/>
      <c r="U51" s="572"/>
    </row>
    <row r="52" spans="1:21">
      <c r="A52" s="566">
        <v>5201</v>
      </c>
      <c r="B52" s="557">
        <v>10084</v>
      </c>
      <c r="C52" s="567">
        <v>938687</v>
      </c>
      <c r="D52" s="568" t="s">
        <v>765</v>
      </c>
      <c r="E52" s="569">
        <v>0</v>
      </c>
      <c r="F52" s="569">
        <v>26266.25</v>
      </c>
      <c r="G52" s="569">
        <v>5035.26</v>
      </c>
      <c r="H52" s="570">
        <v>31301.510000000002</v>
      </c>
      <c r="I52" s="569">
        <v>0</v>
      </c>
      <c r="J52" s="569">
        <v>24832.85</v>
      </c>
      <c r="K52" s="569">
        <v>0</v>
      </c>
      <c r="L52" s="570">
        <v>24832.85</v>
      </c>
      <c r="M52" s="569">
        <v>0</v>
      </c>
      <c r="N52" s="571">
        <v>0</v>
      </c>
      <c r="O52" s="569">
        <v>0</v>
      </c>
      <c r="P52" s="570">
        <v>0</v>
      </c>
      <c r="Q52" s="569">
        <v>0</v>
      </c>
      <c r="R52" s="569">
        <v>0</v>
      </c>
      <c r="S52" s="569"/>
      <c r="T52" s="570"/>
      <c r="U52" s="572"/>
    </row>
    <row r="53" spans="1:21">
      <c r="A53" s="566">
        <v>3501</v>
      </c>
      <c r="B53" s="557">
        <v>10085</v>
      </c>
      <c r="C53" s="567">
        <v>938666</v>
      </c>
      <c r="D53" s="568" t="s">
        <v>766</v>
      </c>
      <c r="E53" s="569">
        <v>0</v>
      </c>
      <c r="F53" s="569">
        <v>23288.050000000003</v>
      </c>
      <c r="G53" s="569">
        <v>8021.52</v>
      </c>
      <c r="H53" s="570">
        <v>31309.570000000003</v>
      </c>
      <c r="I53" s="569">
        <v>0</v>
      </c>
      <c r="J53" s="569">
        <v>8040.21</v>
      </c>
      <c r="K53" s="569">
        <v>5720.84</v>
      </c>
      <c r="L53" s="570">
        <v>13761.05</v>
      </c>
      <c r="M53" s="569">
        <v>5024.76</v>
      </c>
      <c r="N53" s="571">
        <v>8222.57</v>
      </c>
      <c r="O53" s="569">
        <v>1665.97</v>
      </c>
      <c r="P53" s="570">
        <v>14913.3</v>
      </c>
      <c r="Q53" s="569">
        <v>6997.91</v>
      </c>
      <c r="R53" s="569">
        <v>3722.3599999999997</v>
      </c>
      <c r="S53" s="569"/>
      <c r="T53" s="570"/>
      <c r="U53" s="572"/>
    </row>
    <row r="54" spans="1:21">
      <c r="A54" s="566">
        <v>2078</v>
      </c>
      <c r="B54" s="557">
        <v>10129</v>
      </c>
      <c r="C54" s="567">
        <v>938650</v>
      </c>
      <c r="D54" s="568" t="s">
        <v>585</v>
      </c>
      <c r="E54" s="569">
        <v>0</v>
      </c>
      <c r="F54" s="569">
        <v>0</v>
      </c>
      <c r="G54" s="569">
        <v>22989.81</v>
      </c>
      <c r="H54" s="570">
        <v>22989.81</v>
      </c>
      <c r="I54" s="569">
        <v>8463.65</v>
      </c>
      <c r="J54" s="569">
        <v>0</v>
      </c>
      <c r="K54" s="569">
        <v>10854.55</v>
      </c>
      <c r="L54" s="570">
        <v>19318.199999999997</v>
      </c>
      <c r="M54" s="569">
        <v>5047.3900000000003</v>
      </c>
      <c r="N54" s="571">
        <v>10416.23</v>
      </c>
      <c r="O54" s="569">
        <v>7755.98</v>
      </c>
      <c r="P54" s="570">
        <v>23219.599999999999</v>
      </c>
      <c r="Q54" s="569">
        <v>7110.48</v>
      </c>
      <c r="R54" s="569">
        <v>0</v>
      </c>
      <c r="S54" s="569"/>
      <c r="T54" s="570"/>
      <c r="U54" s="572"/>
    </row>
    <row r="55" spans="1:21">
      <c r="A55" s="566">
        <v>2072</v>
      </c>
      <c r="B55" s="557">
        <v>10086</v>
      </c>
      <c r="C55" s="567">
        <v>938645</v>
      </c>
      <c r="D55" s="568" t="s">
        <v>279</v>
      </c>
      <c r="E55" s="569">
        <v>18653.169999999998</v>
      </c>
      <c r="F55" s="569">
        <v>18045.170000000002</v>
      </c>
      <c r="G55" s="569">
        <v>17549.55</v>
      </c>
      <c r="H55" s="570">
        <v>54247.89</v>
      </c>
      <c r="I55" s="569">
        <v>0</v>
      </c>
      <c r="J55" s="569">
        <v>0</v>
      </c>
      <c r="K55" s="569">
        <v>43069.27</v>
      </c>
      <c r="L55" s="570">
        <v>43069.27</v>
      </c>
      <c r="M55" s="569">
        <v>22765.040000000001</v>
      </c>
      <c r="N55" s="571">
        <v>40567.1</v>
      </c>
      <c r="O55" s="569">
        <v>0</v>
      </c>
      <c r="P55" s="570">
        <v>63332.14</v>
      </c>
      <c r="Q55" s="569">
        <v>22590.43</v>
      </c>
      <c r="R55" s="569">
        <v>15252.390000000001</v>
      </c>
      <c r="S55" s="569"/>
      <c r="T55" s="570"/>
      <c r="U55" s="572"/>
    </row>
    <row r="56" spans="1:21">
      <c r="A56" s="566">
        <v>3512</v>
      </c>
      <c r="B56" s="557">
        <v>10112</v>
      </c>
      <c r="C56" s="567">
        <v>938675</v>
      </c>
      <c r="D56" s="568" t="s">
        <v>767</v>
      </c>
      <c r="E56" s="569">
        <v>0</v>
      </c>
      <c r="F56" s="569">
        <v>31087.96</v>
      </c>
      <c r="G56" s="569">
        <v>7494.5199999999995</v>
      </c>
      <c r="H56" s="570">
        <v>38582.479999999996</v>
      </c>
      <c r="I56" s="569">
        <v>0</v>
      </c>
      <c r="J56" s="569">
        <v>13531.19</v>
      </c>
      <c r="K56" s="569">
        <v>15871.91</v>
      </c>
      <c r="L56" s="570">
        <v>29403.1</v>
      </c>
      <c r="M56" s="569">
        <v>14422.24</v>
      </c>
      <c r="N56" s="571">
        <v>15065.5</v>
      </c>
      <c r="O56" s="569">
        <v>11720.3</v>
      </c>
      <c r="P56" s="570">
        <v>41208.039999999994</v>
      </c>
      <c r="Q56" s="569">
        <v>15402.87</v>
      </c>
      <c r="R56" s="569">
        <v>11201.61</v>
      </c>
      <c r="S56" s="569"/>
      <c r="T56" s="570"/>
      <c r="U56" s="572"/>
    </row>
    <row r="57" spans="1:21">
      <c r="A57" s="566">
        <v>3510</v>
      </c>
      <c r="B57" s="557">
        <v>10110</v>
      </c>
      <c r="C57" s="567">
        <v>938673</v>
      </c>
      <c r="D57" s="568" t="s">
        <v>768</v>
      </c>
      <c r="E57" s="569">
        <v>0</v>
      </c>
      <c r="F57" s="569">
        <v>23748.73</v>
      </c>
      <c r="G57" s="569">
        <v>4212.16</v>
      </c>
      <c r="H57" s="570">
        <v>27960.89</v>
      </c>
      <c r="I57" s="569">
        <v>0</v>
      </c>
      <c r="J57" s="569">
        <v>10540.1</v>
      </c>
      <c r="K57" s="569">
        <v>8376.27</v>
      </c>
      <c r="L57" s="570">
        <v>18916.370000000003</v>
      </c>
      <c r="M57" s="569">
        <v>3062.65</v>
      </c>
      <c r="N57" s="571">
        <v>7898.5</v>
      </c>
      <c r="O57" s="569">
        <v>3160.97</v>
      </c>
      <c r="P57" s="570">
        <v>14122.119999999999</v>
      </c>
      <c r="Q57" s="569">
        <v>6316.02</v>
      </c>
      <c r="R57" s="569">
        <v>6918.08</v>
      </c>
      <c r="S57" s="569"/>
      <c r="T57" s="570"/>
      <c r="U57" s="572"/>
    </row>
    <row r="58" spans="1:21">
      <c r="A58" s="566">
        <v>2053</v>
      </c>
      <c r="B58" s="557">
        <v>10113</v>
      </c>
      <c r="C58" s="567">
        <v>938708</v>
      </c>
      <c r="D58" s="568" t="s">
        <v>769</v>
      </c>
      <c r="E58" s="569">
        <v>2414.6799999999998</v>
      </c>
      <c r="F58" s="569">
        <v>3028.78</v>
      </c>
      <c r="G58" s="569">
        <v>2503.88</v>
      </c>
      <c r="H58" s="570">
        <v>7947.34</v>
      </c>
      <c r="I58" s="569">
        <v>7055.34</v>
      </c>
      <c r="J58" s="569">
        <v>2449.7399999999998</v>
      </c>
      <c r="K58" s="569">
        <v>974.09</v>
      </c>
      <c r="L58" s="570">
        <v>10479.17</v>
      </c>
      <c r="M58" s="569">
        <v>3574.1</v>
      </c>
      <c r="N58" s="571">
        <v>1034.98</v>
      </c>
      <c r="O58" s="569">
        <v>9256.0300000000007</v>
      </c>
      <c r="P58" s="570">
        <v>13865.11</v>
      </c>
      <c r="Q58" s="569">
        <v>3682.53</v>
      </c>
      <c r="R58" s="569">
        <v>3819.32</v>
      </c>
      <c r="S58" s="569"/>
      <c r="T58" s="570"/>
      <c r="U58" s="572"/>
    </row>
    <row r="59" spans="1:21">
      <c r="A59" s="566">
        <v>3502</v>
      </c>
      <c r="B59" s="557">
        <v>10087</v>
      </c>
      <c r="C59" s="567">
        <v>938667</v>
      </c>
      <c r="D59" s="568" t="s">
        <v>770</v>
      </c>
      <c r="E59" s="569">
        <v>0</v>
      </c>
      <c r="F59" s="569">
        <v>26862.399999999998</v>
      </c>
      <c r="G59" s="569">
        <v>11439.31</v>
      </c>
      <c r="H59" s="570">
        <v>38301.71</v>
      </c>
      <c r="I59" s="569">
        <v>8985.7099999999991</v>
      </c>
      <c r="J59" s="569">
        <v>0</v>
      </c>
      <c r="K59" s="569">
        <v>23481.49</v>
      </c>
      <c r="L59" s="570">
        <v>32467.200000000001</v>
      </c>
      <c r="M59" s="569">
        <v>8483.0499999999993</v>
      </c>
      <c r="N59" s="571">
        <v>8491.98</v>
      </c>
      <c r="O59" s="569">
        <v>6457.29</v>
      </c>
      <c r="P59" s="570">
        <v>23432.32</v>
      </c>
      <c r="Q59" s="569">
        <v>11105.61</v>
      </c>
      <c r="R59" s="569">
        <v>14864.880000000001</v>
      </c>
      <c r="S59" s="569"/>
      <c r="T59" s="570"/>
      <c r="U59" s="572"/>
    </row>
    <row r="60" spans="1:21">
      <c r="A60" s="566">
        <v>3315</v>
      </c>
      <c r="B60" s="557">
        <v>10099</v>
      </c>
      <c r="C60" s="567">
        <v>938662</v>
      </c>
      <c r="D60" s="568" t="s">
        <v>771</v>
      </c>
      <c r="E60" s="569">
        <v>0</v>
      </c>
      <c r="F60" s="569">
        <v>12048.630000000001</v>
      </c>
      <c r="G60" s="569">
        <v>3156.06</v>
      </c>
      <c r="H60" s="570">
        <v>15204.69</v>
      </c>
      <c r="I60" s="569">
        <v>0</v>
      </c>
      <c r="J60" s="569">
        <v>4861.7700000000004</v>
      </c>
      <c r="K60" s="569">
        <v>4445.26</v>
      </c>
      <c r="L60" s="570">
        <v>9307.0300000000007</v>
      </c>
      <c r="M60" s="569">
        <v>3495.1099999999997</v>
      </c>
      <c r="N60" s="571">
        <v>4345.18</v>
      </c>
      <c r="O60" s="569">
        <v>3000.48</v>
      </c>
      <c r="P60" s="570">
        <v>10840.77</v>
      </c>
      <c r="Q60" s="569">
        <v>5470.9</v>
      </c>
      <c r="R60" s="569">
        <v>6979.44</v>
      </c>
      <c r="S60" s="569"/>
      <c r="T60" s="570"/>
      <c r="U60" s="572"/>
    </row>
    <row r="61" spans="1:21">
      <c r="A61" s="566">
        <v>3504</v>
      </c>
      <c r="B61" s="557">
        <v>10088</v>
      </c>
      <c r="C61" s="567">
        <v>938668</v>
      </c>
      <c r="D61" s="568" t="s">
        <v>772</v>
      </c>
      <c r="E61" s="569">
        <v>0</v>
      </c>
      <c r="F61" s="569">
        <v>25253.469999999998</v>
      </c>
      <c r="G61" s="569">
        <v>8594.39</v>
      </c>
      <c r="H61" s="570">
        <v>33847.86</v>
      </c>
      <c r="I61" s="569">
        <v>0</v>
      </c>
      <c r="J61" s="569">
        <v>15733.43</v>
      </c>
      <c r="K61" s="569">
        <v>7091.09</v>
      </c>
      <c r="L61" s="570">
        <v>22824.52</v>
      </c>
      <c r="M61" s="569">
        <v>7933.4000000000005</v>
      </c>
      <c r="N61" s="571">
        <v>3578.5099999999998</v>
      </c>
      <c r="O61" s="569">
        <v>4315.6499999999996</v>
      </c>
      <c r="P61" s="570">
        <v>15827.56</v>
      </c>
      <c r="Q61" s="569">
        <v>3561.54</v>
      </c>
      <c r="R61" s="569">
        <v>10450.58</v>
      </c>
      <c r="S61" s="569"/>
      <c r="T61" s="570"/>
      <c r="U61" s="572"/>
    </row>
    <row r="62" spans="1:21">
      <c r="A62" s="566">
        <v>3307</v>
      </c>
      <c r="B62" s="557">
        <v>10089</v>
      </c>
      <c r="C62" s="567">
        <v>938656</v>
      </c>
      <c r="D62" s="568" t="s">
        <v>773</v>
      </c>
      <c r="E62" s="569">
        <v>0</v>
      </c>
      <c r="F62" s="569">
        <v>16437.86</v>
      </c>
      <c r="G62" s="569">
        <v>8699.81</v>
      </c>
      <c r="H62" s="570">
        <v>25137.67</v>
      </c>
      <c r="I62" s="569">
        <v>0</v>
      </c>
      <c r="J62" s="569">
        <v>9884.44</v>
      </c>
      <c r="K62" s="569">
        <v>3074.04</v>
      </c>
      <c r="L62" s="570">
        <v>12958.48</v>
      </c>
      <c r="M62" s="569">
        <v>6563.43</v>
      </c>
      <c r="N62" s="571">
        <v>5419.89</v>
      </c>
      <c r="O62" s="569">
        <v>7389.6100000000006</v>
      </c>
      <c r="P62" s="570">
        <v>19372.93</v>
      </c>
      <c r="Q62" s="569">
        <v>4931.0200000000004</v>
      </c>
      <c r="R62" s="569">
        <v>2234.1</v>
      </c>
      <c r="S62" s="569"/>
      <c r="T62" s="570"/>
      <c r="U62" s="572"/>
    </row>
    <row r="63" spans="1:21">
      <c r="A63" s="566">
        <v>3309</v>
      </c>
      <c r="B63" s="557">
        <v>10116</v>
      </c>
      <c r="C63" s="567">
        <v>938657</v>
      </c>
      <c r="D63" s="568" t="s">
        <v>774</v>
      </c>
      <c r="E63" s="569">
        <v>10375.120000000001</v>
      </c>
      <c r="F63" s="569">
        <v>0</v>
      </c>
      <c r="G63" s="569">
        <v>5042.2299999999996</v>
      </c>
      <c r="H63" s="570">
        <v>15417.35</v>
      </c>
      <c r="I63" s="569">
        <v>9000.81</v>
      </c>
      <c r="J63" s="569">
        <v>0</v>
      </c>
      <c r="K63" s="569">
        <v>12241.85</v>
      </c>
      <c r="L63" s="570">
        <v>21242.66</v>
      </c>
      <c r="M63" s="569">
        <v>6681.95</v>
      </c>
      <c r="N63" s="571">
        <v>4671.67</v>
      </c>
      <c r="O63" s="569">
        <v>5874.24</v>
      </c>
      <c r="P63" s="570">
        <v>17227.86</v>
      </c>
      <c r="Q63" s="569">
        <v>5300.96</v>
      </c>
      <c r="R63" s="569">
        <v>9224.94</v>
      </c>
      <c r="S63" s="569"/>
      <c r="T63" s="570"/>
      <c r="U63" s="572"/>
    </row>
    <row r="64" spans="1:21">
      <c r="A64" s="566">
        <v>3509</v>
      </c>
      <c r="B64" s="557">
        <v>10107</v>
      </c>
      <c r="C64" s="567">
        <v>938672</v>
      </c>
      <c r="D64" s="568" t="s">
        <v>775</v>
      </c>
      <c r="E64" s="569">
        <v>0</v>
      </c>
      <c r="F64" s="569">
        <v>22366.76</v>
      </c>
      <c r="G64" s="569">
        <v>14327.09</v>
      </c>
      <c r="H64" s="570">
        <v>36693.85</v>
      </c>
      <c r="I64" s="569">
        <v>12167.32</v>
      </c>
      <c r="J64" s="569">
        <v>0</v>
      </c>
      <c r="K64" s="569">
        <v>13323.650000000001</v>
      </c>
      <c r="L64" s="570">
        <v>25490.97</v>
      </c>
      <c r="M64" s="569">
        <v>25925.47</v>
      </c>
      <c r="N64" s="571">
        <v>16173.970000000001</v>
      </c>
      <c r="O64" s="569">
        <v>13169.44</v>
      </c>
      <c r="P64" s="570">
        <v>55268.880000000005</v>
      </c>
      <c r="Q64" s="569">
        <v>13883.07</v>
      </c>
      <c r="R64" s="569">
        <v>6033.6100000000006</v>
      </c>
      <c r="S64" s="569"/>
      <c r="T64" s="570"/>
      <c r="U64" s="572"/>
    </row>
    <row r="65" spans="1:21">
      <c r="A65" s="566">
        <v>3312</v>
      </c>
      <c r="B65" s="557">
        <v>10093</v>
      </c>
      <c r="C65" s="567">
        <v>938659</v>
      </c>
      <c r="D65" s="568" t="s">
        <v>776</v>
      </c>
      <c r="E65" s="569">
        <v>0</v>
      </c>
      <c r="F65" s="569">
        <v>14228.97</v>
      </c>
      <c r="G65" s="569">
        <v>3665.5099999999998</v>
      </c>
      <c r="H65" s="570">
        <v>17894.48</v>
      </c>
      <c r="I65" s="569">
        <v>0</v>
      </c>
      <c r="J65" s="569">
        <v>3585.84</v>
      </c>
      <c r="K65" s="569">
        <v>1316.5400000000002</v>
      </c>
      <c r="L65" s="570">
        <v>4902.38</v>
      </c>
      <c r="M65" s="569">
        <v>3670.79</v>
      </c>
      <c r="N65" s="571">
        <v>5042.5</v>
      </c>
      <c r="O65" s="569">
        <v>1290</v>
      </c>
      <c r="P65" s="570">
        <v>10003.290000000001</v>
      </c>
      <c r="Q65" s="569">
        <v>2321.8900000000003</v>
      </c>
      <c r="R65" s="569">
        <v>3186.77</v>
      </c>
      <c r="S65" s="569"/>
      <c r="T65" s="570"/>
      <c r="U65" s="572"/>
    </row>
    <row r="66" spans="1:21">
      <c r="A66" s="566">
        <v>3311</v>
      </c>
      <c r="B66" s="557">
        <v>10092</v>
      </c>
      <c r="C66" s="567">
        <v>938658</v>
      </c>
      <c r="D66" s="568" t="s">
        <v>777</v>
      </c>
      <c r="E66" s="569">
        <v>0</v>
      </c>
      <c r="F66" s="569">
        <v>21803.94</v>
      </c>
      <c r="G66" s="569">
        <v>11632.65</v>
      </c>
      <c r="H66" s="570">
        <v>33436.589999999997</v>
      </c>
      <c r="I66" s="569">
        <v>0</v>
      </c>
      <c r="J66" s="569">
        <v>16371.050000000001</v>
      </c>
      <c r="K66" s="569">
        <v>5844.1</v>
      </c>
      <c r="L66" s="570">
        <v>22215.15</v>
      </c>
      <c r="M66" s="569">
        <v>17457.349999999999</v>
      </c>
      <c r="N66" s="571">
        <v>12903.1</v>
      </c>
      <c r="O66" s="569">
        <v>11926.63</v>
      </c>
      <c r="P66" s="570">
        <v>42287.079999999994</v>
      </c>
      <c r="Q66" s="569">
        <v>26480.83</v>
      </c>
      <c r="R66" s="569">
        <v>9056.9</v>
      </c>
      <c r="S66" s="569"/>
      <c r="T66" s="570"/>
      <c r="U66" s="572"/>
    </row>
    <row r="67" spans="1:21">
      <c r="A67" s="566">
        <v>3313</v>
      </c>
      <c r="B67" s="557">
        <v>10094</v>
      </c>
      <c r="C67" s="567">
        <v>938660</v>
      </c>
      <c r="D67" s="568" t="s">
        <v>778</v>
      </c>
      <c r="E67" s="569">
        <v>11719.93</v>
      </c>
      <c r="F67" s="569">
        <v>0</v>
      </c>
      <c r="G67" s="569">
        <v>8066.17</v>
      </c>
      <c r="H67" s="570">
        <v>19786.099999999999</v>
      </c>
      <c r="I67" s="569">
        <v>6272.21</v>
      </c>
      <c r="J67" s="569">
        <v>0</v>
      </c>
      <c r="K67" s="569">
        <v>7460.99</v>
      </c>
      <c r="L67" s="570">
        <v>13733.2</v>
      </c>
      <c r="M67" s="569">
        <v>2192.62</v>
      </c>
      <c r="N67" s="571">
        <v>4274.29</v>
      </c>
      <c r="O67" s="569">
        <v>2781.62</v>
      </c>
      <c r="P67" s="570">
        <v>9248.5299999999988</v>
      </c>
      <c r="Q67" s="569">
        <v>3158.21</v>
      </c>
      <c r="R67" s="569">
        <v>4849.21</v>
      </c>
      <c r="S67" s="569"/>
      <c r="T67" s="570"/>
      <c r="U67" s="572"/>
    </row>
    <row r="68" spans="1:21">
      <c r="A68" s="566">
        <v>3314</v>
      </c>
      <c r="B68" s="557">
        <v>10095</v>
      </c>
      <c r="C68" s="567">
        <v>938661</v>
      </c>
      <c r="D68" s="568" t="s">
        <v>779</v>
      </c>
      <c r="E68" s="569">
        <v>0</v>
      </c>
      <c r="F68" s="569">
        <v>9838.9800000000014</v>
      </c>
      <c r="G68" s="569">
        <v>1733.75</v>
      </c>
      <c r="H68" s="570">
        <v>11572.730000000001</v>
      </c>
      <c r="I68" s="569">
        <v>0</v>
      </c>
      <c r="J68" s="569">
        <v>10225.960000000001</v>
      </c>
      <c r="K68" s="569">
        <v>8180.78</v>
      </c>
      <c r="L68" s="570">
        <v>18406.740000000002</v>
      </c>
      <c r="M68" s="569">
        <v>2759.61</v>
      </c>
      <c r="N68" s="571">
        <v>1950.9199999999998</v>
      </c>
      <c r="O68" s="569">
        <v>2882.2000000000003</v>
      </c>
      <c r="P68" s="570">
        <v>7592.73</v>
      </c>
      <c r="Q68" s="569">
        <v>4067.05</v>
      </c>
      <c r="R68" s="569">
        <v>2818.2400000000002</v>
      </c>
      <c r="S68" s="569"/>
      <c r="T68" s="570"/>
      <c r="U68" s="572"/>
    </row>
    <row r="69" spans="1:21">
      <c r="A69" s="566">
        <v>3507</v>
      </c>
      <c r="B69" s="557">
        <v>10108</v>
      </c>
      <c r="C69" s="567">
        <v>938670</v>
      </c>
      <c r="D69" s="568" t="s">
        <v>780</v>
      </c>
      <c r="E69" s="569">
        <v>0</v>
      </c>
      <c r="F69" s="569">
        <v>22064.7</v>
      </c>
      <c r="G69" s="569">
        <v>6197.21</v>
      </c>
      <c r="H69" s="570">
        <v>28261.91</v>
      </c>
      <c r="I69" s="569">
        <v>0</v>
      </c>
      <c r="J69" s="569">
        <v>11940.02</v>
      </c>
      <c r="K69" s="569">
        <v>5052.5200000000004</v>
      </c>
      <c r="L69" s="570">
        <v>16992.54</v>
      </c>
      <c r="M69" s="569">
        <v>8858.56</v>
      </c>
      <c r="N69" s="571">
        <v>11302.970000000001</v>
      </c>
      <c r="O69" s="569">
        <v>12777.12</v>
      </c>
      <c r="P69" s="570">
        <v>32938.65</v>
      </c>
      <c r="Q69" s="569">
        <v>0</v>
      </c>
      <c r="R69" s="569">
        <v>10709.75</v>
      </c>
      <c r="S69" s="569"/>
      <c r="T69" s="570"/>
      <c r="U69" s="572"/>
    </row>
    <row r="70" spans="1:21">
      <c r="A70" s="566">
        <v>3506</v>
      </c>
      <c r="B70" s="557">
        <v>10096</v>
      </c>
      <c r="C70" s="567">
        <v>938669</v>
      </c>
      <c r="D70" s="568" t="s">
        <v>781</v>
      </c>
      <c r="E70" s="569">
        <v>0</v>
      </c>
      <c r="F70" s="569">
        <v>15983.53</v>
      </c>
      <c r="G70" s="569">
        <v>1837.2</v>
      </c>
      <c r="H70" s="570">
        <v>17820.73</v>
      </c>
      <c r="I70" s="569">
        <v>0</v>
      </c>
      <c r="J70" s="569">
        <v>11091.91</v>
      </c>
      <c r="K70" s="569">
        <v>4226.9799999999996</v>
      </c>
      <c r="L70" s="570">
        <v>15318.89</v>
      </c>
      <c r="M70" s="569">
        <v>8547.3499999999985</v>
      </c>
      <c r="N70" s="571">
        <v>3098.86</v>
      </c>
      <c r="O70" s="569">
        <v>3293.0800000000004</v>
      </c>
      <c r="P70" s="570">
        <v>14939.289999999999</v>
      </c>
      <c r="Q70" s="569">
        <v>4366.42</v>
      </c>
      <c r="R70" s="569">
        <v>3811.18</v>
      </c>
      <c r="S70" s="569"/>
      <c r="T70" s="570"/>
      <c r="U70" s="572"/>
    </row>
    <row r="71" spans="1:21">
      <c r="A71" s="566">
        <v>2070</v>
      </c>
      <c r="B71" s="557">
        <v>10097</v>
      </c>
      <c r="C71" s="567">
        <v>938643</v>
      </c>
      <c r="D71" s="568" t="s">
        <v>782</v>
      </c>
      <c r="E71" s="569">
        <v>3178.16</v>
      </c>
      <c r="F71" s="569">
        <v>6678.87</v>
      </c>
      <c r="G71" s="569">
        <v>3210.83</v>
      </c>
      <c r="H71" s="570">
        <v>13067.859999999999</v>
      </c>
      <c r="I71" s="569">
        <v>0</v>
      </c>
      <c r="J71" s="569">
        <v>1305.78</v>
      </c>
      <c r="K71" s="569">
        <v>3512.23</v>
      </c>
      <c r="L71" s="570">
        <v>4818.01</v>
      </c>
      <c r="M71" s="569">
        <v>4481.46</v>
      </c>
      <c r="N71" s="571">
        <v>6993.68</v>
      </c>
      <c r="O71" s="569">
        <v>7675.68</v>
      </c>
      <c r="P71" s="570">
        <v>19150.82</v>
      </c>
      <c r="Q71" s="569">
        <v>4714.13</v>
      </c>
      <c r="R71" s="569">
        <v>14915.76</v>
      </c>
      <c r="S71" s="569"/>
      <c r="T71" s="570"/>
      <c r="U71" s="572"/>
    </row>
    <row r="72" spans="1:21">
      <c r="A72" s="566">
        <v>3316</v>
      </c>
      <c r="B72" s="557">
        <v>10100</v>
      </c>
      <c r="C72" s="567">
        <v>938663</v>
      </c>
      <c r="D72" s="568" t="s">
        <v>783</v>
      </c>
      <c r="E72" s="569">
        <v>0</v>
      </c>
      <c r="F72" s="569">
        <v>7329.71</v>
      </c>
      <c r="G72" s="569">
        <v>3138.77</v>
      </c>
      <c r="H72" s="570">
        <v>10468.48</v>
      </c>
      <c r="I72" s="569">
        <v>0</v>
      </c>
      <c r="J72" s="569">
        <v>4155.34</v>
      </c>
      <c r="K72" s="569">
        <v>5743.71</v>
      </c>
      <c r="L72" s="570">
        <v>9899.0499999999993</v>
      </c>
      <c r="M72" s="569">
        <v>2679.16</v>
      </c>
      <c r="N72" s="571">
        <v>2141.0300000000002</v>
      </c>
      <c r="O72" s="569">
        <v>1598.94</v>
      </c>
      <c r="P72" s="570">
        <v>6419.130000000001</v>
      </c>
      <c r="Q72" s="569">
        <v>763.18999999999994</v>
      </c>
      <c r="R72" s="569">
        <v>325.89</v>
      </c>
      <c r="S72" s="569"/>
      <c r="T72" s="570"/>
      <c r="U72" s="572"/>
    </row>
    <row r="73" spans="1:21">
      <c r="A73" s="566">
        <v>2055</v>
      </c>
      <c r="B73" s="557">
        <v>10101</v>
      </c>
      <c r="C73" s="567">
        <v>938638</v>
      </c>
      <c r="D73" s="568" t="s">
        <v>192</v>
      </c>
      <c r="E73" s="569">
        <v>0</v>
      </c>
      <c r="F73" s="569">
        <v>24865.7</v>
      </c>
      <c r="G73" s="569">
        <v>7626.55</v>
      </c>
      <c r="H73" s="570">
        <v>32492.25</v>
      </c>
      <c r="I73" s="569">
        <v>11579.53</v>
      </c>
      <c r="J73" s="569">
        <v>0</v>
      </c>
      <c r="K73" s="569">
        <v>10781.52</v>
      </c>
      <c r="L73" s="570">
        <v>22361.050000000003</v>
      </c>
      <c r="M73" s="569">
        <v>8832.33</v>
      </c>
      <c r="N73" s="571">
        <v>7386.6</v>
      </c>
      <c r="O73" s="569">
        <v>10600.57</v>
      </c>
      <c r="P73" s="570">
        <v>26819.5</v>
      </c>
      <c r="Q73" s="569">
        <v>9373.48</v>
      </c>
      <c r="R73" s="569">
        <v>7665.61</v>
      </c>
      <c r="S73" s="569"/>
      <c r="T73" s="570"/>
      <c r="U73" s="572"/>
    </row>
    <row r="74" spans="1:21">
      <c r="A74" s="566">
        <v>2057</v>
      </c>
      <c r="B74" s="557">
        <v>10103</v>
      </c>
      <c r="C74" s="567">
        <v>938640</v>
      </c>
      <c r="D74" s="568" t="s">
        <v>193</v>
      </c>
      <c r="E74" s="569">
        <v>0</v>
      </c>
      <c r="F74" s="569">
        <v>18216.72</v>
      </c>
      <c r="G74" s="569">
        <v>18026.32</v>
      </c>
      <c r="H74" s="570">
        <v>36243.040000000001</v>
      </c>
      <c r="I74" s="569">
        <v>0</v>
      </c>
      <c r="J74" s="569">
        <v>15955.86</v>
      </c>
      <c r="K74" s="569">
        <v>13524.78</v>
      </c>
      <c r="L74" s="570">
        <v>29480.639999999999</v>
      </c>
      <c r="M74" s="569">
        <v>17091.43</v>
      </c>
      <c r="N74" s="571">
        <v>18301.990000000002</v>
      </c>
      <c r="O74" s="569">
        <v>12201.13</v>
      </c>
      <c r="P74" s="570">
        <v>47594.549999999996</v>
      </c>
      <c r="Q74" s="569">
        <v>12011.18</v>
      </c>
      <c r="R74" s="569">
        <v>11719.17</v>
      </c>
      <c r="S74" s="569"/>
      <c r="T74" s="570"/>
      <c r="U74" s="572"/>
    </row>
    <row r="75" spans="1:21">
      <c r="A75" s="566">
        <v>2076</v>
      </c>
      <c r="B75" s="557">
        <v>10124</v>
      </c>
      <c r="C75" s="567">
        <v>938648</v>
      </c>
      <c r="D75" s="568" t="s">
        <v>784</v>
      </c>
      <c r="E75" s="569">
        <v>0</v>
      </c>
      <c r="F75" s="569">
        <v>24127.1</v>
      </c>
      <c r="G75" s="569">
        <v>7174.9</v>
      </c>
      <c r="H75" s="570">
        <v>31302</v>
      </c>
      <c r="I75" s="569">
        <v>0</v>
      </c>
      <c r="J75" s="569">
        <v>8750.6400000000012</v>
      </c>
      <c r="K75" s="569">
        <v>12663.97</v>
      </c>
      <c r="L75" s="570">
        <v>21414.61</v>
      </c>
      <c r="M75" s="569">
        <v>13847.15</v>
      </c>
      <c r="N75" s="571">
        <v>7997.87</v>
      </c>
      <c r="O75" s="569">
        <v>8998.5500000000011</v>
      </c>
      <c r="P75" s="570">
        <v>30843.57</v>
      </c>
      <c r="Q75" s="569">
        <v>6458.79</v>
      </c>
      <c r="R75" s="569">
        <v>10429.540000000001</v>
      </c>
      <c r="S75" s="569"/>
      <c r="T75" s="570"/>
      <c r="U75" s="572"/>
    </row>
    <row r="76" spans="1:21">
      <c r="A76" s="566">
        <v>2060</v>
      </c>
      <c r="B76" s="557">
        <v>10105</v>
      </c>
      <c r="C76" s="567">
        <v>938641</v>
      </c>
      <c r="D76" s="568" t="s">
        <v>785</v>
      </c>
      <c r="E76" s="569">
        <v>0</v>
      </c>
      <c r="F76" s="569">
        <v>20029.86</v>
      </c>
      <c r="G76" s="569">
        <v>13642.76</v>
      </c>
      <c r="H76" s="570">
        <v>33672.620000000003</v>
      </c>
      <c r="I76" s="569">
        <v>0</v>
      </c>
      <c r="J76" s="569">
        <v>19150.12</v>
      </c>
      <c r="K76" s="569">
        <v>12026.560000000001</v>
      </c>
      <c r="L76" s="570">
        <v>31176.68</v>
      </c>
      <c r="M76" s="569">
        <v>12738.45</v>
      </c>
      <c r="N76" s="571">
        <v>9652.2199999999993</v>
      </c>
      <c r="O76" s="569">
        <v>10140.49</v>
      </c>
      <c r="P76" s="570">
        <v>32531.159999999996</v>
      </c>
      <c r="Q76" s="569">
        <v>7410.26</v>
      </c>
      <c r="R76" s="569">
        <v>8991.8000000000011</v>
      </c>
      <c r="S76" s="569"/>
      <c r="T76" s="570"/>
      <c r="U76" s="572"/>
    </row>
    <row r="77" spans="1:21">
      <c r="A77" s="566">
        <v>3518</v>
      </c>
      <c r="B77" s="557">
        <v>10123</v>
      </c>
      <c r="C77" s="567">
        <v>938679</v>
      </c>
      <c r="D77" s="568" t="s">
        <v>196</v>
      </c>
      <c r="E77" s="569">
        <v>0</v>
      </c>
      <c r="F77" s="569">
        <v>22532.99</v>
      </c>
      <c r="G77" s="569">
        <v>10308.56</v>
      </c>
      <c r="H77" s="570">
        <v>32841.550000000003</v>
      </c>
      <c r="I77" s="569">
        <v>10266.730000000001</v>
      </c>
      <c r="J77" s="569">
        <v>0</v>
      </c>
      <c r="K77" s="569">
        <v>10182.25</v>
      </c>
      <c r="L77" s="570">
        <v>20448.980000000003</v>
      </c>
      <c r="M77" s="569">
        <v>13261.779999999999</v>
      </c>
      <c r="N77" s="571">
        <v>6937.5599999999995</v>
      </c>
      <c r="O77" s="569">
        <v>10251.779999999999</v>
      </c>
      <c r="P77" s="570">
        <v>30451.119999999995</v>
      </c>
      <c r="Q77" s="569">
        <v>10077.43</v>
      </c>
      <c r="R77" s="569">
        <v>6750.79</v>
      </c>
      <c r="S77" s="569"/>
      <c r="T77" s="570"/>
      <c r="U77" s="572"/>
    </row>
    <row r="78" spans="1:21">
      <c r="A78" s="566">
        <v>2054</v>
      </c>
      <c r="B78" s="557">
        <v>10109</v>
      </c>
      <c r="C78" s="567">
        <v>938637</v>
      </c>
      <c r="D78" s="568" t="s">
        <v>786</v>
      </c>
      <c r="E78" s="569">
        <v>18276.919999999998</v>
      </c>
      <c r="F78" s="569">
        <v>0</v>
      </c>
      <c r="G78" s="569">
        <v>5824.55</v>
      </c>
      <c r="H78" s="570">
        <v>24101.469999999998</v>
      </c>
      <c r="I78" s="569">
        <v>4462.8599999999997</v>
      </c>
      <c r="J78" s="569">
        <v>108.01</v>
      </c>
      <c r="K78" s="569">
        <v>4371.09</v>
      </c>
      <c r="L78" s="570">
        <v>8941.9599999999991</v>
      </c>
      <c r="M78" s="569">
        <v>11356.519999999999</v>
      </c>
      <c r="N78" s="571">
        <v>7404.12</v>
      </c>
      <c r="O78" s="569">
        <v>6061.96</v>
      </c>
      <c r="P78" s="570">
        <v>24822.6</v>
      </c>
      <c r="Q78" s="569">
        <v>8727.89</v>
      </c>
      <c r="R78" s="569">
        <v>9945.48</v>
      </c>
      <c r="S78" s="569"/>
      <c r="T78" s="570"/>
      <c r="U78" s="572"/>
    </row>
    <row r="79" spans="1:21">
      <c r="A79" s="566">
        <v>5405</v>
      </c>
      <c r="B79" s="557">
        <v>10145</v>
      </c>
      <c r="C79" s="567">
        <v>938690</v>
      </c>
      <c r="D79" s="568" t="s">
        <v>202</v>
      </c>
      <c r="E79" s="569">
        <v>0</v>
      </c>
      <c r="F79" s="569">
        <v>48735.4</v>
      </c>
      <c r="G79" s="569">
        <v>15806.050000000001</v>
      </c>
      <c r="H79" s="570">
        <v>64541.450000000004</v>
      </c>
      <c r="I79" s="569">
        <v>0</v>
      </c>
      <c r="J79" s="569">
        <v>20235.13</v>
      </c>
      <c r="K79" s="569">
        <v>33733.629999999997</v>
      </c>
      <c r="L79" s="570">
        <v>53968.759999999995</v>
      </c>
      <c r="M79" s="569">
        <v>22722.51</v>
      </c>
      <c r="N79" s="571">
        <v>14864.74</v>
      </c>
      <c r="O79" s="569">
        <v>13056.52</v>
      </c>
      <c r="P79" s="570">
        <v>50643.770000000004</v>
      </c>
      <c r="Q79" s="569">
        <v>11884.51</v>
      </c>
      <c r="R79" s="569">
        <v>18077.21</v>
      </c>
      <c r="S79" s="569"/>
      <c r="T79" s="570"/>
      <c r="U79" s="572"/>
    </row>
    <row r="80" spans="1:21">
      <c r="A80" s="566">
        <v>4003</v>
      </c>
      <c r="B80" s="557">
        <v>10139</v>
      </c>
      <c r="C80" s="567">
        <v>938683</v>
      </c>
      <c r="D80" s="568" t="s">
        <v>203</v>
      </c>
      <c r="E80" s="569">
        <v>22941.48</v>
      </c>
      <c r="F80" s="569">
        <v>10289.040000000001</v>
      </c>
      <c r="G80" s="569">
        <v>25000.05</v>
      </c>
      <c r="H80" s="570">
        <v>58230.570000000007</v>
      </c>
      <c r="I80" s="569">
        <v>13733.92</v>
      </c>
      <c r="J80" s="569">
        <v>13534.76</v>
      </c>
      <c r="K80" s="569">
        <v>10191.93</v>
      </c>
      <c r="L80" s="570">
        <v>37460.61</v>
      </c>
      <c r="M80" s="569">
        <v>20619.349999999999</v>
      </c>
      <c r="N80" s="571">
        <v>7344.78</v>
      </c>
      <c r="O80" s="569">
        <v>8948.9599999999991</v>
      </c>
      <c r="P80" s="570">
        <v>36913.089999999997</v>
      </c>
      <c r="Q80" s="569">
        <v>13534.39</v>
      </c>
      <c r="R80" s="569">
        <v>14098.5</v>
      </c>
      <c r="S80" s="569"/>
      <c r="T80" s="570"/>
      <c r="U80" s="572"/>
    </row>
    <row r="81" spans="1:21">
      <c r="A81" s="566">
        <v>5427</v>
      </c>
      <c r="B81" s="557">
        <v>11174</v>
      </c>
      <c r="C81" s="567">
        <v>938693</v>
      </c>
      <c r="D81" s="568" t="s">
        <v>204</v>
      </c>
      <c r="E81" s="569">
        <v>0</v>
      </c>
      <c r="F81" s="569">
        <v>57045.74</v>
      </c>
      <c r="G81" s="569">
        <v>60996.12</v>
      </c>
      <c r="H81" s="570">
        <v>118041.86</v>
      </c>
      <c r="I81" s="569">
        <v>0</v>
      </c>
      <c r="J81" s="569">
        <v>37937.69</v>
      </c>
      <c r="K81" s="569">
        <v>36954.159999999996</v>
      </c>
      <c r="L81" s="570">
        <v>74891.850000000006</v>
      </c>
      <c r="M81" s="569">
        <v>80.56</v>
      </c>
      <c r="N81" s="571">
        <v>43753.88</v>
      </c>
      <c r="O81" s="569">
        <v>0</v>
      </c>
      <c r="P81" s="570">
        <v>43834.439999999995</v>
      </c>
      <c r="Q81" s="569">
        <v>64597.33</v>
      </c>
      <c r="R81" s="569">
        <v>50228.43</v>
      </c>
      <c r="S81" s="569"/>
      <c r="T81" s="570"/>
      <c r="U81" s="572"/>
    </row>
    <row r="82" spans="1:21">
      <c r="A82" s="566">
        <v>4004</v>
      </c>
      <c r="B82" s="557">
        <v>11513</v>
      </c>
      <c r="C82" s="567">
        <v>938707</v>
      </c>
      <c r="D82" s="568" t="s">
        <v>787</v>
      </c>
      <c r="E82" s="569">
        <v>13219.63</v>
      </c>
      <c r="F82" s="569">
        <v>10213.120000000001</v>
      </c>
      <c r="G82" s="569">
        <v>2482.9</v>
      </c>
      <c r="H82" s="570">
        <v>25915.65</v>
      </c>
      <c r="I82" s="569">
        <v>0</v>
      </c>
      <c r="J82" s="569">
        <v>0</v>
      </c>
      <c r="K82" s="569">
        <v>20853.98</v>
      </c>
      <c r="L82" s="570">
        <v>20853.98</v>
      </c>
      <c r="M82" s="569">
        <v>4547.62</v>
      </c>
      <c r="N82" s="571">
        <v>5516.99</v>
      </c>
      <c r="O82" s="569">
        <v>4107.57</v>
      </c>
      <c r="P82" s="570">
        <v>14172.18</v>
      </c>
      <c r="Q82" s="569">
        <v>8908.77</v>
      </c>
      <c r="R82" s="569">
        <v>5134.09</v>
      </c>
      <c r="S82" s="569"/>
      <c r="T82" s="570"/>
      <c r="U82" s="572"/>
    </row>
    <row r="83" spans="1:21">
      <c r="A83" s="566">
        <v>5407</v>
      </c>
      <c r="B83" s="557">
        <v>10142</v>
      </c>
      <c r="C83" s="567">
        <v>938691</v>
      </c>
      <c r="D83" s="568" t="s">
        <v>788</v>
      </c>
      <c r="E83" s="569">
        <v>30650.97</v>
      </c>
      <c r="F83" s="569">
        <v>41888.75</v>
      </c>
      <c r="G83" s="569">
        <v>37470.6</v>
      </c>
      <c r="H83" s="570">
        <v>110010.32</v>
      </c>
      <c r="I83" s="569">
        <v>33278.28</v>
      </c>
      <c r="J83" s="569">
        <v>2960.06</v>
      </c>
      <c r="K83" s="569">
        <v>72961.88</v>
      </c>
      <c r="L83" s="570">
        <v>109200.22</v>
      </c>
      <c r="M83" s="569">
        <v>35071.22</v>
      </c>
      <c r="N83" s="571">
        <v>54897.67</v>
      </c>
      <c r="O83" s="569">
        <v>30277.1</v>
      </c>
      <c r="P83" s="570">
        <v>120245.98999999999</v>
      </c>
      <c r="Q83" s="569">
        <v>21470.76</v>
      </c>
      <c r="R83" s="569">
        <v>21470.76</v>
      </c>
      <c r="S83" s="569"/>
      <c r="T83" s="570"/>
      <c r="U83" s="572"/>
    </row>
    <row r="84" spans="1:21">
      <c r="A84" s="566">
        <v>5404</v>
      </c>
      <c r="B84" s="557">
        <v>10148</v>
      </c>
      <c r="C84" s="567">
        <v>938689</v>
      </c>
      <c r="D84" s="568" t="s">
        <v>789</v>
      </c>
      <c r="E84" s="569">
        <v>15097.42</v>
      </c>
      <c r="F84" s="569">
        <v>21427.829999999998</v>
      </c>
      <c r="G84" s="569">
        <v>13140.810000000001</v>
      </c>
      <c r="H84" s="570">
        <v>49666.06</v>
      </c>
      <c r="I84" s="569">
        <v>43020.1</v>
      </c>
      <c r="J84" s="569">
        <v>4818.8500000000004</v>
      </c>
      <c r="K84" s="569">
        <v>19184.689999999999</v>
      </c>
      <c r="L84" s="570">
        <v>67023.64</v>
      </c>
      <c r="M84" s="569">
        <v>22067.45</v>
      </c>
      <c r="N84" s="571">
        <v>9010.17</v>
      </c>
      <c r="O84" s="569">
        <v>21946.92</v>
      </c>
      <c r="P84" s="570">
        <v>53024.54</v>
      </c>
      <c r="Q84" s="569">
        <v>13627.23</v>
      </c>
      <c r="R84" s="569">
        <v>11694.94</v>
      </c>
      <c r="S84" s="569"/>
      <c r="T84" s="570"/>
      <c r="U84" s="572"/>
    </row>
    <row r="85" spans="1:21">
      <c r="A85" s="566">
        <v>3521</v>
      </c>
      <c r="B85" s="557">
        <v>10698</v>
      </c>
      <c r="C85" s="567">
        <v>938681</v>
      </c>
      <c r="D85" s="568" t="s">
        <v>790</v>
      </c>
      <c r="E85" s="569">
        <v>6850.95</v>
      </c>
      <c r="F85" s="569">
        <v>74495.710000000006</v>
      </c>
      <c r="G85" s="569">
        <v>50698.450000000004</v>
      </c>
      <c r="H85" s="570">
        <v>132045.11000000002</v>
      </c>
      <c r="I85" s="569">
        <v>52718.990000000005</v>
      </c>
      <c r="J85" s="569">
        <v>8504.92</v>
      </c>
      <c r="K85" s="569">
        <v>53565.23</v>
      </c>
      <c r="L85" s="570">
        <v>114789.14000000001</v>
      </c>
      <c r="M85" s="569">
        <v>61818.16</v>
      </c>
      <c r="N85" s="571">
        <v>43283.27</v>
      </c>
      <c r="O85" s="569">
        <v>49961.469999999994</v>
      </c>
      <c r="P85" s="570">
        <v>155062.9</v>
      </c>
      <c r="Q85" s="569">
        <v>30728.71</v>
      </c>
      <c r="R85" s="569">
        <v>72119.210000000006</v>
      </c>
      <c r="S85" s="569"/>
      <c r="T85" s="570"/>
      <c r="U85" s="572"/>
    </row>
    <row r="86" spans="1:21">
      <c r="A86" s="566">
        <v>7010</v>
      </c>
      <c r="B86" s="557">
        <v>10159</v>
      </c>
      <c r="C86" s="567">
        <v>938699</v>
      </c>
      <c r="D86" s="568" t="s">
        <v>791</v>
      </c>
      <c r="E86" s="569">
        <v>0</v>
      </c>
      <c r="F86" s="569">
        <v>17901.82</v>
      </c>
      <c r="G86" s="569">
        <v>13539.71</v>
      </c>
      <c r="H86" s="570">
        <v>31441.53</v>
      </c>
      <c r="I86" s="569">
        <v>0</v>
      </c>
      <c r="J86" s="569">
        <v>10538.02</v>
      </c>
      <c r="K86" s="569">
        <v>10393.84</v>
      </c>
      <c r="L86" s="570">
        <v>20931.86</v>
      </c>
      <c r="M86" s="569">
        <v>12104.89</v>
      </c>
      <c r="N86" s="571">
        <v>10320.780000000001</v>
      </c>
      <c r="O86" s="569">
        <v>7087.84</v>
      </c>
      <c r="P86" s="570">
        <v>29513.51</v>
      </c>
      <c r="Q86" s="569">
        <v>10197.209999999999</v>
      </c>
      <c r="R86" s="569">
        <v>9664.65</v>
      </c>
      <c r="S86" s="569"/>
      <c r="T86" s="570"/>
      <c r="U86" s="572"/>
    </row>
    <row r="87" spans="1:21">
      <c r="A87" s="566">
        <v>7005</v>
      </c>
      <c r="B87" s="557">
        <v>10157</v>
      </c>
      <c r="C87" s="567">
        <v>938697</v>
      </c>
      <c r="D87" s="568" t="s">
        <v>792</v>
      </c>
      <c r="E87" s="569">
        <v>0</v>
      </c>
      <c r="F87" s="569">
        <v>56314.71</v>
      </c>
      <c r="G87" s="569">
        <v>56667.82</v>
      </c>
      <c r="H87" s="570">
        <v>112982.53</v>
      </c>
      <c r="I87" s="569">
        <v>0</v>
      </c>
      <c r="J87" s="569">
        <v>21657.27</v>
      </c>
      <c r="K87" s="569">
        <v>15592.83</v>
      </c>
      <c r="L87" s="570">
        <v>37250.1</v>
      </c>
      <c r="M87" s="569">
        <v>33714.870000000003</v>
      </c>
      <c r="N87" s="571">
        <v>12330.85</v>
      </c>
      <c r="O87" s="569">
        <v>27822.71</v>
      </c>
      <c r="P87" s="570">
        <v>73868.429999999993</v>
      </c>
      <c r="Q87" s="569">
        <v>11423.23</v>
      </c>
      <c r="R87" s="569">
        <v>22602.44</v>
      </c>
      <c r="S87" s="569"/>
      <c r="T87" s="570"/>
      <c r="U87" s="572"/>
    </row>
    <row r="88" spans="1:21">
      <c r="A88" s="566">
        <v>7009</v>
      </c>
      <c r="B88" s="557">
        <v>10158</v>
      </c>
      <c r="C88" s="567">
        <v>938698</v>
      </c>
      <c r="D88" s="568" t="s">
        <v>793</v>
      </c>
      <c r="E88" s="569">
        <v>-6132.5099999999984</v>
      </c>
      <c r="F88" s="569">
        <v>0</v>
      </c>
      <c r="G88" s="569">
        <v>-11385.84</v>
      </c>
      <c r="H88" s="570">
        <v>-17518.349999999999</v>
      </c>
      <c r="I88" s="569">
        <v>0</v>
      </c>
      <c r="J88" s="569">
        <v>-8742.07</v>
      </c>
      <c r="K88" s="569">
        <v>23935.09</v>
      </c>
      <c r="L88" s="570">
        <v>15193.02</v>
      </c>
      <c r="M88" s="569">
        <v>12273.38</v>
      </c>
      <c r="N88" s="571"/>
      <c r="O88" s="569"/>
      <c r="P88" s="570">
        <v>12273.38</v>
      </c>
      <c r="Q88" s="569">
        <v>18791.32</v>
      </c>
      <c r="R88" s="569">
        <v>0</v>
      </c>
      <c r="S88" s="569"/>
      <c r="T88" s="570"/>
      <c r="U88" s="574"/>
    </row>
    <row r="89" spans="1:21">
      <c r="A89" s="566">
        <v>1000</v>
      </c>
      <c r="B89" s="557">
        <v>10135</v>
      </c>
      <c r="C89" s="567">
        <v>938600</v>
      </c>
      <c r="D89" s="568" t="s">
        <v>125</v>
      </c>
      <c r="E89" s="569">
        <v>13489.14</v>
      </c>
      <c r="F89" s="569">
        <v>0</v>
      </c>
      <c r="G89" s="569">
        <v>3116.89</v>
      </c>
      <c r="H89" s="570">
        <v>16606.03</v>
      </c>
      <c r="I89" s="569">
        <v>3068.73</v>
      </c>
      <c r="J89" s="569">
        <v>0</v>
      </c>
      <c r="K89" s="569">
        <v>4050.53</v>
      </c>
      <c r="L89" s="570">
        <v>7119.26</v>
      </c>
      <c r="M89" s="569">
        <v>1574.49</v>
      </c>
      <c r="N89" s="571">
        <v>1896.81</v>
      </c>
      <c r="O89" s="569">
        <v>2668.66</v>
      </c>
      <c r="P89" s="570">
        <v>6139.96</v>
      </c>
      <c r="Q89" s="569">
        <v>3511.2</v>
      </c>
      <c r="R89" s="569">
        <v>3588.27</v>
      </c>
      <c r="S89" s="569"/>
      <c r="T89" s="570"/>
      <c r="U89" s="572"/>
    </row>
    <row r="90" spans="1:21">
      <c r="A90" s="566">
        <v>1002</v>
      </c>
      <c r="B90" s="557">
        <v>10132</v>
      </c>
      <c r="C90" s="567">
        <v>938602</v>
      </c>
      <c r="D90" s="568" t="s">
        <v>794</v>
      </c>
      <c r="E90" s="569">
        <v>3982.47</v>
      </c>
      <c r="F90" s="569">
        <v>4644.2299999999996</v>
      </c>
      <c r="G90" s="569">
        <v>1534.26</v>
      </c>
      <c r="H90" s="570">
        <v>10160.959999999999</v>
      </c>
      <c r="I90" s="569">
        <v>10678.35</v>
      </c>
      <c r="J90" s="569">
        <v>70.69</v>
      </c>
      <c r="K90" s="569">
        <v>218.45</v>
      </c>
      <c r="L90" s="570">
        <v>10967.490000000002</v>
      </c>
      <c r="M90" s="569">
        <v>2765.6</v>
      </c>
      <c r="N90" s="571">
        <v>2825.73</v>
      </c>
      <c r="O90" s="569">
        <v>127.73</v>
      </c>
      <c r="P90" s="570">
        <v>5719.0599999999995</v>
      </c>
      <c r="Q90" s="569">
        <v>3711.73</v>
      </c>
      <c r="R90" s="569">
        <v>3828.16</v>
      </c>
      <c r="S90" s="569"/>
      <c r="T90" s="570"/>
      <c r="U90" s="572"/>
    </row>
    <row r="91" spans="1:21">
      <c r="A91" s="566">
        <v>1102</v>
      </c>
      <c r="B91" s="557">
        <v>10185</v>
      </c>
      <c r="C91" s="567">
        <v>938705</v>
      </c>
      <c r="D91" s="568" t="s">
        <v>198</v>
      </c>
      <c r="E91" s="569">
        <v>0</v>
      </c>
      <c r="F91" s="569">
        <v>4483.75</v>
      </c>
      <c r="G91" s="569">
        <v>6267.95</v>
      </c>
      <c r="H91" s="570">
        <v>10751.7</v>
      </c>
      <c r="I91" s="569">
        <v>0</v>
      </c>
      <c r="J91" s="569">
        <v>0</v>
      </c>
      <c r="K91" s="569">
        <v>620.98</v>
      </c>
      <c r="L91" s="570">
        <v>620.98</v>
      </c>
      <c r="M91" s="569">
        <v>1031.5999999999999</v>
      </c>
      <c r="N91" s="571">
        <v>1817.86</v>
      </c>
      <c r="O91" s="569">
        <v>427.39</v>
      </c>
      <c r="P91" s="570">
        <v>3276.85</v>
      </c>
      <c r="Q91" s="569">
        <v>391.8</v>
      </c>
      <c r="R91" s="569">
        <v>531.62</v>
      </c>
      <c r="S91" s="569"/>
      <c r="T91" s="570"/>
      <c r="U91" s="572"/>
    </row>
    <row r="92" spans="1:21">
      <c r="A92" s="566">
        <v>1100</v>
      </c>
      <c r="B92" s="557">
        <v>10188</v>
      </c>
      <c r="C92" s="567">
        <v>938706</v>
      </c>
      <c r="D92" s="568" t="s">
        <v>200</v>
      </c>
      <c r="E92" s="569">
        <v>0</v>
      </c>
      <c r="F92" s="569">
        <v>19849.23</v>
      </c>
      <c r="G92" s="569">
        <v>17554.03</v>
      </c>
      <c r="H92" s="570">
        <v>37403.259999999995</v>
      </c>
      <c r="I92" s="569">
        <v>0</v>
      </c>
      <c r="J92" s="569">
        <v>15533.8</v>
      </c>
      <c r="K92" s="569">
        <v>9745.33</v>
      </c>
      <c r="L92" s="570">
        <v>25279.129999999997</v>
      </c>
      <c r="M92" s="569">
        <v>10779.14</v>
      </c>
      <c r="N92" s="571">
        <v>7091.36</v>
      </c>
      <c r="O92" s="569">
        <v>3944.51</v>
      </c>
      <c r="P92" s="570">
        <v>21815.010000000002</v>
      </c>
      <c r="Q92" s="569">
        <v>14046.24</v>
      </c>
      <c r="R92" s="569">
        <v>7354.18</v>
      </c>
      <c r="S92" s="569"/>
      <c r="T92" s="570"/>
      <c r="U92" s="572"/>
    </row>
    <row r="93" spans="1:21" ht="15" thickBot="1">
      <c r="A93" s="575"/>
      <c r="B93" s="559">
        <v>87</v>
      </c>
      <c r="D93" s="576" t="s">
        <v>795</v>
      </c>
      <c r="E93" s="577">
        <v>302397.21000000002</v>
      </c>
      <c r="F93" s="577">
        <v>1575984.2900000003</v>
      </c>
      <c r="G93" s="577">
        <v>968571.37000000023</v>
      </c>
      <c r="H93" s="578">
        <v>2846952.8699999992</v>
      </c>
      <c r="I93" s="577">
        <v>417870.83999999997</v>
      </c>
      <c r="J93" s="577">
        <v>711875.01000000036</v>
      </c>
      <c r="K93" s="577">
        <v>1052407.71</v>
      </c>
      <c r="L93" s="578">
        <v>2182153.5599999996</v>
      </c>
      <c r="M93" s="577">
        <v>869991.11</v>
      </c>
      <c r="N93" s="579">
        <v>829707.61000000022</v>
      </c>
      <c r="O93" s="577">
        <v>676740.80999999982</v>
      </c>
      <c r="P93" s="578">
        <v>2376439.5300000003</v>
      </c>
      <c r="Q93" s="577">
        <v>805362.34</v>
      </c>
      <c r="R93" s="577">
        <v>776704.57</v>
      </c>
      <c r="S93" s="577">
        <v>0</v>
      </c>
      <c r="T93" s="580">
        <v>1627532.4899999998</v>
      </c>
      <c r="U93" s="581">
        <v>8605910.0679999981</v>
      </c>
    </row>
    <row r="94" spans="1:21">
      <c r="A94" s="582"/>
      <c r="B94" s="583"/>
      <c r="C94" s="584"/>
      <c r="D94" s="585"/>
      <c r="E94" s="586"/>
      <c r="F94" s="586"/>
      <c r="G94" s="586"/>
      <c r="H94" s="587"/>
      <c r="I94" s="587"/>
      <c r="J94" s="587"/>
      <c r="K94" s="587"/>
      <c r="L94" s="587"/>
      <c r="M94" s="588"/>
      <c r="N94" s="588"/>
      <c r="O94" s="588"/>
      <c r="P94" s="204"/>
      <c r="Q94" s="588"/>
      <c r="R94" s="588"/>
      <c r="S94" s="204"/>
      <c r="T94" s="589"/>
      <c r="U94" s="590"/>
    </row>
    <row r="95" spans="1:21">
      <c r="C95" s="567"/>
      <c r="D95" s="591"/>
      <c r="E95" s="591"/>
      <c r="F95" s="591"/>
      <c r="G95" s="591"/>
    </row>
    <row r="96" spans="1:21">
      <c r="D96" s="592"/>
      <c r="E96" s="592"/>
      <c r="F96" s="592"/>
      <c r="G96" s="592"/>
    </row>
    <row r="97" spans="1:21" s="500" customFormat="1">
      <c r="A97" s="557"/>
      <c r="B97" s="557"/>
      <c r="C97" s="559"/>
      <c r="D97" s="591"/>
      <c r="E97" s="591"/>
      <c r="F97" s="591"/>
      <c r="G97" s="591"/>
      <c r="M97" s="558"/>
      <c r="N97" s="558"/>
      <c r="O97" s="558"/>
      <c r="P97"/>
      <c r="Q97" s="558"/>
      <c r="R97" s="558"/>
      <c r="S97"/>
      <c r="T97"/>
      <c r="U97" s="501"/>
    </row>
    <row r="98" spans="1:21" s="500" customFormat="1">
      <c r="A98" s="557"/>
      <c r="B98" s="557"/>
      <c r="C98" s="559"/>
      <c r="D98" s="591"/>
      <c r="E98" s="591"/>
      <c r="F98" s="591"/>
      <c r="G98" s="591"/>
      <c r="M98" s="558"/>
      <c r="N98" s="558"/>
      <c r="O98" s="558"/>
      <c r="P98"/>
      <c r="Q98" s="558"/>
      <c r="R98" s="558"/>
      <c r="S98"/>
      <c r="T98"/>
      <c r="U98" s="501"/>
    </row>
    <row r="99" spans="1:21" s="500" customFormat="1">
      <c r="A99" s="557"/>
      <c r="B99" s="557"/>
      <c r="C99" s="559"/>
      <c r="D99" s="593"/>
      <c r="E99" s="593"/>
      <c r="F99" s="593"/>
      <c r="G99" s="593"/>
      <c r="M99" s="558"/>
      <c r="N99" s="558"/>
      <c r="O99" s="558"/>
      <c r="P99"/>
      <c r="Q99" s="558"/>
      <c r="R99" s="558"/>
      <c r="S99"/>
      <c r="T99"/>
      <c r="U99" s="501"/>
    </row>
    <row r="100" spans="1:21" s="500" customFormat="1">
      <c r="A100" s="557"/>
      <c r="B100" s="557"/>
      <c r="C100" s="559"/>
      <c r="D100" s="593"/>
      <c r="E100" s="593"/>
      <c r="F100" s="593"/>
      <c r="G100" s="593"/>
      <c r="M100" s="558"/>
      <c r="N100" s="558"/>
      <c r="O100" s="558"/>
      <c r="P100"/>
      <c r="Q100" s="558"/>
      <c r="R100" s="558"/>
      <c r="S100"/>
      <c r="T100"/>
      <c r="U100" s="501"/>
    </row>
    <row r="101" spans="1:21" s="500" customFormat="1">
      <c r="A101" s="557"/>
      <c r="B101" s="557"/>
      <c r="C101" s="559"/>
      <c r="D101" s="594"/>
      <c r="E101" s="594"/>
      <c r="F101" s="594"/>
      <c r="G101" s="594"/>
      <c r="M101" s="558"/>
      <c r="N101" s="558"/>
      <c r="O101" s="558"/>
      <c r="P101"/>
      <c r="Q101" s="558"/>
      <c r="R101" s="558"/>
      <c r="S101"/>
      <c r="T101"/>
      <c r="U101" s="501"/>
    </row>
    <row r="102" spans="1:21" s="500" customFormat="1">
      <c r="A102" s="557"/>
      <c r="B102" s="592"/>
      <c r="C102" s="559"/>
      <c r="D102" s="557"/>
      <c r="E102" s="557"/>
      <c r="F102" s="557"/>
      <c r="G102" s="557"/>
      <c r="M102" s="558"/>
      <c r="N102" s="558"/>
      <c r="O102" s="558"/>
      <c r="P102"/>
      <c r="Q102" s="558"/>
      <c r="R102" s="558"/>
      <c r="S102"/>
      <c r="T102"/>
      <c r="U102" s="501"/>
    </row>
    <row r="104" spans="1:21" s="500" customFormat="1">
      <c r="A104" s="557"/>
      <c r="B104" s="557"/>
      <c r="C104" s="559"/>
      <c r="D104" s="557" t="s">
        <v>796</v>
      </c>
      <c r="E104" s="557"/>
      <c r="F104" s="557"/>
      <c r="G104" s="557"/>
      <c r="M104" s="558"/>
      <c r="N104" s="558"/>
      <c r="O104" s="558"/>
      <c r="P104"/>
      <c r="Q104" s="558"/>
      <c r="R104" s="558"/>
      <c r="S104"/>
      <c r="T104"/>
      <c r="U104" s="501"/>
    </row>
    <row r="106" spans="1:21" s="500" customFormat="1">
      <c r="A106" s="557"/>
      <c r="B106" s="557"/>
      <c r="C106" s="559"/>
      <c r="D106" s="595"/>
      <c r="E106" s="595"/>
      <c r="F106" s="595"/>
      <c r="G106" s="595"/>
      <c r="M106" s="558"/>
      <c r="N106" s="558"/>
      <c r="O106" s="558"/>
      <c r="P106"/>
      <c r="Q106" s="558"/>
      <c r="R106" s="558"/>
      <c r="S106"/>
      <c r="T106"/>
      <c r="U106" s="501"/>
    </row>
    <row r="108" spans="1:21" s="500" customFormat="1">
      <c r="A108" s="557"/>
      <c r="B108" s="557"/>
      <c r="C108" s="559"/>
      <c r="D108" s="596"/>
      <c r="E108" s="596"/>
      <c r="F108" s="596"/>
      <c r="G108" s="596"/>
      <c r="M108" s="558"/>
      <c r="N108" s="558"/>
      <c r="O108" s="558"/>
      <c r="P108"/>
      <c r="Q108" s="558"/>
      <c r="R108" s="558"/>
      <c r="S108"/>
      <c r="T108"/>
      <c r="U108" s="501"/>
    </row>
    <row r="109" spans="1:21" s="500" customFormat="1">
      <c r="A109" s="557"/>
      <c r="B109" s="557"/>
      <c r="C109" s="559"/>
      <c r="D109" s="596"/>
      <c r="E109" s="596"/>
      <c r="F109" s="596"/>
      <c r="G109" s="596"/>
      <c r="M109" s="558"/>
      <c r="N109" s="558"/>
      <c r="O109" s="558"/>
      <c r="P109"/>
      <c r="Q109" s="558"/>
      <c r="R109" s="558"/>
      <c r="S109"/>
      <c r="T109"/>
      <c r="U109" s="501"/>
    </row>
    <row r="110" spans="1:21" s="500" customFormat="1">
      <c r="A110" s="557"/>
      <c r="B110" s="557"/>
      <c r="C110" s="559"/>
      <c r="D110" s="596"/>
      <c r="E110" s="596"/>
      <c r="F110" s="596"/>
      <c r="G110" s="596"/>
      <c r="M110" s="558"/>
      <c r="N110" s="558"/>
      <c r="O110" s="558"/>
      <c r="P110"/>
      <c r="Q110" s="558"/>
      <c r="R110" s="558"/>
      <c r="S110"/>
      <c r="T110"/>
      <c r="U110" s="501"/>
    </row>
    <row r="111" spans="1:21" s="500" customFormat="1">
      <c r="A111" s="557"/>
      <c r="B111" s="557"/>
      <c r="C111" s="559"/>
      <c r="D111" s="596"/>
      <c r="E111" s="596"/>
      <c r="F111" s="596"/>
      <c r="G111" s="596"/>
      <c r="M111" s="558"/>
      <c r="N111" s="558"/>
      <c r="O111" s="558"/>
      <c r="P111"/>
      <c r="Q111" s="558"/>
      <c r="R111" s="558"/>
      <c r="S111"/>
      <c r="T111"/>
      <c r="U111" s="501"/>
    </row>
    <row r="112" spans="1:21" s="500" customFormat="1">
      <c r="A112" s="557"/>
      <c r="B112" s="557"/>
      <c r="C112" s="559"/>
      <c r="D112" s="596"/>
      <c r="E112" s="596"/>
      <c r="F112" s="596"/>
      <c r="G112" s="596"/>
      <c r="M112" s="558"/>
      <c r="N112" s="558"/>
      <c r="O112" s="558"/>
      <c r="P112"/>
      <c r="Q112" s="558"/>
      <c r="R112" s="558"/>
      <c r="S112"/>
      <c r="T112"/>
      <c r="U112" s="501"/>
    </row>
    <row r="113" spans="1:21" s="500" customFormat="1">
      <c r="A113" s="557"/>
      <c r="B113" s="557"/>
      <c r="C113" s="559"/>
      <c r="D113" s="596"/>
      <c r="E113" s="596"/>
      <c r="F113" s="596"/>
      <c r="G113" s="596"/>
      <c r="M113" s="558"/>
      <c r="N113" s="558"/>
      <c r="O113" s="558"/>
      <c r="P113"/>
      <c r="Q113" s="558"/>
      <c r="R113" s="558"/>
      <c r="S113"/>
      <c r="T113"/>
      <c r="U113" s="501"/>
    </row>
  </sheetData>
  <conditionalFormatting sqref="D108:G113">
    <cfRule type="cellIs" dxfId="33" priority="1" stopIfTrue="1" operator="lessThan">
      <formula>0</formula>
    </cfRule>
  </conditionalFormatting>
  <pageMargins left="0.11811023622047245" right="0.11811023622047245" top="0.19685039370078741" bottom="0.23622047244094491" header="0.31496062992125984" footer="7.874015748031496E-2"/>
  <pageSetup paperSize="9" scale="83" orientation="landscape" r:id="rId1"/>
  <headerFooter>
    <oddFooter>&amp;L&amp;Z&amp;F&amp;R&amp;D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6AD70-3B31-4933-936D-60C321F2F777}">
  <sheetPr>
    <tabColor rgb="FFFFFF00"/>
  </sheetPr>
  <dimension ref="A1"/>
  <sheetViews>
    <sheetView workbookViewId="0">
      <selection activeCell="N20" sqref="N20"/>
    </sheetView>
  </sheetViews>
  <sheetFormatPr defaultRowHeight="14.4"/>
  <sheetData>
    <row r="1" spans="1:1" ht="25.8">
      <c r="A1" s="530" t="s">
        <v>481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023A3-B615-4CF9-8ADD-71E094430D1F}">
  <sheetPr codeName="Sheet26"/>
  <dimension ref="B4:K76"/>
  <sheetViews>
    <sheetView topLeftCell="A65" workbookViewId="0">
      <selection activeCell="D72" sqref="D72"/>
    </sheetView>
  </sheetViews>
  <sheetFormatPr defaultRowHeight="14.4"/>
  <cols>
    <col min="2" max="2" width="20.109375" bestFit="1" customWidth="1"/>
    <col min="3" max="4" width="15.6640625" customWidth="1"/>
    <col min="5" max="8" width="13.5546875" customWidth="1"/>
    <col min="10" max="10" width="11.33203125" customWidth="1"/>
    <col min="11" max="11" width="17" bestFit="1" customWidth="1"/>
  </cols>
  <sheetData>
    <row r="4" spans="2:11" ht="28.8">
      <c r="B4" s="23" t="s">
        <v>317</v>
      </c>
      <c r="C4" s="23" t="s">
        <v>323</v>
      </c>
      <c r="D4" s="23" t="s">
        <v>328</v>
      </c>
      <c r="E4" s="23" t="s">
        <v>325</v>
      </c>
      <c r="F4" s="23" t="s">
        <v>318</v>
      </c>
      <c r="G4" s="23" t="s">
        <v>319</v>
      </c>
      <c r="H4" s="23" t="s">
        <v>327</v>
      </c>
      <c r="I4" s="23" t="s">
        <v>326</v>
      </c>
      <c r="J4" s="23" t="s">
        <v>391</v>
      </c>
      <c r="K4" s="23" t="s">
        <v>298</v>
      </c>
    </row>
    <row r="5" spans="2:11">
      <c r="B5" t="s">
        <v>325</v>
      </c>
      <c r="C5" t="s">
        <v>321</v>
      </c>
      <c r="D5" t="s">
        <v>224</v>
      </c>
      <c r="E5" t="s">
        <v>27</v>
      </c>
      <c r="F5" t="s">
        <v>224</v>
      </c>
      <c r="G5" t="s">
        <v>27</v>
      </c>
      <c r="H5" t="s">
        <v>224</v>
      </c>
      <c r="I5" t="s">
        <v>283</v>
      </c>
      <c r="J5" t="s">
        <v>392</v>
      </c>
      <c r="K5" t="s">
        <v>398</v>
      </c>
    </row>
    <row r="6" spans="2:11">
      <c r="B6" t="s">
        <v>386</v>
      </c>
      <c r="C6" t="s">
        <v>322</v>
      </c>
      <c r="D6" t="s">
        <v>16</v>
      </c>
      <c r="E6" t="s">
        <v>29</v>
      </c>
      <c r="F6" t="s">
        <v>16</v>
      </c>
      <c r="G6" t="s">
        <v>29</v>
      </c>
      <c r="H6" t="s">
        <v>16</v>
      </c>
      <c r="I6" t="s">
        <v>284</v>
      </c>
      <c r="J6" t="s">
        <v>393</v>
      </c>
      <c r="K6" t="s">
        <v>397</v>
      </c>
    </row>
    <row r="7" spans="2:11">
      <c r="B7" t="s">
        <v>387</v>
      </c>
      <c r="D7" t="s">
        <v>225</v>
      </c>
      <c r="E7" t="s">
        <v>31</v>
      </c>
      <c r="F7" t="s">
        <v>225</v>
      </c>
      <c r="G7" t="s">
        <v>31</v>
      </c>
      <c r="H7" t="s">
        <v>225</v>
      </c>
    </row>
    <row r="8" spans="2:11">
      <c r="B8" t="s">
        <v>320</v>
      </c>
      <c r="D8" t="s">
        <v>226</v>
      </c>
      <c r="E8" t="s">
        <v>33</v>
      </c>
      <c r="F8" t="s">
        <v>226</v>
      </c>
      <c r="G8" t="s">
        <v>33</v>
      </c>
      <c r="H8" t="s">
        <v>226</v>
      </c>
    </row>
    <row r="9" spans="2:11">
      <c r="B9" t="s">
        <v>324</v>
      </c>
      <c r="D9" t="s">
        <v>227</v>
      </c>
      <c r="E9" t="s">
        <v>35</v>
      </c>
      <c r="F9" t="s">
        <v>227</v>
      </c>
      <c r="G9" t="s">
        <v>35</v>
      </c>
      <c r="H9" t="s">
        <v>227</v>
      </c>
    </row>
    <row r="10" spans="2:11">
      <c r="D10" t="s">
        <v>17</v>
      </c>
      <c r="E10" t="s">
        <v>37</v>
      </c>
      <c r="F10" t="s">
        <v>17</v>
      </c>
      <c r="G10" t="s">
        <v>37</v>
      </c>
      <c r="H10" t="s">
        <v>17</v>
      </c>
    </row>
    <row r="11" spans="2:11">
      <c r="D11" t="s">
        <v>18</v>
      </c>
      <c r="E11" t="s">
        <v>39</v>
      </c>
      <c r="F11" t="s">
        <v>18</v>
      </c>
      <c r="G11" t="s">
        <v>39</v>
      </c>
      <c r="H11" t="s">
        <v>18</v>
      </c>
    </row>
    <row r="12" spans="2:11">
      <c r="D12" t="s">
        <v>259</v>
      </c>
      <c r="E12" t="s">
        <v>41</v>
      </c>
      <c r="F12" t="s">
        <v>259</v>
      </c>
      <c r="G12" t="s">
        <v>41</v>
      </c>
      <c r="H12" t="s">
        <v>259</v>
      </c>
    </row>
    <row r="13" spans="2:11">
      <c r="D13" t="s">
        <v>262</v>
      </c>
      <c r="E13" t="s">
        <v>43</v>
      </c>
      <c r="F13" t="s">
        <v>262</v>
      </c>
      <c r="G13" t="s">
        <v>43</v>
      </c>
      <c r="H13" t="s">
        <v>262</v>
      </c>
    </row>
    <row r="14" spans="2:11">
      <c r="D14" t="s">
        <v>19</v>
      </c>
      <c r="E14" t="s">
        <v>45</v>
      </c>
      <c r="F14" t="s">
        <v>19</v>
      </c>
      <c r="G14" t="s">
        <v>45</v>
      </c>
      <c r="H14" t="s">
        <v>19</v>
      </c>
    </row>
    <row r="15" spans="2:11">
      <c r="D15" t="s">
        <v>20</v>
      </c>
      <c r="E15" t="s">
        <v>47</v>
      </c>
      <c r="F15" t="s">
        <v>20</v>
      </c>
      <c r="G15" t="s">
        <v>47</v>
      </c>
      <c r="H15" t="s">
        <v>20</v>
      </c>
    </row>
    <row r="16" spans="2:11">
      <c r="D16" t="s">
        <v>21</v>
      </c>
      <c r="E16" t="s">
        <v>49</v>
      </c>
      <c r="F16" t="s">
        <v>21</v>
      </c>
      <c r="G16" t="s">
        <v>49</v>
      </c>
      <c r="H16" t="s">
        <v>21</v>
      </c>
    </row>
    <row r="17" spans="4:8">
      <c r="D17" t="s">
        <v>22</v>
      </c>
      <c r="E17" t="s">
        <v>51</v>
      </c>
      <c r="F17" t="s">
        <v>22</v>
      </c>
      <c r="G17" t="s">
        <v>51</v>
      </c>
      <c r="H17" t="s">
        <v>22</v>
      </c>
    </row>
    <row r="18" spans="4:8">
      <c r="D18" t="s">
        <v>23</v>
      </c>
      <c r="E18" t="s">
        <v>53</v>
      </c>
      <c r="F18" t="s">
        <v>23</v>
      </c>
      <c r="G18" t="s">
        <v>53</v>
      </c>
      <c r="H18" t="s">
        <v>23</v>
      </c>
    </row>
    <row r="19" spans="4:8">
      <c r="D19" t="s">
        <v>24</v>
      </c>
      <c r="E19" t="s">
        <v>55</v>
      </c>
      <c r="F19" t="s">
        <v>24</v>
      </c>
      <c r="G19" t="s">
        <v>55</v>
      </c>
      <c r="H19" t="s">
        <v>24</v>
      </c>
    </row>
    <row r="20" spans="4:8">
      <c r="D20" t="s">
        <v>102</v>
      </c>
      <c r="E20" t="s">
        <v>57</v>
      </c>
      <c r="F20" t="s">
        <v>102</v>
      </c>
      <c r="G20" t="s">
        <v>57</v>
      </c>
      <c r="H20" t="s">
        <v>102</v>
      </c>
    </row>
    <row r="21" spans="4:8">
      <c r="D21" t="s">
        <v>103</v>
      </c>
      <c r="E21" t="s">
        <v>59</v>
      </c>
      <c r="F21" t="s">
        <v>103</v>
      </c>
      <c r="G21" t="s">
        <v>59</v>
      </c>
      <c r="H21" t="s">
        <v>103</v>
      </c>
    </row>
    <row r="22" spans="4:8">
      <c r="D22" t="s">
        <v>274</v>
      </c>
      <c r="E22" t="s">
        <v>61</v>
      </c>
      <c r="F22" t="s">
        <v>274</v>
      </c>
      <c r="G22" t="s">
        <v>61</v>
      </c>
      <c r="H22" t="s">
        <v>274</v>
      </c>
    </row>
    <row r="23" spans="4:8">
      <c r="D23" t="s">
        <v>275</v>
      </c>
      <c r="E23" t="s">
        <v>63</v>
      </c>
      <c r="F23" t="s">
        <v>275</v>
      </c>
      <c r="G23" t="s">
        <v>63</v>
      </c>
      <c r="H23" t="s">
        <v>275</v>
      </c>
    </row>
    <row r="24" spans="4:8">
      <c r="D24" t="s">
        <v>276</v>
      </c>
      <c r="E24" t="s">
        <v>64</v>
      </c>
      <c r="F24" t="s">
        <v>276</v>
      </c>
      <c r="G24" t="s">
        <v>64</v>
      </c>
      <c r="H24" t="s">
        <v>276</v>
      </c>
    </row>
    <row r="25" spans="4:8">
      <c r="D25" t="s">
        <v>277</v>
      </c>
      <c r="E25" t="s">
        <v>66</v>
      </c>
      <c r="F25" t="s">
        <v>277</v>
      </c>
      <c r="G25" t="s">
        <v>66</v>
      </c>
      <c r="H25" t="s">
        <v>277</v>
      </c>
    </row>
    <row r="26" spans="4:8">
      <c r="D26" t="s">
        <v>89</v>
      </c>
      <c r="E26" t="s">
        <v>68</v>
      </c>
      <c r="F26" t="s">
        <v>89</v>
      </c>
      <c r="G26" t="s">
        <v>68</v>
      </c>
      <c r="H26" t="s">
        <v>89</v>
      </c>
    </row>
    <row r="27" spans="4:8">
      <c r="D27" t="s">
        <v>90</v>
      </c>
      <c r="E27" t="s">
        <v>70</v>
      </c>
      <c r="F27" t="s">
        <v>90</v>
      </c>
      <c r="G27" t="s">
        <v>70</v>
      </c>
      <c r="H27" t="s">
        <v>90</v>
      </c>
    </row>
    <row r="28" spans="4:8">
      <c r="D28" t="s">
        <v>91</v>
      </c>
      <c r="E28" t="s">
        <v>72</v>
      </c>
      <c r="F28" t="s">
        <v>91</v>
      </c>
      <c r="G28" t="s">
        <v>72</v>
      </c>
      <c r="H28" t="s">
        <v>91</v>
      </c>
    </row>
    <row r="29" spans="4:8">
      <c r="D29" t="s">
        <v>27</v>
      </c>
      <c r="E29" t="s">
        <v>74</v>
      </c>
      <c r="G29" t="s">
        <v>74</v>
      </c>
    </row>
    <row r="30" spans="4:8">
      <c r="D30" t="s">
        <v>29</v>
      </c>
      <c r="E30" t="s">
        <v>76</v>
      </c>
      <c r="G30" t="s">
        <v>76</v>
      </c>
    </row>
    <row r="31" spans="4:8">
      <c r="D31" t="s">
        <v>31</v>
      </c>
      <c r="E31" t="s">
        <v>78</v>
      </c>
      <c r="G31" t="s">
        <v>78</v>
      </c>
    </row>
    <row r="32" spans="4:8">
      <c r="D32" t="s">
        <v>33</v>
      </c>
      <c r="E32" t="s">
        <v>229</v>
      </c>
      <c r="G32" t="s">
        <v>229</v>
      </c>
    </row>
    <row r="33" spans="4:7">
      <c r="D33" t="s">
        <v>35</v>
      </c>
      <c r="E33" t="s">
        <v>230</v>
      </c>
      <c r="G33" t="s">
        <v>230</v>
      </c>
    </row>
    <row r="34" spans="4:7">
      <c r="D34" t="s">
        <v>37</v>
      </c>
      <c r="E34" t="s">
        <v>82</v>
      </c>
      <c r="G34" t="s">
        <v>82</v>
      </c>
    </row>
    <row r="35" spans="4:7">
      <c r="D35" t="s">
        <v>39</v>
      </c>
      <c r="E35" t="s">
        <v>84</v>
      </c>
      <c r="G35" t="s">
        <v>84</v>
      </c>
    </row>
    <row r="36" spans="4:7">
      <c r="D36" t="s">
        <v>41</v>
      </c>
      <c r="E36" t="s">
        <v>106</v>
      </c>
      <c r="G36" t="s">
        <v>106</v>
      </c>
    </row>
    <row r="37" spans="4:7">
      <c r="D37" t="s">
        <v>43</v>
      </c>
      <c r="E37" t="s">
        <v>107</v>
      </c>
      <c r="G37" t="s">
        <v>107</v>
      </c>
    </row>
    <row r="38" spans="4:7">
      <c r="D38" t="s">
        <v>45</v>
      </c>
      <c r="E38" t="s">
        <v>96</v>
      </c>
      <c r="G38" t="s">
        <v>96</v>
      </c>
    </row>
    <row r="39" spans="4:7">
      <c r="D39" t="s">
        <v>47</v>
      </c>
      <c r="E39" t="s">
        <v>97</v>
      </c>
      <c r="G39" t="s">
        <v>97</v>
      </c>
    </row>
    <row r="40" spans="4:7">
      <c r="D40" t="s">
        <v>49</v>
      </c>
      <c r="E40" t="s">
        <v>98</v>
      </c>
      <c r="G40" t="s">
        <v>98</v>
      </c>
    </row>
    <row r="41" spans="4:7">
      <c r="D41" t="s">
        <v>51</v>
      </c>
      <c r="E41" t="s">
        <v>99</v>
      </c>
      <c r="G41" t="s">
        <v>99</v>
      </c>
    </row>
    <row r="42" spans="4:7">
      <c r="D42" t="s">
        <v>53</v>
      </c>
    </row>
    <row r="43" spans="4:7">
      <c r="D43" t="s">
        <v>55</v>
      </c>
    </row>
    <row r="44" spans="4:7">
      <c r="D44" t="s">
        <v>57</v>
      </c>
    </row>
    <row r="45" spans="4:7">
      <c r="D45" t="s">
        <v>59</v>
      </c>
    </row>
    <row r="46" spans="4:7">
      <c r="D46" t="s">
        <v>61</v>
      </c>
    </row>
    <row r="47" spans="4:7">
      <c r="D47" t="s">
        <v>63</v>
      </c>
    </row>
    <row r="48" spans="4:7">
      <c r="D48" t="s">
        <v>507</v>
      </c>
    </row>
    <row r="49" spans="4:4">
      <c r="D49" t="s">
        <v>508</v>
      </c>
    </row>
    <row r="50" spans="4:4">
      <c r="D50" t="s">
        <v>509</v>
      </c>
    </row>
    <row r="51" spans="4:4">
      <c r="D51" t="s">
        <v>510</v>
      </c>
    </row>
    <row r="52" spans="4:4">
      <c r="D52" t="s">
        <v>511</v>
      </c>
    </row>
    <row r="53" spans="4:4">
      <c r="D53" t="s">
        <v>512</v>
      </c>
    </row>
    <row r="54" spans="4:4">
      <c r="D54" t="s">
        <v>710</v>
      </c>
    </row>
    <row r="55" spans="4:4">
      <c r="D55" t="s">
        <v>66</v>
      </c>
    </row>
    <row r="56" spans="4:4">
      <c r="D56" t="s">
        <v>68</v>
      </c>
    </row>
    <row r="57" spans="4:4">
      <c r="D57" t="s">
        <v>70</v>
      </c>
    </row>
    <row r="58" spans="4:4">
      <c r="D58" t="s">
        <v>72</v>
      </c>
    </row>
    <row r="59" spans="4:4">
      <c r="D59" t="s">
        <v>74</v>
      </c>
    </row>
    <row r="60" spans="4:4">
      <c r="D60" t="s">
        <v>76</v>
      </c>
    </row>
    <row r="61" spans="4:4">
      <c r="D61" t="s">
        <v>78</v>
      </c>
    </row>
    <row r="62" spans="4:4">
      <c r="D62" t="s">
        <v>229</v>
      </c>
    </row>
    <row r="63" spans="4:4">
      <c r="D63" t="s">
        <v>230</v>
      </c>
    </row>
    <row r="64" spans="4:4">
      <c r="D64" t="s">
        <v>82</v>
      </c>
    </row>
    <row r="65" spans="4:4">
      <c r="D65" t="s">
        <v>84</v>
      </c>
    </row>
    <row r="66" spans="4:4">
      <c r="D66" t="s">
        <v>106</v>
      </c>
    </row>
    <row r="67" spans="4:4">
      <c r="D67" t="s">
        <v>107</v>
      </c>
    </row>
    <row r="68" spans="4:4">
      <c r="D68" t="s">
        <v>96</v>
      </c>
    </row>
    <row r="69" spans="4:4">
      <c r="D69" t="s">
        <v>97</v>
      </c>
    </row>
    <row r="70" spans="4:4">
      <c r="D70" t="s">
        <v>98</v>
      </c>
    </row>
    <row r="71" spans="4:4">
      <c r="D71" t="s">
        <v>99</v>
      </c>
    </row>
    <row r="72" spans="4:4">
      <c r="D72" t="s">
        <v>519</v>
      </c>
    </row>
    <row r="73" spans="4:4">
      <c r="D73" t="s">
        <v>520</v>
      </c>
    </row>
    <row r="74" spans="4:4">
      <c r="D74" t="s">
        <v>521</v>
      </c>
    </row>
    <row r="75" spans="4:4">
      <c r="D75" t="s">
        <v>522</v>
      </c>
    </row>
    <row r="76" spans="4:4">
      <c r="D76" t="s">
        <v>523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I90"/>
  <sheetViews>
    <sheetView workbookViewId="0">
      <selection activeCell="E75" sqref="E75"/>
    </sheetView>
  </sheetViews>
  <sheetFormatPr defaultRowHeight="14.4"/>
  <cols>
    <col min="1" max="1" width="42.88671875" bestFit="1" customWidth="1"/>
    <col min="2" max="2" width="10.88671875" bestFit="1" customWidth="1"/>
    <col min="3" max="3" width="7" bestFit="1" customWidth="1"/>
    <col min="4" max="5" width="8.5546875" bestFit="1" customWidth="1"/>
    <col min="6" max="6" width="12.88671875" customWidth="1"/>
    <col min="7" max="7" width="15.88671875" bestFit="1" customWidth="1"/>
    <col min="8" max="8" width="12" bestFit="1" customWidth="1"/>
    <col min="9" max="9" width="42.88671875" bestFit="1" customWidth="1"/>
  </cols>
  <sheetData>
    <row r="1" spans="1:9" ht="29.4" thickBot="1">
      <c r="A1" s="1" t="s">
        <v>116</v>
      </c>
      <c r="B1" s="1" t="s">
        <v>123</v>
      </c>
      <c r="C1" s="1" t="s">
        <v>121</v>
      </c>
      <c r="D1" s="2" t="s">
        <v>122</v>
      </c>
      <c r="E1" s="2" t="s">
        <v>217</v>
      </c>
      <c r="F1" s="5" t="s">
        <v>254</v>
      </c>
      <c r="G1" s="5" t="s">
        <v>122</v>
      </c>
      <c r="H1" s="5" t="s">
        <v>255</v>
      </c>
      <c r="I1" s="1" t="s">
        <v>116</v>
      </c>
    </row>
    <row r="3" spans="1:9">
      <c r="A3" t="s">
        <v>124</v>
      </c>
      <c r="I3" t="s">
        <v>124</v>
      </c>
    </row>
    <row r="4" spans="1:9">
      <c r="A4" t="s">
        <v>125</v>
      </c>
      <c r="B4" t="s">
        <v>126</v>
      </c>
      <c r="C4">
        <v>101251</v>
      </c>
      <c r="D4" s="3">
        <v>3021000</v>
      </c>
      <c r="E4" s="3">
        <v>1000</v>
      </c>
      <c r="F4">
        <v>10135</v>
      </c>
      <c r="G4">
        <v>3021000</v>
      </c>
      <c r="H4">
        <v>938600</v>
      </c>
      <c r="I4" t="s">
        <v>125</v>
      </c>
    </row>
    <row r="5" spans="1:9">
      <c r="A5" t="s">
        <v>127</v>
      </c>
      <c r="B5" t="s">
        <v>126</v>
      </c>
      <c r="C5">
        <v>101253</v>
      </c>
      <c r="D5" s="3">
        <v>3021002</v>
      </c>
      <c r="E5" s="3">
        <v>1002</v>
      </c>
      <c r="F5">
        <v>10132</v>
      </c>
      <c r="G5">
        <v>3021002</v>
      </c>
      <c r="H5">
        <v>938602</v>
      </c>
      <c r="I5" t="s">
        <v>127</v>
      </c>
    </row>
    <row r="6" spans="1:9">
      <c r="A6" s="7" t="s">
        <v>128</v>
      </c>
      <c r="B6" t="s">
        <v>129</v>
      </c>
      <c r="C6">
        <v>135086</v>
      </c>
      <c r="D6" s="3">
        <v>3023520</v>
      </c>
      <c r="E6" s="3">
        <v>3520</v>
      </c>
      <c r="F6">
        <v>11094</v>
      </c>
      <c r="G6">
        <v>3023520</v>
      </c>
      <c r="H6">
        <v>938701</v>
      </c>
      <c r="I6" s="7" t="s">
        <v>128</v>
      </c>
    </row>
    <row r="7" spans="1:9">
      <c r="A7" s="7" t="s">
        <v>130</v>
      </c>
      <c r="B7" t="s">
        <v>129</v>
      </c>
      <c r="C7">
        <v>101315</v>
      </c>
      <c r="D7" s="3">
        <v>3023300</v>
      </c>
      <c r="E7" s="3">
        <v>3300</v>
      </c>
      <c r="F7">
        <v>10040</v>
      </c>
      <c r="G7">
        <v>3023300</v>
      </c>
      <c r="H7">
        <v>938652</v>
      </c>
      <c r="I7" s="7" t="s">
        <v>130</v>
      </c>
    </row>
    <row r="8" spans="1:9">
      <c r="A8" s="7" t="s">
        <v>131</v>
      </c>
      <c r="B8" t="s">
        <v>129</v>
      </c>
      <c r="C8">
        <v>101329</v>
      </c>
      <c r="D8" s="3">
        <v>3023317</v>
      </c>
      <c r="E8" s="3">
        <v>3317</v>
      </c>
      <c r="F8">
        <v>10042</v>
      </c>
      <c r="G8">
        <v>3023317</v>
      </c>
      <c r="H8">
        <v>938664</v>
      </c>
      <c r="I8" s="7" t="s">
        <v>131</v>
      </c>
    </row>
    <row r="9" spans="1:9">
      <c r="A9" s="7" t="s">
        <v>132</v>
      </c>
      <c r="B9" t="s">
        <v>129</v>
      </c>
      <c r="C9">
        <v>101330</v>
      </c>
      <c r="D9" s="3">
        <v>3023500</v>
      </c>
      <c r="E9" s="3">
        <v>3500</v>
      </c>
      <c r="F9">
        <v>10043</v>
      </c>
      <c r="G9">
        <v>3023500</v>
      </c>
      <c r="H9">
        <v>938665</v>
      </c>
      <c r="I9" s="7" t="s">
        <v>132</v>
      </c>
    </row>
    <row r="10" spans="1:9">
      <c r="A10" s="7" t="s">
        <v>133</v>
      </c>
      <c r="B10" t="s">
        <v>129</v>
      </c>
      <c r="C10">
        <v>101342</v>
      </c>
      <c r="D10" s="3">
        <v>3023514</v>
      </c>
      <c r="E10" s="3">
        <v>3514</v>
      </c>
      <c r="F10">
        <v>10117</v>
      </c>
      <c r="G10">
        <v>3023514</v>
      </c>
      <c r="H10">
        <v>938677</v>
      </c>
      <c r="I10" s="7" t="s">
        <v>133</v>
      </c>
    </row>
    <row r="11" spans="1:9">
      <c r="A11" s="7" t="s">
        <v>134</v>
      </c>
      <c r="B11" t="s">
        <v>129</v>
      </c>
      <c r="C11">
        <v>101258</v>
      </c>
      <c r="D11" s="3">
        <v>3022002</v>
      </c>
      <c r="E11" s="3">
        <v>2002</v>
      </c>
      <c r="F11">
        <v>10044</v>
      </c>
      <c r="G11">
        <v>3022002</v>
      </c>
      <c r="H11">
        <v>938605</v>
      </c>
      <c r="I11" s="7" t="s">
        <v>134</v>
      </c>
    </row>
    <row r="12" spans="1:9">
      <c r="A12" s="7" t="s">
        <v>135</v>
      </c>
      <c r="B12" t="s">
        <v>129</v>
      </c>
      <c r="C12">
        <v>133365</v>
      </c>
      <c r="D12" s="3">
        <v>3022079</v>
      </c>
      <c r="E12" s="3">
        <v>2079</v>
      </c>
      <c r="F12">
        <v>10128</v>
      </c>
      <c r="G12">
        <v>3022079</v>
      </c>
      <c r="H12">
        <v>938651</v>
      </c>
      <c r="I12" s="7" t="s">
        <v>135</v>
      </c>
    </row>
    <row r="13" spans="1:9">
      <c r="A13" s="7" t="s">
        <v>136</v>
      </c>
      <c r="B13" t="s">
        <v>129</v>
      </c>
      <c r="C13">
        <v>136402</v>
      </c>
      <c r="D13" s="3">
        <v>3023524</v>
      </c>
      <c r="E13" s="3">
        <v>3524</v>
      </c>
      <c r="F13">
        <v>11278</v>
      </c>
      <c r="G13">
        <v>3023524</v>
      </c>
      <c r="H13">
        <v>938702</v>
      </c>
      <c r="I13" s="7" t="s">
        <v>136</v>
      </c>
    </row>
    <row r="14" spans="1:9">
      <c r="A14" s="7" t="s">
        <v>137</v>
      </c>
      <c r="B14" t="s">
        <v>129</v>
      </c>
      <c r="C14">
        <v>101259</v>
      </c>
      <c r="D14" s="3">
        <v>3022003</v>
      </c>
      <c r="E14" s="3">
        <v>2003</v>
      </c>
      <c r="F14">
        <v>10045</v>
      </c>
      <c r="G14">
        <v>3022003</v>
      </c>
      <c r="H14">
        <v>938606</v>
      </c>
      <c r="I14" s="7" t="s">
        <v>137</v>
      </c>
    </row>
    <row r="15" spans="1:9">
      <c r="A15" s="7" t="s">
        <v>138</v>
      </c>
      <c r="B15" t="s">
        <v>129</v>
      </c>
      <c r="C15">
        <v>101339</v>
      </c>
      <c r="D15" s="3">
        <v>3023511</v>
      </c>
      <c r="E15" s="3">
        <v>3511</v>
      </c>
      <c r="F15">
        <v>10115</v>
      </c>
      <c r="G15">
        <v>3023511</v>
      </c>
      <c r="H15">
        <v>938674</v>
      </c>
      <c r="I15" s="7" t="s">
        <v>138</v>
      </c>
    </row>
    <row r="16" spans="1:9">
      <c r="A16" s="7" t="s">
        <v>139</v>
      </c>
      <c r="B16" t="s">
        <v>129</v>
      </c>
      <c r="C16">
        <v>101263</v>
      </c>
      <c r="D16" s="3">
        <v>3022008</v>
      </c>
      <c r="E16" s="3">
        <v>2008</v>
      </c>
      <c r="F16">
        <v>10047</v>
      </c>
      <c r="G16">
        <v>3022008</v>
      </c>
      <c r="H16">
        <v>938608</v>
      </c>
      <c r="I16" s="7" t="s">
        <v>139</v>
      </c>
    </row>
    <row r="17" spans="1:9">
      <c r="A17" s="7" t="s">
        <v>140</v>
      </c>
      <c r="B17" t="s">
        <v>129</v>
      </c>
      <c r="C17">
        <v>101262</v>
      </c>
      <c r="D17" s="3">
        <v>3022007</v>
      </c>
      <c r="E17" s="3">
        <v>2007</v>
      </c>
      <c r="F17">
        <v>10046</v>
      </c>
      <c r="G17">
        <v>3022007</v>
      </c>
      <c r="H17">
        <v>938607</v>
      </c>
      <c r="I17" s="7" t="s">
        <v>140</v>
      </c>
    </row>
    <row r="18" spans="1:9">
      <c r="A18" s="7" t="s">
        <v>141</v>
      </c>
      <c r="B18" t="s">
        <v>129</v>
      </c>
      <c r="C18">
        <v>101264</v>
      </c>
      <c r="D18" s="3">
        <v>3022009</v>
      </c>
      <c r="E18" s="3">
        <v>2009</v>
      </c>
      <c r="F18">
        <v>10048</v>
      </c>
      <c r="G18">
        <v>3022009</v>
      </c>
      <c r="H18">
        <v>938609</v>
      </c>
      <c r="I18" s="7" t="s">
        <v>141</v>
      </c>
    </row>
    <row r="19" spans="1:9">
      <c r="A19" s="7" t="s">
        <v>142</v>
      </c>
      <c r="B19" t="s">
        <v>129</v>
      </c>
      <c r="C19">
        <v>101309</v>
      </c>
      <c r="D19" s="3">
        <v>3022067</v>
      </c>
      <c r="E19" s="3">
        <v>2067</v>
      </c>
      <c r="F19">
        <v>10118</v>
      </c>
      <c r="G19">
        <v>3022067</v>
      </c>
      <c r="H19">
        <v>938642</v>
      </c>
      <c r="I19" s="7" t="s">
        <v>142</v>
      </c>
    </row>
    <row r="20" spans="1:9">
      <c r="A20" s="7" t="s">
        <v>143</v>
      </c>
      <c r="B20" t="s">
        <v>129</v>
      </c>
      <c r="C20">
        <v>101316</v>
      </c>
      <c r="D20" s="3">
        <v>3023302</v>
      </c>
      <c r="E20" s="3">
        <v>3302</v>
      </c>
      <c r="F20">
        <v>10050</v>
      </c>
      <c r="G20">
        <v>3023302</v>
      </c>
      <c r="H20">
        <v>938653</v>
      </c>
      <c r="I20" s="7" t="s">
        <v>143</v>
      </c>
    </row>
    <row r="21" spans="1:9">
      <c r="A21" s="7" t="s">
        <v>144</v>
      </c>
      <c r="B21" t="s">
        <v>129</v>
      </c>
      <c r="C21">
        <v>101266</v>
      </c>
      <c r="D21" s="3">
        <v>3022011</v>
      </c>
      <c r="E21" s="3">
        <v>2011</v>
      </c>
      <c r="F21">
        <v>10051</v>
      </c>
      <c r="G21">
        <v>3022011</v>
      </c>
      <c r="H21">
        <v>938611</v>
      </c>
      <c r="I21" s="7" t="s">
        <v>144</v>
      </c>
    </row>
    <row r="22" spans="1:9">
      <c r="A22" s="7" t="s">
        <v>145</v>
      </c>
      <c r="B22" t="s">
        <v>129</v>
      </c>
      <c r="C22">
        <v>101269</v>
      </c>
      <c r="D22" s="3">
        <v>3022014</v>
      </c>
      <c r="E22" s="3">
        <v>2014</v>
      </c>
      <c r="F22">
        <v>10054</v>
      </c>
      <c r="G22">
        <v>3022014</v>
      </c>
      <c r="H22">
        <v>938612</v>
      </c>
      <c r="I22" s="7" t="s">
        <v>145</v>
      </c>
    </row>
    <row r="23" spans="1:9">
      <c r="A23" s="7" t="s">
        <v>146</v>
      </c>
      <c r="B23" t="s">
        <v>129</v>
      </c>
      <c r="C23">
        <v>101270</v>
      </c>
      <c r="D23" s="3">
        <v>3022015</v>
      </c>
      <c r="E23" s="3">
        <v>2015</v>
      </c>
      <c r="F23">
        <v>10055</v>
      </c>
      <c r="G23">
        <v>3022015</v>
      </c>
      <c r="H23">
        <v>938613</v>
      </c>
      <c r="I23" s="7" t="s">
        <v>146</v>
      </c>
    </row>
    <row r="24" spans="1:9">
      <c r="A24" s="7" t="s">
        <v>147</v>
      </c>
      <c r="B24" t="s">
        <v>129</v>
      </c>
      <c r="C24">
        <v>101271</v>
      </c>
      <c r="D24" s="3">
        <v>3022016</v>
      </c>
      <c r="E24" s="3">
        <v>2016</v>
      </c>
      <c r="F24">
        <v>10056</v>
      </c>
      <c r="G24">
        <v>3022016</v>
      </c>
      <c r="H24">
        <v>938614</v>
      </c>
      <c r="I24" s="7" t="s">
        <v>147</v>
      </c>
    </row>
    <row r="25" spans="1:9">
      <c r="A25" s="7" t="s">
        <v>148</v>
      </c>
      <c r="B25" t="s">
        <v>129</v>
      </c>
      <c r="C25">
        <v>101272</v>
      </c>
      <c r="D25" s="3">
        <v>3022017</v>
      </c>
      <c r="E25" s="3">
        <v>2017</v>
      </c>
      <c r="F25">
        <v>10057</v>
      </c>
      <c r="G25">
        <v>3022017</v>
      </c>
      <c r="H25">
        <v>938615</v>
      </c>
      <c r="I25" s="7" t="s">
        <v>148</v>
      </c>
    </row>
    <row r="26" spans="1:9">
      <c r="A26" s="7" t="s">
        <v>149</v>
      </c>
      <c r="B26" t="s">
        <v>129</v>
      </c>
      <c r="C26">
        <v>101314</v>
      </c>
      <c r="D26" s="3">
        <v>3022073</v>
      </c>
      <c r="E26" s="3">
        <v>2073</v>
      </c>
      <c r="F26">
        <v>10083</v>
      </c>
      <c r="G26">
        <v>3022073</v>
      </c>
      <c r="H26">
        <v>938646</v>
      </c>
      <c r="I26" s="7" t="s">
        <v>149</v>
      </c>
    </row>
    <row r="27" spans="1:9">
      <c r="A27" s="7" t="s">
        <v>150</v>
      </c>
      <c r="B27" t="s">
        <v>129</v>
      </c>
      <c r="C27">
        <v>101274</v>
      </c>
      <c r="D27" s="3">
        <v>3022019</v>
      </c>
      <c r="E27" s="3">
        <v>2019</v>
      </c>
      <c r="F27">
        <v>10059</v>
      </c>
      <c r="G27">
        <v>3022019</v>
      </c>
      <c r="H27">
        <v>938617</v>
      </c>
      <c r="I27" s="7" t="s">
        <v>150</v>
      </c>
    </row>
    <row r="28" spans="1:9">
      <c r="A28" s="7" t="s">
        <v>151</v>
      </c>
      <c r="B28" t="s">
        <v>129</v>
      </c>
      <c r="C28">
        <v>101275</v>
      </c>
      <c r="D28" s="3">
        <v>3022021</v>
      </c>
      <c r="E28" s="3">
        <v>2021</v>
      </c>
      <c r="F28">
        <v>10061</v>
      </c>
      <c r="G28">
        <v>3022021</v>
      </c>
      <c r="H28">
        <v>938618</v>
      </c>
      <c r="I28" s="7" t="s">
        <v>151</v>
      </c>
    </row>
    <row r="29" spans="1:9">
      <c r="A29" s="7" t="s">
        <v>152</v>
      </c>
      <c r="B29" t="s">
        <v>129</v>
      </c>
      <c r="C29">
        <v>101277</v>
      </c>
      <c r="D29" s="3">
        <v>3022023</v>
      </c>
      <c r="E29" s="3">
        <v>2023</v>
      </c>
      <c r="F29">
        <v>10063</v>
      </c>
      <c r="G29">
        <v>3022023</v>
      </c>
      <c r="H29">
        <v>938620</v>
      </c>
      <c r="I29" s="7" t="s">
        <v>152</v>
      </c>
    </row>
    <row r="30" spans="1:9">
      <c r="A30" s="7" t="s">
        <v>153</v>
      </c>
      <c r="B30" t="s">
        <v>129</v>
      </c>
      <c r="C30">
        <v>101278</v>
      </c>
      <c r="D30" s="3">
        <v>3022024</v>
      </c>
      <c r="E30" s="3">
        <v>2024</v>
      </c>
      <c r="F30">
        <v>10064</v>
      </c>
      <c r="G30">
        <v>3022024</v>
      </c>
      <c r="H30">
        <v>938621</v>
      </c>
      <c r="I30" s="7" t="s">
        <v>153</v>
      </c>
    </row>
    <row r="31" spans="1:9">
      <c r="A31" s="7" t="s">
        <v>154</v>
      </c>
      <c r="B31" t="s">
        <v>129</v>
      </c>
      <c r="C31">
        <v>101279</v>
      </c>
      <c r="D31" s="3">
        <v>3022025</v>
      </c>
      <c r="E31" s="3">
        <v>2025</v>
      </c>
      <c r="F31">
        <v>10065</v>
      </c>
      <c r="G31">
        <v>3022025</v>
      </c>
      <c r="H31">
        <v>938622</v>
      </c>
      <c r="I31" s="7" t="s">
        <v>154</v>
      </c>
    </row>
    <row r="32" spans="1:9">
      <c r="A32" s="7" t="s">
        <v>155</v>
      </c>
      <c r="B32" t="s">
        <v>129</v>
      </c>
      <c r="C32">
        <v>101280</v>
      </c>
      <c r="D32" s="3">
        <v>3022026</v>
      </c>
      <c r="E32" s="3">
        <v>2026</v>
      </c>
      <c r="F32">
        <v>10066</v>
      </c>
      <c r="G32">
        <v>3022026</v>
      </c>
      <c r="H32">
        <v>938623</v>
      </c>
      <c r="I32" s="7" t="s">
        <v>155</v>
      </c>
    </row>
    <row r="33" spans="1:9">
      <c r="A33" s="7" t="s">
        <v>156</v>
      </c>
      <c r="B33" t="s">
        <v>129</v>
      </c>
      <c r="C33">
        <v>101282</v>
      </c>
      <c r="D33" s="3">
        <v>3022028</v>
      </c>
      <c r="E33" s="3">
        <v>2028</v>
      </c>
      <c r="F33">
        <v>10068</v>
      </c>
      <c r="G33">
        <v>3022028</v>
      </c>
      <c r="H33">
        <v>938625</v>
      </c>
      <c r="I33" s="7" t="s">
        <v>156</v>
      </c>
    </row>
    <row r="34" spans="1:9">
      <c r="A34" s="7" t="s">
        <v>157</v>
      </c>
      <c r="B34" t="s">
        <v>129</v>
      </c>
      <c r="C34">
        <v>101281</v>
      </c>
      <c r="D34" s="3">
        <v>3022027</v>
      </c>
      <c r="E34" s="3">
        <v>2027</v>
      </c>
      <c r="F34">
        <v>10067</v>
      </c>
      <c r="G34">
        <v>3022027</v>
      </c>
      <c r="H34">
        <v>938624</v>
      </c>
      <c r="I34" s="7" t="s">
        <v>157</v>
      </c>
    </row>
    <row r="35" spans="1:9">
      <c r="A35" s="7" t="s">
        <v>158</v>
      </c>
      <c r="B35" t="s">
        <v>129</v>
      </c>
      <c r="C35">
        <v>101283</v>
      </c>
      <c r="D35" s="3">
        <v>3022029</v>
      </c>
      <c r="E35" s="3">
        <v>2029</v>
      </c>
      <c r="F35">
        <v>10069</v>
      </c>
      <c r="G35">
        <v>3022029</v>
      </c>
      <c r="H35">
        <v>938626</v>
      </c>
      <c r="I35" s="7" t="s">
        <v>158</v>
      </c>
    </row>
    <row r="36" spans="1:9">
      <c r="A36" s="7" t="s">
        <v>159</v>
      </c>
      <c r="B36" t="s">
        <v>129</v>
      </c>
      <c r="C36">
        <v>130998</v>
      </c>
      <c r="D36" s="3">
        <v>3023516</v>
      </c>
      <c r="E36" s="3">
        <v>3516</v>
      </c>
      <c r="F36">
        <v>10121</v>
      </c>
      <c r="G36">
        <v>3023516</v>
      </c>
      <c r="H36">
        <v>938678</v>
      </c>
      <c r="I36" s="7" t="s">
        <v>159</v>
      </c>
    </row>
    <row r="37" spans="1:9">
      <c r="A37" s="7" t="s">
        <v>160</v>
      </c>
      <c r="B37" t="s">
        <v>129</v>
      </c>
      <c r="C37">
        <v>101285</v>
      </c>
      <c r="D37" s="3">
        <v>3022031</v>
      </c>
      <c r="E37" s="3">
        <v>2031</v>
      </c>
      <c r="F37">
        <v>10071</v>
      </c>
      <c r="G37">
        <v>3022031</v>
      </c>
      <c r="H37">
        <v>938628</v>
      </c>
      <c r="I37" s="7" t="s">
        <v>160</v>
      </c>
    </row>
    <row r="38" spans="1:9">
      <c r="A38" s="7" t="s">
        <v>161</v>
      </c>
      <c r="B38" t="s">
        <v>129</v>
      </c>
      <c r="C38">
        <v>101286</v>
      </c>
      <c r="D38" s="3">
        <v>3022032</v>
      </c>
      <c r="E38" s="3">
        <v>2032</v>
      </c>
      <c r="F38">
        <v>10072</v>
      </c>
      <c r="G38">
        <v>3022032</v>
      </c>
      <c r="H38">
        <v>938629</v>
      </c>
      <c r="I38" s="7" t="s">
        <v>161</v>
      </c>
    </row>
    <row r="39" spans="1:9">
      <c r="A39" s="7" t="s">
        <v>162</v>
      </c>
      <c r="B39" t="s">
        <v>129</v>
      </c>
      <c r="C39">
        <v>101317</v>
      </c>
      <c r="D39" s="3">
        <v>3023304</v>
      </c>
      <c r="E39" s="3">
        <v>3304</v>
      </c>
      <c r="F39">
        <v>10073</v>
      </c>
      <c r="G39">
        <v>3023304</v>
      </c>
      <c r="H39">
        <v>938654</v>
      </c>
      <c r="I39" s="7" t="s">
        <v>162</v>
      </c>
    </row>
    <row r="40" spans="1:9">
      <c r="A40" s="7" t="s">
        <v>163</v>
      </c>
      <c r="B40" t="s">
        <v>129</v>
      </c>
      <c r="C40">
        <v>101289</v>
      </c>
      <c r="D40" s="3">
        <v>3022036</v>
      </c>
      <c r="E40" s="3">
        <v>2036</v>
      </c>
      <c r="F40">
        <v>10074</v>
      </c>
      <c r="G40">
        <v>3022036</v>
      </c>
      <c r="H40">
        <v>938630</v>
      </c>
      <c r="I40" s="7" t="s">
        <v>163</v>
      </c>
    </row>
    <row r="41" spans="1:9">
      <c r="A41" s="7" t="s">
        <v>164</v>
      </c>
      <c r="B41" t="s">
        <v>129</v>
      </c>
      <c r="C41">
        <v>101290</v>
      </c>
      <c r="D41" s="3">
        <v>3022037</v>
      </c>
      <c r="E41" s="3">
        <v>2037</v>
      </c>
      <c r="F41">
        <v>10075</v>
      </c>
      <c r="G41">
        <v>3022037</v>
      </c>
      <c r="H41">
        <v>938631</v>
      </c>
      <c r="I41" s="7" t="s">
        <v>164</v>
      </c>
    </row>
    <row r="42" spans="1:9">
      <c r="A42" s="7" t="s">
        <v>165</v>
      </c>
      <c r="B42" t="s">
        <v>129</v>
      </c>
      <c r="C42">
        <v>135226</v>
      </c>
      <c r="D42" s="3">
        <v>3023523</v>
      </c>
      <c r="E42" s="3">
        <v>3523</v>
      </c>
      <c r="F42">
        <v>11093</v>
      </c>
      <c r="G42">
        <v>3023523</v>
      </c>
      <c r="H42">
        <v>938700</v>
      </c>
      <c r="I42" s="7" t="s">
        <v>165</v>
      </c>
    </row>
    <row r="43" spans="1:9">
      <c r="A43" s="7" t="s">
        <v>166</v>
      </c>
      <c r="B43" t="s">
        <v>129</v>
      </c>
      <c r="C43">
        <v>101376</v>
      </c>
      <c r="D43" s="3">
        <v>3025948</v>
      </c>
      <c r="E43" s="3">
        <v>5948</v>
      </c>
      <c r="F43">
        <v>10125</v>
      </c>
      <c r="G43">
        <v>3025948</v>
      </c>
      <c r="H43">
        <v>938694</v>
      </c>
      <c r="I43" s="7" t="s">
        <v>166</v>
      </c>
    </row>
    <row r="44" spans="1:9">
      <c r="A44" s="7" t="s">
        <v>167</v>
      </c>
      <c r="B44" t="s">
        <v>129</v>
      </c>
      <c r="C44">
        <v>131359</v>
      </c>
      <c r="D44" s="3">
        <v>3025949</v>
      </c>
      <c r="E44" s="3">
        <v>5949</v>
      </c>
      <c r="F44">
        <v>10126</v>
      </c>
      <c r="G44">
        <v>3025949</v>
      </c>
      <c r="H44">
        <v>938695</v>
      </c>
      <c r="I44" s="7" t="s">
        <v>167</v>
      </c>
    </row>
    <row r="45" spans="1:9">
      <c r="A45" s="7" t="s">
        <v>168</v>
      </c>
      <c r="B45" t="s">
        <v>129</v>
      </c>
      <c r="C45">
        <v>101341</v>
      </c>
      <c r="D45" s="3">
        <v>3023513</v>
      </c>
      <c r="E45" s="3">
        <v>3513</v>
      </c>
      <c r="F45">
        <v>10114</v>
      </c>
      <c r="G45">
        <v>3023513</v>
      </c>
      <c r="H45">
        <v>938676</v>
      </c>
      <c r="I45" s="7" t="s">
        <v>168</v>
      </c>
    </row>
    <row r="46" spans="1:9">
      <c r="A46" s="7" t="s">
        <v>169</v>
      </c>
      <c r="B46" t="s">
        <v>129</v>
      </c>
      <c r="C46">
        <v>101318</v>
      </c>
      <c r="D46" s="3">
        <v>3023305</v>
      </c>
      <c r="E46" s="3">
        <v>3305</v>
      </c>
      <c r="F46">
        <v>10078</v>
      </c>
      <c r="G46">
        <v>3023305</v>
      </c>
      <c r="H46">
        <v>938655</v>
      </c>
      <c r="I46" s="7" t="s">
        <v>169</v>
      </c>
    </row>
    <row r="47" spans="1:9">
      <c r="A47" s="7" t="s">
        <v>170</v>
      </c>
      <c r="B47" t="s">
        <v>129</v>
      </c>
      <c r="C47">
        <v>101293</v>
      </c>
      <c r="D47" s="3">
        <v>3022042</v>
      </c>
      <c r="E47" s="3">
        <v>2042</v>
      </c>
      <c r="F47">
        <v>10079</v>
      </c>
      <c r="G47">
        <v>3022042</v>
      </c>
      <c r="H47">
        <v>938632</v>
      </c>
      <c r="I47" s="7" t="s">
        <v>170</v>
      </c>
    </row>
    <row r="48" spans="1:9">
      <c r="A48" s="7" t="s">
        <v>171</v>
      </c>
      <c r="B48" t="s">
        <v>129</v>
      </c>
      <c r="C48">
        <v>101295</v>
      </c>
      <c r="D48" s="3">
        <v>3022044</v>
      </c>
      <c r="E48" s="3">
        <v>2044</v>
      </c>
      <c r="F48">
        <v>10081</v>
      </c>
      <c r="G48">
        <v>3022044</v>
      </c>
      <c r="H48">
        <v>938634</v>
      </c>
      <c r="I48" s="7" t="s">
        <v>171</v>
      </c>
    </row>
    <row r="49" spans="1:9">
      <c r="A49" s="7" t="s">
        <v>172</v>
      </c>
      <c r="B49" t="s">
        <v>129</v>
      </c>
      <c r="C49">
        <v>101294</v>
      </c>
      <c r="D49" s="3">
        <v>3022043</v>
      </c>
      <c r="E49" s="3">
        <v>2043</v>
      </c>
      <c r="F49">
        <v>10080</v>
      </c>
      <c r="G49">
        <v>3022043</v>
      </c>
      <c r="H49">
        <v>938633</v>
      </c>
      <c r="I49" s="7" t="s">
        <v>172</v>
      </c>
    </row>
    <row r="50" spans="1:9">
      <c r="A50" s="7" t="s">
        <v>281</v>
      </c>
      <c r="B50" t="s">
        <v>129</v>
      </c>
      <c r="C50">
        <v>149998</v>
      </c>
      <c r="D50" s="3">
        <v>3022053</v>
      </c>
      <c r="E50" s="3">
        <v>2053</v>
      </c>
      <c r="F50">
        <v>10113</v>
      </c>
      <c r="G50">
        <v>3022053</v>
      </c>
      <c r="H50">
        <v>938708</v>
      </c>
      <c r="I50" s="7" t="s">
        <v>281</v>
      </c>
    </row>
    <row r="51" spans="1:9">
      <c r="A51" s="7" t="s">
        <v>173</v>
      </c>
      <c r="B51" t="s">
        <v>129</v>
      </c>
      <c r="C51">
        <v>101296</v>
      </c>
      <c r="D51" s="3">
        <v>3022045</v>
      </c>
      <c r="E51" s="3">
        <v>2045</v>
      </c>
      <c r="F51">
        <v>10082</v>
      </c>
      <c r="G51">
        <v>3022045</v>
      </c>
      <c r="H51">
        <v>938635</v>
      </c>
      <c r="I51" s="7" t="s">
        <v>173</v>
      </c>
    </row>
    <row r="52" spans="1:9">
      <c r="A52" s="7" t="s">
        <v>174</v>
      </c>
      <c r="B52" t="s">
        <v>129</v>
      </c>
      <c r="C52">
        <v>131970</v>
      </c>
      <c r="D52" s="3">
        <v>3022077</v>
      </c>
      <c r="E52" s="3">
        <v>2077</v>
      </c>
      <c r="F52">
        <v>10127</v>
      </c>
      <c r="G52">
        <v>3022077</v>
      </c>
      <c r="H52">
        <v>938649</v>
      </c>
      <c r="I52" s="7" t="s">
        <v>174</v>
      </c>
    </row>
    <row r="53" spans="1:9">
      <c r="A53" s="7" t="s">
        <v>175</v>
      </c>
      <c r="B53" t="s">
        <v>129</v>
      </c>
      <c r="C53">
        <v>101356</v>
      </c>
      <c r="D53" s="3">
        <v>3025201</v>
      </c>
      <c r="E53" s="3">
        <v>5201</v>
      </c>
      <c r="F53">
        <v>10084</v>
      </c>
      <c r="G53">
        <v>3025201</v>
      </c>
      <c r="H53">
        <v>938687</v>
      </c>
      <c r="I53" s="7" t="s">
        <v>175</v>
      </c>
    </row>
    <row r="54" spans="1:9">
      <c r="A54" s="7" t="s">
        <v>176</v>
      </c>
      <c r="B54" t="s">
        <v>129</v>
      </c>
      <c r="C54">
        <v>101331</v>
      </c>
      <c r="D54" s="3">
        <v>3023501</v>
      </c>
      <c r="E54" s="3">
        <v>3501</v>
      </c>
      <c r="F54">
        <v>10085</v>
      </c>
      <c r="G54">
        <v>3023501</v>
      </c>
      <c r="H54">
        <v>938666</v>
      </c>
      <c r="I54" s="7" t="s">
        <v>176</v>
      </c>
    </row>
    <row r="55" spans="1:9">
      <c r="A55" s="7" t="s">
        <v>177</v>
      </c>
      <c r="B55" t="s">
        <v>129</v>
      </c>
      <c r="C55">
        <v>133364</v>
      </c>
      <c r="D55" s="3">
        <v>3022078</v>
      </c>
      <c r="E55" s="3">
        <v>2078</v>
      </c>
      <c r="F55">
        <v>10129</v>
      </c>
      <c r="G55">
        <v>3022078</v>
      </c>
      <c r="H55">
        <v>938650</v>
      </c>
      <c r="I55" s="7" t="s">
        <v>177</v>
      </c>
    </row>
    <row r="56" spans="1:9">
      <c r="A56" s="7" t="s">
        <v>279</v>
      </c>
      <c r="B56" t="s">
        <v>129</v>
      </c>
      <c r="C56">
        <v>101313</v>
      </c>
      <c r="D56" s="3">
        <v>3022072</v>
      </c>
      <c r="E56" s="3">
        <v>2072</v>
      </c>
      <c r="F56">
        <v>10086</v>
      </c>
      <c r="G56">
        <v>3022072</v>
      </c>
      <c r="H56">
        <v>938645</v>
      </c>
      <c r="I56" s="7" t="s">
        <v>178</v>
      </c>
    </row>
    <row r="57" spans="1:9">
      <c r="A57" s="7" t="s">
        <v>179</v>
      </c>
      <c r="B57" t="s">
        <v>129</v>
      </c>
      <c r="C57">
        <v>101340</v>
      </c>
      <c r="D57" s="3">
        <v>3023512</v>
      </c>
      <c r="E57" s="3">
        <v>3512</v>
      </c>
      <c r="F57">
        <v>10112</v>
      </c>
      <c r="G57">
        <v>3023512</v>
      </c>
      <c r="H57">
        <v>938675</v>
      </c>
      <c r="I57" s="7" t="s">
        <v>179</v>
      </c>
    </row>
    <row r="58" spans="1:9">
      <c r="A58" s="7" t="s">
        <v>180</v>
      </c>
      <c r="B58" t="s">
        <v>129</v>
      </c>
      <c r="C58">
        <v>101338</v>
      </c>
      <c r="D58" s="3">
        <v>3023510</v>
      </c>
      <c r="E58" s="3">
        <v>3510</v>
      </c>
      <c r="F58">
        <v>10110</v>
      </c>
      <c r="G58">
        <v>3023510</v>
      </c>
      <c r="H58">
        <v>938673</v>
      </c>
      <c r="I58" s="7" t="s">
        <v>180</v>
      </c>
    </row>
    <row r="59" spans="1:9">
      <c r="A59" s="7" t="s">
        <v>181</v>
      </c>
      <c r="B59" t="s">
        <v>129</v>
      </c>
      <c r="C59">
        <v>101332</v>
      </c>
      <c r="D59" s="3">
        <v>3023502</v>
      </c>
      <c r="E59" s="3">
        <v>3502</v>
      </c>
      <c r="F59">
        <v>10087</v>
      </c>
      <c r="G59">
        <v>3023502</v>
      </c>
      <c r="H59">
        <v>938667</v>
      </c>
      <c r="I59" s="7" t="s">
        <v>181</v>
      </c>
    </row>
    <row r="60" spans="1:9">
      <c r="A60" s="7" t="s">
        <v>182</v>
      </c>
      <c r="B60" t="s">
        <v>129</v>
      </c>
      <c r="C60">
        <v>101327</v>
      </c>
      <c r="D60" s="3">
        <v>3023315</v>
      </c>
      <c r="E60" s="3">
        <v>3315</v>
      </c>
      <c r="F60">
        <v>10099</v>
      </c>
      <c r="G60">
        <v>3023315</v>
      </c>
      <c r="H60">
        <v>938662</v>
      </c>
      <c r="I60" s="7" t="s">
        <v>182</v>
      </c>
    </row>
    <row r="61" spans="1:9">
      <c r="A61" s="7" t="s">
        <v>267</v>
      </c>
      <c r="B61" t="s">
        <v>129</v>
      </c>
      <c r="C61">
        <v>101333</v>
      </c>
      <c r="D61" s="3">
        <v>3023504</v>
      </c>
      <c r="E61" s="3">
        <v>3504</v>
      </c>
      <c r="F61">
        <v>10088</v>
      </c>
      <c r="G61">
        <v>3023504</v>
      </c>
      <c r="H61">
        <v>938668</v>
      </c>
      <c r="I61" s="7" t="s">
        <v>267</v>
      </c>
    </row>
    <row r="62" spans="1:9">
      <c r="A62" s="7" t="s">
        <v>269</v>
      </c>
      <c r="B62" t="s">
        <v>129</v>
      </c>
      <c r="C62">
        <v>101321</v>
      </c>
      <c r="D62" s="3">
        <v>3023309</v>
      </c>
      <c r="E62" s="3">
        <v>3309</v>
      </c>
      <c r="F62">
        <v>10116</v>
      </c>
      <c r="G62">
        <v>3023309</v>
      </c>
      <c r="H62">
        <v>938657</v>
      </c>
      <c r="I62" s="7" t="s">
        <v>269</v>
      </c>
    </row>
    <row r="63" spans="1:9">
      <c r="A63" s="7" t="s">
        <v>183</v>
      </c>
      <c r="B63" t="s">
        <v>129</v>
      </c>
      <c r="C63">
        <v>101319</v>
      </c>
      <c r="D63" s="3">
        <v>3023307</v>
      </c>
      <c r="E63" s="3">
        <v>3307</v>
      </c>
      <c r="F63">
        <v>10089</v>
      </c>
      <c r="G63">
        <v>3023307</v>
      </c>
      <c r="H63">
        <v>938656</v>
      </c>
      <c r="I63" s="7" t="s">
        <v>183</v>
      </c>
    </row>
    <row r="64" spans="1:9">
      <c r="A64" s="7" t="s">
        <v>184</v>
      </c>
      <c r="B64" t="s">
        <v>129</v>
      </c>
      <c r="C64">
        <v>101337</v>
      </c>
      <c r="D64" s="3">
        <v>3023509</v>
      </c>
      <c r="E64" s="3">
        <v>3509</v>
      </c>
      <c r="F64">
        <v>10107</v>
      </c>
      <c r="G64">
        <v>3023509</v>
      </c>
      <c r="H64">
        <v>938672</v>
      </c>
      <c r="I64" s="7" t="s">
        <v>184</v>
      </c>
    </row>
    <row r="65" spans="1:9">
      <c r="A65" s="7" t="s">
        <v>185</v>
      </c>
      <c r="B65" t="s">
        <v>129</v>
      </c>
      <c r="C65">
        <v>101323</v>
      </c>
      <c r="D65" s="3">
        <v>3023311</v>
      </c>
      <c r="E65" s="3">
        <v>3311</v>
      </c>
      <c r="F65">
        <v>10092</v>
      </c>
      <c r="G65">
        <v>3023311</v>
      </c>
      <c r="H65">
        <v>938658</v>
      </c>
      <c r="I65" s="7" t="s">
        <v>185</v>
      </c>
    </row>
    <row r="66" spans="1:9">
      <c r="A66" s="7" t="s">
        <v>186</v>
      </c>
      <c r="B66" t="s">
        <v>129</v>
      </c>
      <c r="C66">
        <v>101324</v>
      </c>
      <c r="D66" s="3">
        <v>3023312</v>
      </c>
      <c r="E66" s="3">
        <v>3312</v>
      </c>
      <c r="F66">
        <v>10093</v>
      </c>
      <c r="G66">
        <v>3023312</v>
      </c>
      <c r="H66">
        <v>938659</v>
      </c>
      <c r="I66" s="7" t="s">
        <v>186</v>
      </c>
    </row>
    <row r="67" spans="1:9">
      <c r="A67" s="7" t="s">
        <v>268</v>
      </c>
      <c r="B67" t="s">
        <v>129</v>
      </c>
      <c r="C67">
        <v>101326</v>
      </c>
      <c r="D67" s="3">
        <v>3023314</v>
      </c>
      <c r="E67" s="3">
        <v>3314</v>
      </c>
      <c r="F67">
        <v>10095</v>
      </c>
      <c r="G67">
        <v>3023314</v>
      </c>
      <c r="H67">
        <v>938661</v>
      </c>
      <c r="I67" s="7" t="s">
        <v>268</v>
      </c>
    </row>
    <row r="68" spans="1:9">
      <c r="A68" s="7" t="s">
        <v>187</v>
      </c>
      <c r="B68" t="s">
        <v>129</v>
      </c>
      <c r="C68">
        <v>101325</v>
      </c>
      <c r="D68" s="3">
        <v>3023313</v>
      </c>
      <c r="E68" s="3">
        <v>3313</v>
      </c>
      <c r="F68">
        <v>10094</v>
      </c>
      <c r="G68">
        <v>3023313</v>
      </c>
      <c r="H68">
        <v>938660</v>
      </c>
      <c r="I68" s="7" t="s">
        <v>187</v>
      </c>
    </row>
    <row r="69" spans="1:9">
      <c r="A69" s="7" t="s">
        <v>188</v>
      </c>
      <c r="B69" t="s">
        <v>129</v>
      </c>
      <c r="C69">
        <v>101335</v>
      </c>
      <c r="D69" s="3">
        <v>3023507</v>
      </c>
      <c r="E69" s="3">
        <v>3507</v>
      </c>
      <c r="F69">
        <v>10108</v>
      </c>
      <c r="G69">
        <v>3023507</v>
      </c>
      <c r="H69">
        <v>938670</v>
      </c>
      <c r="I69" s="7" t="s">
        <v>188</v>
      </c>
    </row>
    <row r="70" spans="1:9">
      <c r="A70" s="7" t="s">
        <v>189</v>
      </c>
      <c r="B70" t="s">
        <v>129</v>
      </c>
      <c r="C70">
        <v>101334</v>
      </c>
      <c r="D70" s="3">
        <v>3023506</v>
      </c>
      <c r="E70" s="3">
        <v>3506</v>
      </c>
      <c r="F70">
        <v>10096</v>
      </c>
      <c r="G70">
        <v>3023506</v>
      </c>
      <c r="H70">
        <v>938669</v>
      </c>
      <c r="I70" s="7" t="s">
        <v>189</v>
      </c>
    </row>
    <row r="71" spans="1:9">
      <c r="A71" s="7" t="s">
        <v>190</v>
      </c>
      <c r="B71" t="s">
        <v>129</v>
      </c>
      <c r="C71">
        <v>101311</v>
      </c>
      <c r="D71" s="3">
        <v>3022070</v>
      </c>
      <c r="E71" s="3">
        <v>2070</v>
      </c>
      <c r="F71">
        <v>10097</v>
      </c>
      <c r="G71">
        <v>3022070</v>
      </c>
      <c r="H71">
        <v>938643</v>
      </c>
      <c r="I71" s="7" t="s">
        <v>190</v>
      </c>
    </row>
    <row r="72" spans="1:9">
      <c r="A72" s="7" t="s">
        <v>191</v>
      </c>
      <c r="B72" t="s">
        <v>129</v>
      </c>
      <c r="C72">
        <v>101328</v>
      </c>
      <c r="D72" s="3">
        <v>3023316</v>
      </c>
      <c r="E72" s="3">
        <v>3316</v>
      </c>
      <c r="F72">
        <v>10100</v>
      </c>
      <c r="G72">
        <v>3023316</v>
      </c>
      <c r="H72">
        <v>938663</v>
      </c>
      <c r="I72" s="7" t="s">
        <v>191</v>
      </c>
    </row>
    <row r="73" spans="1:9">
      <c r="A73" s="7" t="s">
        <v>192</v>
      </c>
      <c r="B73" t="s">
        <v>129</v>
      </c>
      <c r="C73">
        <v>101299</v>
      </c>
      <c r="D73" s="3">
        <v>3022055</v>
      </c>
      <c r="E73" s="3">
        <v>2055</v>
      </c>
      <c r="F73">
        <v>10101</v>
      </c>
      <c r="G73">
        <v>3022055</v>
      </c>
      <c r="H73">
        <v>938638</v>
      </c>
      <c r="I73" s="7" t="s">
        <v>192</v>
      </c>
    </row>
    <row r="74" spans="1:9">
      <c r="A74" s="7" t="s">
        <v>193</v>
      </c>
      <c r="B74" t="s">
        <v>129</v>
      </c>
      <c r="C74">
        <v>101301</v>
      </c>
      <c r="D74" s="3">
        <v>3022057</v>
      </c>
      <c r="E74" s="3">
        <v>2057</v>
      </c>
      <c r="F74">
        <v>10103</v>
      </c>
      <c r="G74">
        <v>3022057</v>
      </c>
      <c r="H74">
        <v>938640</v>
      </c>
      <c r="I74" s="7" t="s">
        <v>193</v>
      </c>
    </row>
    <row r="75" spans="1:9">
      <c r="A75" s="7" t="s">
        <v>194</v>
      </c>
      <c r="B75" t="s">
        <v>129</v>
      </c>
      <c r="C75">
        <v>131617</v>
      </c>
      <c r="D75" s="3">
        <v>3022076</v>
      </c>
      <c r="E75" s="3">
        <v>2076</v>
      </c>
      <c r="F75">
        <v>10124</v>
      </c>
      <c r="G75">
        <v>3022076</v>
      </c>
      <c r="H75">
        <v>938648</v>
      </c>
      <c r="I75" s="7" t="s">
        <v>194</v>
      </c>
    </row>
    <row r="76" spans="1:9">
      <c r="A76" s="7" t="s">
        <v>195</v>
      </c>
      <c r="B76" t="s">
        <v>129</v>
      </c>
      <c r="C76">
        <v>101304</v>
      </c>
      <c r="D76" s="3">
        <v>3022060</v>
      </c>
      <c r="E76" s="3">
        <v>2060</v>
      </c>
      <c r="F76">
        <v>10105</v>
      </c>
      <c r="G76">
        <v>3022060</v>
      </c>
      <c r="H76">
        <v>938641</v>
      </c>
      <c r="I76" s="7" t="s">
        <v>195</v>
      </c>
    </row>
    <row r="77" spans="1:9">
      <c r="A77" s="7" t="s">
        <v>196</v>
      </c>
      <c r="B77" t="s">
        <v>129</v>
      </c>
      <c r="C77">
        <v>134677</v>
      </c>
      <c r="D77" s="3">
        <v>3023518</v>
      </c>
      <c r="E77" s="3">
        <v>3518</v>
      </c>
      <c r="F77">
        <v>10123</v>
      </c>
      <c r="G77">
        <v>3023518</v>
      </c>
      <c r="H77">
        <v>938679</v>
      </c>
      <c r="I77" s="7" t="s">
        <v>196</v>
      </c>
    </row>
    <row r="78" spans="1:9">
      <c r="A78" s="7" t="s">
        <v>197</v>
      </c>
      <c r="B78" t="s">
        <v>129</v>
      </c>
      <c r="C78">
        <v>101298</v>
      </c>
      <c r="D78" s="3">
        <v>3022054</v>
      </c>
      <c r="E78" s="3">
        <v>2054</v>
      </c>
      <c r="F78">
        <v>10109</v>
      </c>
      <c r="G78">
        <v>3022054</v>
      </c>
      <c r="H78">
        <v>938637</v>
      </c>
      <c r="I78" s="7" t="s">
        <v>197</v>
      </c>
    </row>
    <row r="79" spans="1:9">
      <c r="A79" s="7" t="s">
        <v>198</v>
      </c>
      <c r="B79" t="s">
        <v>199</v>
      </c>
      <c r="C79">
        <v>133749</v>
      </c>
      <c r="D79" s="3">
        <v>3021102</v>
      </c>
      <c r="E79" s="3">
        <v>1102</v>
      </c>
      <c r="F79">
        <v>10185</v>
      </c>
      <c r="G79">
        <v>3021102</v>
      </c>
      <c r="H79">
        <v>938705</v>
      </c>
      <c r="I79" s="7" t="s">
        <v>198</v>
      </c>
    </row>
    <row r="80" spans="1:9">
      <c r="A80" s="7" t="s">
        <v>200</v>
      </c>
      <c r="B80" t="s">
        <v>199</v>
      </c>
      <c r="C80">
        <v>101255</v>
      </c>
      <c r="D80" s="3">
        <v>3021100</v>
      </c>
      <c r="E80" s="3">
        <v>1100</v>
      </c>
      <c r="F80">
        <v>10188</v>
      </c>
      <c r="G80">
        <v>3021100</v>
      </c>
      <c r="H80">
        <v>938706</v>
      </c>
      <c r="I80" s="7" t="s">
        <v>200</v>
      </c>
    </row>
    <row r="81" spans="1:9">
      <c r="A81" s="7" t="s">
        <v>202</v>
      </c>
      <c r="B81" t="s">
        <v>201</v>
      </c>
      <c r="C81">
        <v>101362</v>
      </c>
      <c r="D81" s="3">
        <v>3025405</v>
      </c>
      <c r="E81" s="3">
        <v>5405</v>
      </c>
      <c r="F81">
        <v>10145</v>
      </c>
      <c r="G81">
        <v>3025405</v>
      </c>
      <c r="H81">
        <v>938690</v>
      </c>
      <c r="I81" s="7" t="s">
        <v>202</v>
      </c>
    </row>
    <row r="82" spans="1:9">
      <c r="A82" s="7" t="s">
        <v>203</v>
      </c>
      <c r="B82" t="s">
        <v>201</v>
      </c>
      <c r="C82">
        <v>101345</v>
      </c>
      <c r="D82" s="3">
        <v>3024003</v>
      </c>
      <c r="E82" s="3">
        <v>4003</v>
      </c>
      <c r="F82">
        <v>10139</v>
      </c>
      <c r="G82">
        <v>3024003</v>
      </c>
      <c r="H82">
        <v>938683</v>
      </c>
      <c r="I82" s="7" t="s">
        <v>203</v>
      </c>
    </row>
    <row r="83" spans="1:9">
      <c r="A83" s="7" t="s">
        <v>204</v>
      </c>
      <c r="B83" t="s">
        <v>201</v>
      </c>
      <c r="C83">
        <v>135747</v>
      </c>
      <c r="D83" s="3">
        <v>3025427</v>
      </c>
      <c r="E83" s="3">
        <v>5427</v>
      </c>
      <c r="F83">
        <v>11174</v>
      </c>
      <c r="G83">
        <v>3025427</v>
      </c>
      <c r="H83">
        <v>938693</v>
      </c>
      <c r="I83" s="7" t="s">
        <v>204</v>
      </c>
    </row>
    <row r="84" spans="1:9">
      <c r="A84" s="7" t="s">
        <v>205</v>
      </c>
      <c r="B84" t="s">
        <v>201</v>
      </c>
      <c r="C84">
        <v>142627</v>
      </c>
      <c r="D84" s="3">
        <v>3024004</v>
      </c>
      <c r="E84" s="3">
        <v>4004</v>
      </c>
      <c r="F84">
        <v>11513</v>
      </c>
      <c r="G84">
        <v>3024004</v>
      </c>
      <c r="H84">
        <v>938707</v>
      </c>
      <c r="I84" s="7" t="s">
        <v>205</v>
      </c>
    </row>
    <row r="85" spans="1:9">
      <c r="A85" s="7" t="s">
        <v>266</v>
      </c>
      <c r="B85" t="s">
        <v>201</v>
      </c>
      <c r="C85">
        <v>101361</v>
      </c>
      <c r="D85" s="3">
        <v>3025404</v>
      </c>
      <c r="E85" s="3">
        <v>5404</v>
      </c>
      <c r="F85">
        <v>10148</v>
      </c>
      <c r="G85">
        <v>3025404</v>
      </c>
      <c r="H85">
        <v>938689</v>
      </c>
      <c r="I85" s="7" t="s">
        <v>266</v>
      </c>
    </row>
    <row r="86" spans="1:9">
      <c r="A86" s="7" t="s">
        <v>206</v>
      </c>
      <c r="B86" t="s">
        <v>201</v>
      </c>
      <c r="C86">
        <v>101364</v>
      </c>
      <c r="D86" s="3">
        <v>3025407</v>
      </c>
      <c r="E86" s="3">
        <v>5407</v>
      </c>
      <c r="F86">
        <v>10142</v>
      </c>
      <c r="G86">
        <v>3025407</v>
      </c>
      <c r="H86">
        <v>938691</v>
      </c>
      <c r="I86" s="7" t="s">
        <v>206</v>
      </c>
    </row>
    <row r="87" spans="1:9">
      <c r="A87" s="7" t="s">
        <v>208</v>
      </c>
      <c r="B87" t="s">
        <v>207</v>
      </c>
      <c r="C87">
        <v>101397</v>
      </c>
      <c r="D87">
        <v>3027010</v>
      </c>
      <c r="E87">
        <v>7010</v>
      </c>
      <c r="F87">
        <v>10159</v>
      </c>
      <c r="G87">
        <v>3027010</v>
      </c>
      <c r="H87">
        <v>938699</v>
      </c>
      <c r="I87" s="7" t="s">
        <v>208</v>
      </c>
    </row>
    <row r="88" spans="1:9">
      <c r="A88" s="7" t="s">
        <v>209</v>
      </c>
      <c r="B88" t="s">
        <v>207</v>
      </c>
      <c r="C88">
        <v>101395</v>
      </c>
      <c r="D88">
        <v>3027005</v>
      </c>
      <c r="E88">
        <v>7005</v>
      </c>
      <c r="F88">
        <v>10157</v>
      </c>
      <c r="G88">
        <v>3027005</v>
      </c>
      <c r="H88">
        <v>938697</v>
      </c>
      <c r="I88" s="7" t="s">
        <v>209</v>
      </c>
    </row>
    <row r="89" spans="1:9">
      <c r="A89" s="7" t="s">
        <v>210</v>
      </c>
      <c r="B89" t="s">
        <v>207</v>
      </c>
      <c r="C89">
        <v>101396</v>
      </c>
      <c r="D89">
        <v>3027009</v>
      </c>
      <c r="E89">
        <v>7009</v>
      </c>
      <c r="F89">
        <v>10158</v>
      </c>
      <c r="G89">
        <v>3027009</v>
      </c>
      <c r="H89">
        <v>938698</v>
      </c>
      <c r="I89" s="7" t="s">
        <v>210</v>
      </c>
    </row>
    <row r="90" spans="1:9">
      <c r="A90" s="7" t="s">
        <v>212</v>
      </c>
      <c r="B90" t="s">
        <v>211</v>
      </c>
      <c r="C90">
        <v>103119</v>
      </c>
      <c r="D90" s="3">
        <v>3023521</v>
      </c>
      <c r="E90" s="3">
        <v>3521</v>
      </c>
      <c r="F90">
        <v>10698</v>
      </c>
      <c r="G90">
        <v>3023521</v>
      </c>
      <c r="H90">
        <v>938681</v>
      </c>
      <c r="I90" s="7" t="s">
        <v>212</v>
      </c>
    </row>
  </sheetData>
  <conditionalFormatting sqref="C4:E90">
    <cfRule type="cellIs" dxfId="32" priority="5" operator="equal">
      <formula>""</formula>
    </cfRule>
  </conditionalFormatting>
  <conditionalFormatting sqref="D1 D4:D90">
    <cfRule type="duplicateValues" dxfId="31" priority="88"/>
  </conditionalFormatting>
  <conditionalFormatting sqref="E1 E4:E90">
    <cfRule type="duplicateValues" dxfId="30" priority="96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F6E4C-71FC-4272-86AD-70A4E5A4ACB7}">
  <dimension ref="A1:CQ91"/>
  <sheetViews>
    <sheetView workbookViewId="0">
      <pane xSplit="2" ySplit="7" topLeftCell="C58" activePane="bottomRight" state="frozen"/>
      <selection activeCell="C67" sqref="C67"/>
      <selection pane="topRight" activeCell="C67" sqref="C67"/>
      <selection pane="bottomLeft" activeCell="C67" sqref="C67"/>
      <selection pane="bottomRight" activeCell="C67" sqref="C67"/>
    </sheetView>
  </sheetViews>
  <sheetFormatPr defaultRowHeight="14.4"/>
  <cols>
    <col min="1" max="1" width="33.109375" bestFit="1" customWidth="1"/>
    <col min="2" max="2" width="48.88671875" bestFit="1" customWidth="1"/>
    <col min="3" max="5" width="11.44140625" bestFit="1" customWidth="1"/>
    <col min="6" max="8" width="10.44140625" bestFit="1" customWidth="1"/>
    <col min="9" max="9" width="11.44140625" bestFit="1" customWidth="1"/>
    <col min="10" max="10" width="10.44140625" bestFit="1" customWidth="1"/>
    <col min="11" max="11" width="11.44140625" bestFit="1" customWidth="1"/>
    <col min="12" max="12" width="10.44140625" bestFit="1" customWidth="1"/>
    <col min="13" max="13" width="9.6640625" bestFit="1" customWidth="1"/>
    <col min="14" max="14" width="10.6640625" bestFit="1" customWidth="1"/>
    <col min="15" max="17" width="10.44140625" bestFit="1" customWidth="1"/>
    <col min="18" max="19" width="11.44140625" bestFit="1" customWidth="1"/>
    <col min="20" max="20" width="10.44140625" bestFit="1" customWidth="1"/>
    <col min="21" max="22" width="11.44140625" bestFit="1" customWidth="1"/>
    <col min="23" max="23" width="13.44140625" bestFit="1" customWidth="1"/>
    <col min="24" max="25" width="11.44140625" bestFit="1" customWidth="1"/>
    <col min="26" max="26" width="10.44140625" bestFit="1" customWidth="1"/>
    <col min="27" max="27" width="11.44140625" bestFit="1" customWidth="1"/>
    <col min="28" max="28" width="13.44140625" bestFit="1" customWidth="1"/>
    <col min="29" max="31" width="10.44140625" bestFit="1" customWidth="1"/>
    <col min="32" max="32" width="13.5546875" bestFit="1" customWidth="1"/>
    <col min="33" max="33" width="10.44140625" bestFit="1" customWidth="1"/>
    <col min="34" max="34" width="11.44140625" bestFit="1" customWidth="1"/>
    <col min="35" max="36" width="10.44140625" bestFit="1" customWidth="1"/>
    <col min="37" max="37" width="11.44140625" bestFit="1" customWidth="1"/>
    <col min="38" max="38" width="10.44140625" bestFit="1" customWidth="1"/>
    <col min="39" max="39" width="11.44140625" bestFit="1" customWidth="1"/>
    <col min="40" max="43" width="10.44140625" bestFit="1" customWidth="1"/>
    <col min="44" max="46" width="11.44140625" bestFit="1" customWidth="1"/>
    <col min="47" max="47" width="9.6640625" bestFit="1" customWidth="1"/>
    <col min="48" max="50" width="10.44140625" bestFit="1" customWidth="1"/>
    <col min="51" max="53" width="11.44140625" bestFit="1" customWidth="1"/>
    <col min="54" max="54" width="10.44140625" bestFit="1" customWidth="1"/>
    <col min="55" max="55" width="9.44140625" bestFit="1" customWidth="1"/>
    <col min="56" max="59" width="11.44140625" bestFit="1" customWidth="1"/>
    <col min="60" max="60" width="9" bestFit="1" customWidth="1"/>
    <col min="61" max="61" width="10.44140625" bestFit="1" customWidth="1"/>
    <col min="62" max="62" width="12" bestFit="1" customWidth="1"/>
    <col min="63" max="69" width="11.44140625" bestFit="1" customWidth="1"/>
    <col min="70" max="70" width="10.44140625" bestFit="1" customWidth="1"/>
    <col min="71" max="71" width="12" bestFit="1" customWidth="1"/>
    <col min="72" max="72" width="11.44140625" bestFit="1" customWidth="1"/>
    <col min="73" max="73" width="10.44140625" bestFit="1" customWidth="1"/>
    <col min="74" max="74" width="11.44140625" bestFit="1" customWidth="1"/>
    <col min="75" max="75" width="10.44140625" bestFit="1" customWidth="1"/>
    <col min="76" max="76" width="11.44140625" bestFit="1" customWidth="1"/>
    <col min="77" max="77" width="10.44140625" bestFit="1" customWidth="1"/>
    <col min="78" max="82" width="11.44140625" bestFit="1" customWidth="1"/>
    <col min="83" max="83" width="10.44140625" bestFit="1" customWidth="1"/>
    <col min="84" max="85" width="13.109375" bestFit="1" customWidth="1"/>
    <col min="86" max="86" width="11.44140625" bestFit="1" customWidth="1"/>
    <col min="87" max="88" width="10.44140625" bestFit="1" customWidth="1"/>
    <col min="89" max="90" width="11.44140625" bestFit="1" customWidth="1"/>
    <col min="91" max="91" width="5" bestFit="1" customWidth="1"/>
    <col min="92" max="92" width="6.33203125" bestFit="1" customWidth="1"/>
    <col min="93" max="93" width="9.33203125" bestFit="1" customWidth="1"/>
    <col min="94" max="94" width="9.109375" bestFit="1" customWidth="1"/>
    <col min="95" max="95" width="9.33203125" bestFit="1" customWidth="1"/>
  </cols>
  <sheetData>
    <row r="1" spans="1:95" ht="16.2" thickBot="1">
      <c r="A1" s="370" t="s">
        <v>533</v>
      </c>
      <c r="B1" s="371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3" t="s">
        <v>534</v>
      </c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  <c r="AH1" s="372"/>
      <c r="AI1" s="372"/>
      <c r="AJ1" s="372"/>
      <c r="AK1" s="372"/>
      <c r="AL1" s="372"/>
      <c r="AM1" s="372"/>
      <c r="AN1" s="372"/>
      <c r="AO1" s="374"/>
      <c r="AP1" s="372"/>
      <c r="AQ1" s="372"/>
      <c r="AR1" s="372"/>
      <c r="AS1" s="372"/>
      <c r="AT1" s="372"/>
      <c r="AU1" s="372"/>
      <c r="AV1" s="372"/>
      <c r="AW1" s="372"/>
      <c r="AX1" s="372"/>
      <c r="AY1" s="372"/>
      <c r="AZ1" s="372"/>
      <c r="BA1" s="372"/>
      <c r="BB1" s="372"/>
      <c r="BC1" s="372"/>
      <c r="BD1" s="372"/>
      <c r="BE1" s="372"/>
      <c r="BF1" s="372"/>
      <c r="BG1" s="372"/>
      <c r="BH1" s="372"/>
      <c r="BI1" s="372"/>
      <c r="BJ1" s="372"/>
      <c r="BK1" s="372"/>
      <c r="BL1" s="372"/>
      <c r="BM1" s="372"/>
      <c r="BN1" s="372"/>
      <c r="BO1" s="372"/>
      <c r="BP1" s="372"/>
      <c r="BQ1" s="372"/>
      <c r="BR1" s="372"/>
      <c r="BS1" s="372"/>
      <c r="BT1" s="372"/>
      <c r="BU1" s="372"/>
      <c r="BV1" s="372"/>
      <c r="BW1" s="372"/>
      <c r="BX1" s="372"/>
      <c r="BY1" s="372"/>
      <c r="BZ1" s="372"/>
      <c r="CA1" s="372"/>
      <c r="CB1" s="372"/>
      <c r="CC1" s="372"/>
      <c r="CD1" s="372"/>
      <c r="CE1" s="372"/>
      <c r="CF1" s="372"/>
      <c r="CG1" s="372"/>
      <c r="CH1" s="372"/>
      <c r="CI1" s="372"/>
      <c r="CJ1" s="372"/>
      <c r="CK1" s="372"/>
      <c r="CL1" s="372"/>
    </row>
    <row r="2" spans="1:95" ht="15" thickBot="1">
      <c r="A2" s="372"/>
      <c r="B2" s="372"/>
      <c r="C2" s="375" t="s">
        <v>126</v>
      </c>
      <c r="D2" s="376"/>
      <c r="E2" s="377" t="s">
        <v>207</v>
      </c>
      <c r="F2" s="378"/>
      <c r="G2" s="379"/>
      <c r="H2" s="380" t="s">
        <v>535</v>
      </c>
      <c r="I2" s="381"/>
      <c r="J2" s="382" t="s">
        <v>129</v>
      </c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3"/>
      <c r="AM2" s="383"/>
      <c r="AN2" s="383"/>
      <c r="AO2" s="383"/>
      <c r="AP2" s="383"/>
      <c r="AQ2" s="383"/>
      <c r="AR2" s="383"/>
      <c r="AS2" s="383"/>
      <c r="AT2" s="383"/>
      <c r="AU2" s="383"/>
      <c r="AV2" s="383"/>
      <c r="AW2" s="383"/>
      <c r="AX2" s="383"/>
      <c r="AY2" s="383"/>
      <c r="AZ2" s="383"/>
      <c r="BA2" s="383"/>
      <c r="BB2" s="383"/>
      <c r="BC2" s="383"/>
      <c r="BD2" s="383"/>
      <c r="BE2" s="383"/>
      <c r="BF2" s="383"/>
      <c r="BG2" s="383"/>
      <c r="BH2" s="383"/>
      <c r="BI2" s="383"/>
      <c r="BJ2" s="383"/>
      <c r="BK2" s="383"/>
      <c r="BL2" s="383"/>
      <c r="BM2" s="383"/>
      <c r="BN2" s="383"/>
      <c r="BO2" s="383"/>
      <c r="BP2" s="383"/>
      <c r="BQ2" s="383"/>
      <c r="BR2" s="383"/>
      <c r="BS2" s="383"/>
      <c r="BT2" s="383"/>
      <c r="BU2" s="383"/>
      <c r="BV2" s="383"/>
      <c r="BW2" s="383"/>
      <c r="BX2" s="383"/>
      <c r="BY2" s="383"/>
      <c r="BZ2" s="383"/>
      <c r="CA2" s="383"/>
      <c r="CB2" s="383"/>
      <c r="CC2" s="383"/>
      <c r="CD2" s="383"/>
      <c r="CE2" s="384"/>
      <c r="CF2" s="385" t="s">
        <v>536</v>
      </c>
      <c r="CG2" s="386" t="s">
        <v>201</v>
      </c>
      <c r="CH2" s="387"/>
      <c r="CI2" s="387"/>
      <c r="CJ2" s="387"/>
      <c r="CK2" s="387"/>
      <c r="CL2" s="388"/>
    </row>
    <row r="3" spans="1:95" ht="55.2">
      <c r="A3" s="389" t="s">
        <v>537</v>
      </c>
      <c r="B3" s="389" t="s">
        <v>538</v>
      </c>
      <c r="C3" s="390" t="s">
        <v>125</v>
      </c>
      <c r="D3" s="391" t="s">
        <v>127</v>
      </c>
      <c r="E3" s="390" t="s">
        <v>208</v>
      </c>
      <c r="F3" s="392" t="s">
        <v>209</v>
      </c>
      <c r="G3" s="391" t="s">
        <v>210</v>
      </c>
      <c r="H3" s="390" t="s">
        <v>198</v>
      </c>
      <c r="I3" s="391" t="s">
        <v>200</v>
      </c>
      <c r="J3" s="392" t="s">
        <v>539</v>
      </c>
      <c r="K3" s="392" t="s">
        <v>540</v>
      </c>
      <c r="L3" s="392" t="s">
        <v>541</v>
      </c>
      <c r="M3" s="392" t="s">
        <v>542</v>
      </c>
      <c r="N3" s="392" t="s">
        <v>543</v>
      </c>
      <c r="O3" s="392" t="s">
        <v>544</v>
      </c>
      <c r="P3" s="392" t="s">
        <v>135</v>
      </c>
      <c r="Q3" s="392" t="s">
        <v>545</v>
      </c>
      <c r="R3" s="393" t="s">
        <v>546</v>
      </c>
      <c r="S3" s="392" t="s">
        <v>547</v>
      </c>
      <c r="T3" s="392" t="s">
        <v>548</v>
      </c>
      <c r="U3" s="392" t="s">
        <v>549</v>
      </c>
      <c r="V3" s="392" t="s">
        <v>550</v>
      </c>
      <c r="W3" s="392" t="s">
        <v>551</v>
      </c>
      <c r="X3" s="392" t="s">
        <v>552</v>
      </c>
      <c r="Y3" s="392" t="s">
        <v>553</v>
      </c>
      <c r="Z3" s="392" t="s">
        <v>554</v>
      </c>
      <c r="AA3" s="392" t="s">
        <v>146</v>
      </c>
      <c r="AB3" s="392" t="s">
        <v>555</v>
      </c>
      <c r="AC3" s="392" t="s">
        <v>556</v>
      </c>
      <c r="AD3" s="392" t="s">
        <v>557</v>
      </c>
      <c r="AE3" s="392" t="s">
        <v>558</v>
      </c>
      <c r="AF3" s="392" t="s">
        <v>559</v>
      </c>
      <c r="AG3" s="392" t="s">
        <v>560</v>
      </c>
      <c r="AH3" s="392" t="s">
        <v>561</v>
      </c>
      <c r="AI3" s="392" t="s">
        <v>154</v>
      </c>
      <c r="AJ3" s="392" t="s">
        <v>562</v>
      </c>
      <c r="AK3" s="392" t="s">
        <v>563</v>
      </c>
      <c r="AL3" s="392" t="s">
        <v>564</v>
      </c>
      <c r="AM3" s="392" t="s">
        <v>565</v>
      </c>
      <c r="AN3" s="392" t="s">
        <v>566</v>
      </c>
      <c r="AO3" s="392" t="s">
        <v>567</v>
      </c>
      <c r="AP3" s="392" t="s">
        <v>568</v>
      </c>
      <c r="AQ3" s="392" t="s">
        <v>569</v>
      </c>
      <c r="AR3" s="392" t="s">
        <v>570</v>
      </c>
      <c r="AS3" s="392" t="s">
        <v>571</v>
      </c>
      <c r="AT3" s="392" t="s">
        <v>572</v>
      </c>
      <c r="AU3" s="392" t="s">
        <v>573</v>
      </c>
      <c r="AV3" s="392" t="s">
        <v>574</v>
      </c>
      <c r="AW3" s="392" t="s">
        <v>575</v>
      </c>
      <c r="AX3" s="392" t="s">
        <v>576</v>
      </c>
      <c r="AY3" s="392" t="s">
        <v>577</v>
      </c>
      <c r="AZ3" s="392" t="s">
        <v>578</v>
      </c>
      <c r="BA3" s="392" t="s">
        <v>579</v>
      </c>
      <c r="BB3" s="392" t="s">
        <v>580</v>
      </c>
      <c r="BC3" s="392" t="s">
        <v>581</v>
      </c>
      <c r="BD3" s="392" t="s">
        <v>582</v>
      </c>
      <c r="BE3" s="392" t="s">
        <v>583</v>
      </c>
      <c r="BF3" s="392" t="s">
        <v>584</v>
      </c>
      <c r="BG3" s="392" t="s">
        <v>585</v>
      </c>
      <c r="BH3" s="392" t="s">
        <v>586</v>
      </c>
      <c r="BI3" s="392" t="s">
        <v>587</v>
      </c>
      <c r="BJ3" s="392" t="s">
        <v>179</v>
      </c>
      <c r="BK3" s="392" t="s">
        <v>588</v>
      </c>
      <c r="BL3" s="392" t="s">
        <v>589</v>
      </c>
      <c r="BM3" s="392" t="s">
        <v>590</v>
      </c>
      <c r="BN3" s="392" t="s">
        <v>591</v>
      </c>
      <c r="BO3" s="392" t="s">
        <v>592</v>
      </c>
      <c r="BP3" s="392" t="s">
        <v>593</v>
      </c>
      <c r="BQ3" s="392" t="s">
        <v>594</v>
      </c>
      <c r="BR3" s="392" t="s">
        <v>595</v>
      </c>
      <c r="BS3" s="392" t="s">
        <v>596</v>
      </c>
      <c r="BT3" s="392" t="s">
        <v>597</v>
      </c>
      <c r="BU3" s="392" t="s">
        <v>598</v>
      </c>
      <c r="BV3" s="392" t="s">
        <v>599</v>
      </c>
      <c r="BW3" s="392" t="s">
        <v>600</v>
      </c>
      <c r="BX3" s="392" t="s">
        <v>601</v>
      </c>
      <c r="BY3" s="392" t="s">
        <v>602</v>
      </c>
      <c r="BZ3" s="392" t="s">
        <v>603</v>
      </c>
      <c r="CA3" s="392" t="s">
        <v>604</v>
      </c>
      <c r="CB3" s="392" t="s">
        <v>605</v>
      </c>
      <c r="CC3" s="392" t="s">
        <v>606</v>
      </c>
      <c r="CD3" s="392" t="s">
        <v>607</v>
      </c>
      <c r="CE3" s="391" t="s">
        <v>608</v>
      </c>
      <c r="CF3" s="394" t="s">
        <v>609</v>
      </c>
      <c r="CG3" s="395" t="s">
        <v>610</v>
      </c>
      <c r="CH3" s="396" t="s">
        <v>611</v>
      </c>
      <c r="CI3" s="396" t="s">
        <v>612</v>
      </c>
      <c r="CJ3" s="396" t="s">
        <v>613</v>
      </c>
      <c r="CK3" s="396" t="s">
        <v>614</v>
      </c>
      <c r="CL3" s="397" t="s">
        <v>615</v>
      </c>
      <c r="CN3" s="397" t="s">
        <v>616</v>
      </c>
      <c r="CO3" s="397" t="s">
        <v>617</v>
      </c>
      <c r="CP3" s="397" t="s">
        <v>618</v>
      </c>
      <c r="CQ3" s="397" t="s">
        <v>619</v>
      </c>
    </row>
    <row r="4" spans="1:95">
      <c r="A4" s="389"/>
      <c r="B4" s="389"/>
      <c r="C4" s="398">
        <v>10135</v>
      </c>
      <c r="D4" s="398">
        <v>10132</v>
      </c>
      <c r="E4" s="398">
        <v>10159</v>
      </c>
      <c r="F4" s="398">
        <v>10157</v>
      </c>
      <c r="G4" s="398">
        <v>10158</v>
      </c>
      <c r="H4" s="398">
        <v>10185</v>
      </c>
      <c r="I4" s="398">
        <v>10188</v>
      </c>
      <c r="J4" s="398">
        <v>11094</v>
      </c>
      <c r="K4" s="398">
        <v>10040</v>
      </c>
      <c r="L4" s="398">
        <v>10042</v>
      </c>
      <c r="M4" s="398">
        <v>10043</v>
      </c>
      <c r="N4" s="398">
        <v>10117</v>
      </c>
      <c r="O4" s="398">
        <v>10044</v>
      </c>
      <c r="P4" s="398">
        <v>10128</v>
      </c>
      <c r="Q4" s="398">
        <v>11278</v>
      </c>
      <c r="R4" s="399">
        <v>10045</v>
      </c>
      <c r="S4" s="398">
        <v>10115</v>
      </c>
      <c r="T4" s="398">
        <v>10047</v>
      </c>
      <c r="U4" s="398">
        <v>10046</v>
      </c>
      <c r="V4" s="398">
        <v>10048</v>
      </c>
      <c r="W4" s="398">
        <v>10118</v>
      </c>
      <c r="X4" s="398">
        <v>10050</v>
      </c>
      <c r="Y4" s="398">
        <v>10051</v>
      </c>
      <c r="Z4" s="398">
        <v>10054</v>
      </c>
      <c r="AA4" s="398">
        <v>10055</v>
      </c>
      <c r="AB4" s="398">
        <v>10056</v>
      </c>
      <c r="AC4" s="398">
        <v>10057</v>
      </c>
      <c r="AD4" s="398">
        <v>10083</v>
      </c>
      <c r="AE4" s="398">
        <v>10059</v>
      </c>
      <c r="AF4" s="398">
        <v>10061</v>
      </c>
      <c r="AG4" s="398">
        <v>10063</v>
      </c>
      <c r="AH4" s="398">
        <v>10064</v>
      </c>
      <c r="AI4" s="398">
        <v>10065</v>
      </c>
      <c r="AJ4" s="398">
        <v>10066</v>
      </c>
      <c r="AK4" s="398">
        <v>10068</v>
      </c>
      <c r="AL4" s="398">
        <v>10067</v>
      </c>
      <c r="AM4" s="398">
        <v>10069</v>
      </c>
      <c r="AN4" s="398">
        <v>10121</v>
      </c>
      <c r="AO4" s="398">
        <v>10071</v>
      </c>
      <c r="AP4" s="398">
        <v>10072</v>
      </c>
      <c r="AQ4" s="398">
        <v>10073</v>
      </c>
      <c r="AR4" s="398">
        <v>10074</v>
      </c>
      <c r="AS4" s="398">
        <v>10075</v>
      </c>
      <c r="AT4" s="398">
        <v>11093</v>
      </c>
      <c r="AU4" s="398">
        <v>10125</v>
      </c>
      <c r="AV4" s="398">
        <v>10126</v>
      </c>
      <c r="AW4" s="398">
        <v>10114</v>
      </c>
      <c r="AX4" s="398">
        <v>10078</v>
      </c>
      <c r="AY4" s="398">
        <v>10079</v>
      </c>
      <c r="AZ4" s="398">
        <v>10081</v>
      </c>
      <c r="BA4" s="398">
        <v>10080</v>
      </c>
      <c r="BB4" s="398">
        <v>10113</v>
      </c>
      <c r="BC4" s="398">
        <v>10082</v>
      </c>
      <c r="BD4" s="398">
        <v>10127</v>
      </c>
      <c r="BE4" s="398">
        <v>10084</v>
      </c>
      <c r="BF4" s="398">
        <v>10085</v>
      </c>
      <c r="BG4" s="398">
        <v>10129</v>
      </c>
      <c r="BH4" s="398">
        <v>10119</v>
      </c>
      <c r="BI4" s="398">
        <v>10086</v>
      </c>
      <c r="BJ4" s="398">
        <v>10112</v>
      </c>
      <c r="BK4" s="398">
        <v>10110</v>
      </c>
      <c r="BL4" s="398">
        <v>10087</v>
      </c>
      <c r="BM4" s="398">
        <v>10099</v>
      </c>
      <c r="BN4" s="398">
        <v>10088</v>
      </c>
      <c r="BO4" s="398">
        <v>10089</v>
      </c>
      <c r="BP4" s="398">
        <v>10116</v>
      </c>
      <c r="BQ4" s="398">
        <v>10107</v>
      </c>
      <c r="BR4" s="398">
        <v>10092</v>
      </c>
      <c r="BS4" s="398">
        <v>10093</v>
      </c>
      <c r="BT4" s="398">
        <v>10094</v>
      </c>
      <c r="BU4" s="398">
        <v>10095</v>
      </c>
      <c r="BV4" s="398">
        <v>10108</v>
      </c>
      <c r="BW4" s="398">
        <v>10096</v>
      </c>
      <c r="BX4" s="398">
        <v>10097</v>
      </c>
      <c r="BY4" s="398">
        <v>10100</v>
      </c>
      <c r="BZ4" s="398">
        <v>10101</v>
      </c>
      <c r="CA4" s="398">
        <v>10103</v>
      </c>
      <c r="CB4" s="398">
        <v>10124</v>
      </c>
      <c r="CC4" s="398">
        <v>10105</v>
      </c>
      <c r="CD4" s="398">
        <v>10123</v>
      </c>
      <c r="CE4" s="398">
        <v>10109</v>
      </c>
      <c r="CF4" s="398">
        <v>10698</v>
      </c>
      <c r="CG4" s="398">
        <v>10145</v>
      </c>
      <c r="CH4" s="398">
        <v>10139</v>
      </c>
      <c r="CI4" s="398">
        <v>11174</v>
      </c>
      <c r="CJ4" s="398">
        <v>11513</v>
      </c>
      <c r="CK4" s="398">
        <v>10142</v>
      </c>
      <c r="CL4" s="398">
        <v>10148</v>
      </c>
      <c r="CN4" s="398"/>
      <c r="CO4" s="398"/>
      <c r="CP4" s="398"/>
      <c r="CQ4" s="398"/>
    </row>
    <row r="5" spans="1:95">
      <c r="A5" s="389"/>
      <c r="B5" s="389"/>
      <c r="C5" s="398">
        <v>3021000</v>
      </c>
      <c r="D5" s="398">
        <v>3021002</v>
      </c>
      <c r="E5" s="398">
        <v>3027010</v>
      </c>
      <c r="F5" s="398">
        <v>3027005</v>
      </c>
      <c r="G5" s="398">
        <v>3027009</v>
      </c>
      <c r="H5" s="398">
        <v>3021102</v>
      </c>
      <c r="I5" s="398">
        <v>3021100</v>
      </c>
      <c r="J5" s="398">
        <v>3023520</v>
      </c>
      <c r="K5" s="398">
        <v>3023300</v>
      </c>
      <c r="L5" s="398">
        <v>3023317</v>
      </c>
      <c r="M5" s="398">
        <v>3023500</v>
      </c>
      <c r="N5" s="398">
        <v>3023514</v>
      </c>
      <c r="O5" s="398">
        <v>3022002</v>
      </c>
      <c r="P5" s="398">
        <v>3022079</v>
      </c>
      <c r="Q5" s="398">
        <v>3023524</v>
      </c>
      <c r="R5" s="398">
        <v>3022003</v>
      </c>
      <c r="S5" s="398">
        <v>3023511</v>
      </c>
      <c r="T5" s="398">
        <v>3022008</v>
      </c>
      <c r="U5" s="398">
        <v>3022007</v>
      </c>
      <c r="V5" s="398">
        <v>3022009</v>
      </c>
      <c r="W5" s="398">
        <v>3022067</v>
      </c>
      <c r="X5" s="398">
        <v>3023302</v>
      </c>
      <c r="Y5" s="398">
        <v>3022011</v>
      </c>
      <c r="Z5" s="398">
        <v>3022014</v>
      </c>
      <c r="AA5" s="398">
        <v>3022015</v>
      </c>
      <c r="AB5" s="398">
        <v>3022016</v>
      </c>
      <c r="AC5" s="398">
        <v>3022017</v>
      </c>
      <c r="AD5" s="398">
        <v>3022073</v>
      </c>
      <c r="AE5" s="398">
        <v>3022019</v>
      </c>
      <c r="AF5" s="398">
        <v>3022021</v>
      </c>
      <c r="AG5" s="398">
        <v>3022023</v>
      </c>
      <c r="AH5" s="398">
        <v>3022024</v>
      </c>
      <c r="AI5" s="398">
        <v>3022025</v>
      </c>
      <c r="AJ5" s="398">
        <v>3022026</v>
      </c>
      <c r="AK5" s="398">
        <v>3022028</v>
      </c>
      <c r="AL5" s="398">
        <v>3022027</v>
      </c>
      <c r="AM5" s="398">
        <v>3022029</v>
      </c>
      <c r="AN5" s="398">
        <v>3023516</v>
      </c>
      <c r="AO5" s="398">
        <v>3022031</v>
      </c>
      <c r="AP5" s="398">
        <v>3022032</v>
      </c>
      <c r="AQ5" s="398">
        <v>3023304</v>
      </c>
      <c r="AR5" s="398">
        <v>3022036</v>
      </c>
      <c r="AS5" s="398">
        <v>3022037</v>
      </c>
      <c r="AT5" s="398">
        <v>3023523</v>
      </c>
      <c r="AU5" s="398">
        <v>3025948</v>
      </c>
      <c r="AV5" s="398">
        <v>3025949</v>
      </c>
      <c r="AW5" s="398">
        <v>3023513</v>
      </c>
      <c r="AX5" s="398">
        <v>3023305</v>
      </c>
      <c r="AY5" s="398">
        <v>3022042</v>
      </c>
      <c r="AZ5" s="398">
        <v>3022044</v>
      </c>
      <c r="BA5" s="398">
        <v>3022043</v>
      </c>
      <c r="BB5" s="398">
        <v>3022053</v>
      </c>
      <c r="BC5" s="398">
        <v>3022045</v>
      </c>
      <c r="BD5" s="398">
        <v>3022077</v>
      </c>
      <c r="BE5" s="398">
        <v>3025201</v>
      </c>
      <c r="BF5" s="398">
        <v>3023501</v>
      </c>
      <c r="BG5" s="398">
        <v>3022078</v>
      </c>
      <c r="BH5" s="398" t="e">
        <v>#N/A</v>
      </c>
      <c r="BI5" s="398">
        <v>3022072</v>
      </c>
      <c r="BJ5" s="398">
        <v>3023512</v>
      </c>
      <c r="BK5" s="398">
        <v>3023510</v>
      </c>
      <c r="BL5" s="398">
        <v>3023502</v>
      </c>
      <c r="BM5" s="398">
        <v>3023315</v>
      </c>
      <c r="BN5" s="398">
        <v>3023504</v>
      </c>
      <c r="BO5" s="398">
        <v>3023307</v>
      </c>
      <c r="BP5" s="398">
        <v>3023309</v>
      </c>
      <c r="BQ5" s="398">
        <v>3023509</v>
      </c>
      <c r="BR5" s="398">
        <v>3023311</v>
      </c>
      <c r="BS5" s="398">
        <v>3023312</v>
      </c>
      <c r="BT5" s="398">
        <v>3023313</v>
      </c>
      <c r="BU5" s="398">
        <v>3023314</v>
      </c>
      <c r="BV5" s="398">
        <v>3023507</v>
      </c>
      <c r="BW5" s="398">
        <v>3023506</v>
      </c>
      <c r="BX5" s="398">
        <v>3022070</v>
      </c>
      <c r="BY5" s="398">
        <v>3023316</v>
      </c>
      <c r="BZ5" s="398">
        <v>3022055</v>
      </c>
      <c r="CA5" s="398">
        <v>3022057</v>
      </c>
      <c r="CB5" s="398">
        <v>3022076</v>
      </c>
      <c r="CC5" s="398">
        <v>3022060</v>
      </c>
      <c r="CD5" s="398">
        <v>3023518</v>
      </c>
      <c r="CE5" s="398">
        <v>3022054</v>
      </c>
      <c r="CF5" s="398">
        <v>3023521</v>
      </c>
      <c r="CG5" s="398">
        <v>3025405</v>
      </c>
      <c r="CH5" s="398">
        <v>3024003</v>
      </c>
      <c r="CI5" s="398">
        <v>3025427</v>
      </c>
      <c r="CJ5" s="398">
        <v>3024004</v>
      </c>
      <c r="CK5" s="398">
        <v>3025407</v>
      </c>
      <c r="CL5" s="398">
        <v>3025404</v>
      </c>
      <c r="CN5" s="398"/>
      <c r="CO5" s="398"/>
      <c r="CP5" s="398"/>
      <c r="CQ5" s="398"/>
    </row>
    <row r="6" spans="1:95">
      <c r="A6" s="389"/>
      <c r="B6" s="389"/>
      <c r="C6" s="398">
        <v>3</v>
      </c>
      <c r="D6" s="398">
        <v>4</v>
      </c>
      <c r="E6" s="398">
        <v>5</v>
      </c>
      <c r="F6" s="398">
        <v>6</v>
      </c>
      <c r="G6" s="398">
        <v>7</v>
      </c>
      <c r="H6" s="398">
        <v>8</v>
      </c>
      <c r="I6" s="398">
        <v>9</v>
      </c>
      <c r="J6" s="398">
        <v>10</v>
      </c>
      <c r="K6" s="398">
        <v>11</v>
      </c>
      <c r="L6" s="398">
        <v>12</v>
      </c>
      <c r="M6" s="398">
        <v>13</v>
      </c>
      <c r="N6" s="398">
        <v>14</v>
      </c>
      <c r="O6" s="398">
        <v>15</v>
      </c>
      <c r="P6" s="398">
        <v>16</v>
      </c>
      <c r="Q6" s="398">
        <v>17</v>
      </c>
      <c r="R6" s="399">
        <v>18</v>
      </c>
      <c r="S6" s="398">
        <v>19</v>
      </c>
      <c r="T6" s="398">
        <v>20</v>
      </c>
      <c r="U6" s="398">
        <v>21</v>
      </c>
      <c r="V6" s="398">
        <v>22</v>
      </c>
      <c r="W6" s="398">
        <v>23</v>
      </c>
      <c r="X6" s="398">
        <v>24</v>
      </c>
      <c r="Y6" s="398">
        <v>25</v>
      </c>
      <c r="Z6" s="398">
        <v>26</v>
      </c>
      <c r="AA6" s="398">
        <v>27</v>
      </c>
      <c r="AB6" s="398">
        <v>28</v>
      </c>
      <c r="AC6" s="398">
        <v>29</v>
      </c>
      <c r="AD6" s="398">
        <v>30</v>
      </c>
      <c r="AE6" s="398">
        <v>31</v>
      </c>
      <c r="AF6" s="398">
        <v>32</v>
      </c>
      <c r="AG6" s="398">
        <v>33</v>
      </c>
      <c r="AH6" s="398">
        <v>34</v>
      </c>
      <c r="AI6" s="398">
        <v>35</v>
      </c>
      <c r="AJ6" s="398">
        <v>36</v>
      </c>
      <c r="AK6" s="398">
        <v>37</v>
      </c>
      <c r="AL6" s="398">
        <v>38</v>
      </c>
      <c r="AM6" s="398">
        <v>39</v>
      </c>
      <c r="AN6" s="398">
        <v>40</v>
      </c>
      <c r="AO6" s="398">
        <v>41</v>
      </c>
      <c r="AP6" s="398">
        <v>42</v>
      </c>
      <c r="AQ6" s="398">
        <v>43</v>
      </c>
      <c r="AR6" s="398">
        <v>44</v>
      </c>
      <c r="AS6" s="398">
        <v>45</v>
      </c>
      <c r="AT6" s="398">
        <v>46</v>
      </c>
      <c r="AU6" s="398">
        <v>47</v>
      </c>
      <c r="AV6" s="398">
        <v>48</v>
      </c>
      <c r="AW6" s="398">
        <v>49</v>
      </c>
      <c r="AX6" s="398">
        <v>50</v>
      </c>
      <c r="AY6" s="398">
        <v>51</v>
      </c>
      <c r="AZ6" s="398">
        <v>52</v>
      </c>
      <c r="BA6" s="398">
        <v>53</v>
      </c>
      <c r="BB6" s="398">
        <v>54</v>
      </c>
      <c r="BC6" s="398">
        <v>55</v>
      </c>
      <c r="BD6" s="398">
        <v>56</v>
      </c>
      <c r="BE6" s="398">
        <v>57</v>
      </c>
      <c r="BF6" s="398">
        <v>58</v>
      </c>
      <c r="BG6" s="398">
        <v>59</v>
      </c>
      <c r="BH6" s="398">
        <v>60</v>
      </c>
      <c r="BI6" s="398">
        <v>61</v>
      </c>
      <c r="BJ6" s="398">
        <v>62</v>
      </c>
      <c r="BK6" s="398">
        <v>63</v>
      </c>
      <c r="BL6" s="398">
        <v>64</v>
      </c>
      <c r="BM6" s="398">
        <v>65</v>
      </c>
      <c r="BN6" s="398">
        <v>66</v>
      </c>
      <c r="BO6" s="398">
        <v>67</v>
      </c>
      <c r="BP6" s="398">
        <v>68</v>
      </c>
      <c r="BQ6" s="398">
        <v>69</v>
      </c>
      <c r="BR6" s="398">
        <v>70</v>
      </c>
      <c r="BS6" s="398">
        <v>71</v>
      </c>
      <c r="BT6" s="398">
        <v>72</v>
      </c>
      <c r="BU6" s="398">
        <v>73</v>
      </c>
      <c r="BV6" s="398">
        <v>74</v>
      </c>
      <c r="BW6" s="398">
        <v>75</v>
      </c>
      <c r="BX6" s="398">
        <v>76</v>
      </c>
      <c r="BY6" s="398">
        <v>77</v>
      </c>
      <c r="BZ6" s="398">
        <v>78</v>
      </c>
      <c r="CA6" s="398">
        <v>79</v>
      </c>
      <c r="CB6" s="398">
        <v>80</v>
      </c>
      <c r="CC6" s="398">
        <v>81</v>
      </c>
      <c r="CD6" s="398">
        <v>82</v>
      </c>
      <c r="CE6" s="398">
        <v>83</v>
      </c>
      <c r="CF6" s="398">
        <v>84</v>
      </c>
      <c r="CG6" s="398">
        <v>85</v>
      </c>
      <c r="CH6" s="398">
        <v>86</v>
      </c>
      <c r="CI6" s="398">
        <v>87</v>
      </c>
      <c r="CJ6" s="398">
        <v>88</v>
      </c>
      <c r="CK6" s="398">
        <v>89</v>
      </c>
      <c r="CL6" s="398">
        <v>90</v>
      </c>
      <c r="CN6" s="398"/>
      <c r="CO6" s="398"/>
      <c r="CP6" s="398"/>
      <c r="CQ6" s="398"/>
    </row>
    <row r="7" spans="1:95">
      <c r="A7" s="400" t="s">
        <v>620</v>
      </c>
      <c r="B7" s="400"/>
      <c r="C7" s="401" t="s">
        <v>3</v>
      </c>
      <c r="D7" s="401" t="s">
        <v>3</v>
      </c>
      <c r="E7" s="401" t="s">
        <v>3</v>
      </c>
      <c r="F7" s="401" t="s">
        <v>3</v>
      </c>
      <c r="G7" s="401" t="s">
        <v>3</v>
      </c>
      <c r="H7" s="401" t="s">
        <v>3</v>
      </c>
      <c r="I7" s="401" t="s">
        <v>3</v>
      </c>
      <c r="J7" s="401" t="s">
        <v>3</v>
      </c>
      <c r="K7" s="401" t="s">
        <v>3</v>
      </c>
      <c r="L7" s="401" t="s">
        <v>3</v>
      </c>
      <c r="M7" s="401" t="s">
        <v>3</v>
      </c>
      <c r="N7" s="401" t="s">
        <v>3</v>
      </c>
      <c r="O7" s="401" t="s">
        <v>3</v>
      </c>
      <c r="P7" s="401" t="s">
        <v>3</v>
      </c>
      <c r="Q7" s="401" t="s">
        <v>3</v>
      </c>
      <c r="R7" s="402" t="s">
        <v>3</v>
      </c>
      <c r="S7" s="401" t="s">
        <v>3</v>
      </c>
      <c r="T7" s="401" t="s">
        <v>3</v>
      </c>
      <c r="U7" s="401" t="s">
        <v>3</v>
      </c>
      <c r="V7" s="401" t="s">
        <v>3</v>
      </c>
      <c r="W7" s="401" t="s">
        <v>3</v>
      </c>
      <c r="X7" s="401" t="s">
        <v>3</v>
      </c>
      <c r="Y7" s="401" t="s">
        <v>3</v>
      </c>
      <c r="Z7" s="401" t="s">
        <v>3</v>
      </c>
      <c r="AA7" s="401" t="s">
        <v>3</v>
      </c>
      <c r="AB7" s="401" t="s">
        <v>3</v>
      </c>
      <c r="AC7" s="401" t="s">
        <v>3</v>
      </c>
      <c r="AD7" s="401" t="s">
        <v>3</v>
      </c>
      <c r="AE7" s="403" t="s">
        <v>3</v>
      </c>
      <c r="AF7" s="401" t="s">
        <v>3</v>
      </c>
      <c r="AG7" s="401" t="s">
        <v>3</v>
      </c>
      <c r="AH7" s="401" t="s">
        <v>3</v>
      </c>
      <c r="AI7" s="401" t="s">
        <v>3</v>
      </c>
      <c r="AJ7" s="401" t="s">
        <v>3</v>
      </c>
      <c r="AK7" s="401" t="s">
        <v>3</v>
      </c>
      <c r="AL7" s="401" t="s">
        <v>3</v>
      </c>
      <c r="AM7" s="401" t="s">
        <v>3</v>
      </c>
      <c r="AN7" s="401" t="s">
        <v>3</v>
      </c>
      <c r="AO7" s="401" t="s">
        <v>3</v>
      </c>
      <c r="AP7" s="401" t="s">
        <v>3</v>
      </c>
      <c r="AQ7" s="401" t="s">
        <v>3</v>
      </c>
      <c r="AR7" s="401" t="s">
        <v>3</v>
      </c>
      <c r="AS7" s="401" t="s">
        <v>3</v>
      </c>
      <c r="AT7" s="401" t="s">
        <v>3</v>
      </c>
      <c r="AU7" s="401" t="s">
        <v>3</v>
      </c>
      <c r="AV7" s="401" t="s">
        <v>3</v>
      </c>
      <c r="AW7" s="401" t="s">
        <v>3</v>
      </c>
      <c r="AX7" s="401" t="s">
        <v>3</v>
      </c>
      <c r="AY7" s="401" t="s">
        <v>3</v>
      </c>
      <c r="AZ7" s="401" t="s">
        <v>3</v>
      </c>
      <c r="BA7" s="401" t="s">
        <v>3</v>
      </c>
      <c r="BB7" s="401" t="s">
        <v>3</v>
      </c>
      <c r="BC7" s="401" t="s">
        <v>3</v>
      </c>
      <c r="BD7" s="401" t="s">
        <v>3</v>
      </c>
      <c r="BE7" s="401" t="s">
        <v>3</v>
      </c>
      <c r="BF7" s="401" t="s">
        <v>3</v>
      </c>
      <c r="BG7" s="401" t="s">
        <v>3</v>
      </c>
      <c r="BH7" s="401" t="s">
        <v>3</v>
      </c>
      <c r="BI7" s="401" t="s">
        <v>3</v>
      </c>
      <c r="BJ7" s="401" t="s">
        <v>3</v>
      </c>
      <c r="BK7" s="401" t="s">
        <v>3</v>
      </c>
      <c r="BL7" s="401" t="s">
        <v>3</v>
      </c>
      <c r="BM7" s="401" t="s">
        <v>3</v>
      </c>
      <c r="BN7" s="401" t="s">
        <v>3</v>
      </c>
      <c r="BO7" s="401" t="s">
        <v>3</v>
      </c>
      <c r="BP7" s="401" t="s">
        <v>3</v>
      </c>
      <c r="BQ7" s="401" t="s">
        <v>3</v>
      </c>
      <c r="BR7" s="401" t="s">
        <v>3</v>
      </c>
      <c r="BS7" s="401" t="s">
        <v>3</v>
      </c>
      <c r="BT7" s="401" t="s">
        <v>3</v>
      </c>
      <c r="BU7" s="401" t="s">
        <v>3</v>
      </c>
      <c r="BV7" s="401" t="s">
        <v>3</v>
      </c>
      <c r="BW7" s="401" t="s">
        <v>3</v>
      </c>
      <c r="BX7" s="401" t="s">
        <v>3</v>
      </c>
      <c r="BY7" s="401" t="s">
        <v>3</v>
      </c>
      <c r="BZ7" s="401" t="s">
        <v>3</v>
      </c>
      <c r="CA7" s="401" t="s">
        <v>3</v>
      </c>
      <c r="CB7" s="401" t="s">
        <v>3</v>
      </c>
      <c r="CC7" s="401" t="s">
        <v>3</v>
      </c>
      <c r="CD7" s="401" t="s">
        <v>3</v>
      </c>
      <c r="CE7" s="401" t="s">
        <v>3</v>
      </c>
      <c r="CF7" s="401" t="s">
        <v>3</v>
      </c>
      <c r="CG7" s="401" t="s">
        <v>3</v>
      </c>
      <c r="CH7" s="401" t="s">
        <v>3</v>
      </c>
      <c r="CI7" s="401" t="s">
        <v>3</v>
      </c>
      <c r="CJ7" s="401" t="s">
        <v>3</v>
      </c>
      <c r="CK7" s="401" t="s">
        <v>3</v>
      </c>
      <c r="CL7" s="401" t="s">
        <v>3</v>
      </c>
      <c r="CN7" s="401" t="s">
        <v>3</v>
      </c>
      <c r="CO7" s="401" t="s">
        <v>3</v>
      </c>
      <c r="CP7" s="401" t="s">
        <v>3</v>
      </c>
      <c r="CQ7" s="401" t="s">
        <v>3</v>
      </c>
    </row>
    <row r="8" spans="1:95">
      <c r="A8" s="404" t="s">
        <v>224</v>
      </c>
      <c r="B8" s="405" t="s">
        <v>621</v>
      </c>
      <c r="C8" s="406">
        <v>2203019.7817947692</v>
      </c>
      <c r="D8" s="406">
        <v>772991.5882</v>
      </c>
      <c r="E8" s="406">
        <v>1375198</v>
      </c>
      <c r="F8" s="407">
        <v>2104000</v>
      </c>
      <c r="G8" s="406">
        <v>1883688</v>
      </c>
      <c r="H8" s="408">
        <v>520201.91759999999</v>
      </c>
      <c r="I8" s="409">
        <v>2002899</v>
      </c>
      <c r="J8" s="410">
        <v>2012664.4454999999</v>
      </c>
      <c r="K8" s="406">
        <v>1133567.57142857</v>
      </c>
      <c r="L8" s="410">
        <v>1331386.8145000001</v>
      </c>
      <c r="M8" s="411">
        <v>1175914.7567</v>
      </c>
      <c r="N8" s="408">
        <v>1079276.8944999999</v>
      </c>
      <c r="O8" s="406">
        <v>2597304</v>
      </c>
      <c r="P8" s="408"/>
      <c r="Q8" s="411">
        <v>1289567.9990000001</v>
      </c>
      <c r="R8" s="412"/>
      <c r="S8" s="411">
        <v>2560348.0720000002</v>
      </c>
      <c r="T8" s="410">
        <v>1729859.4081999999</v>
      </c>
      <c r="U8" s="410">
        <v>1883776.0947</v>
      </c>
      <c r="V8" s="410">
        <v>2511261.8423000001</v>
      </c>
      <c r="W8" s="406">
        <v>1401346</v>
      </c>
      <c r="X8" s="410">
        <v>1184893.6523</v>
      </c>
      <c r="Y8" s="410">
        <v>1177003.9924000001</v>
      </c>
      <c r="Z8" s="410">
        <v>4109495.8637999999</v>
      </c>
      <c r="AA8" s="409"/>
      <c r="AB8" s="410">
        <v>1191289.1509</v>
      </c>
      <c r="AC8" s="413"/>
      <c r="AD8" s="410">
        <v>3605826.2480000001</v>
      </c>
      <c r="AE8" s="410">
        <v>1301623.3359000001</v>
      </c>
      <c r="AF8" s="414">
        <v>2471197.9277857142</v>
      </c>
      <c r="AG8" s="415">
        <v>2601128</v>
      </c>
      <c r="AH8" s="410">
        <v>1643058.5288</v>
      </c>
      <c r="AI8" s="406">
        <v>1624167.5714285714</v>
      </c>
      <c r="AJ8" s="406">
        <v>2737412</v>
      </c>
      <c r="AK8" s="410">
        <v>1396791.0962</v>
      </c>
      <c r="AL8" s="410">
        <v>1837950.4291999999</v>
      </c>
      <c r="AM8" s="411">
        <v>2716540.5547000002</v>
      </c>
      <c r="AN8" s="410">
        <v>1139251.1941</v>
      </c>
      <c r="AO8" s="410">
        <v>1347153.6864</v>
      </c>
      <c r="AP8" s="410">
        <v>2532596.7519999999</v>
      </c>
      <c r="AQ8" s="416">
        <v>1301328.5181</v>
      </c>
      <c r="AR8" s="416">
        <v>1800900.5625</v>
      </c>
      <c r="AS8" s="408"/>
      <c r="AT8" s="417">
        <v>3815426.5357142859</v>
      </c>
      <c r="AU8" s="408">
        <v>1099205</v>
      </c>
      <c r="AV8" s="408">
        <v>1750253.3702000002</v>
      </c>
      <c r="AW8" s="418">
        <v>2151666.6150000002</v>
      </c>
      <c r="AX8" s="418">
        <v>866934.57142857148</v>
      </c>
      <c r="AY8" s="417">
        <v>2114029.8571428573</v>
      </c>
      <c r="AZ8" s="408">
        <v>1811660.625</v>
      </c>
      <c r="BA8" s="408">
        <v>2483581</v>
      </c>
      <c r="BB8" s="408">
        <v>1257781.2367</v>
      </c>
      <c r="BC8" s="418">
        <v>1488617.3862000001</v>
      </c>
      <c r="BD8" s="409">
        <v>5992482.1484000003</v>
      </c>
      <c r="BE8" s="408">
        <v>2198070.7401999999</v>
      </c>
      <c r="BF8" s="418"/>
      <c r="BG8" s="408">
        <v>1716682.7427000001</v>
      </c>
      <c r="BH8" s="417"/>
      <c r="BI8" s="417">
        <v>3126667.2142857141</v>
      </c>
      <c r="BJ8" s="419">
        <v>1950926.0884</v>
      </c>
      <c r="BK8" s="408">
        <v>2093186.0737000001</v>
      </c>
      <c r="BL8" s="413">
        <v>2464954.3032</v>
      </c>
      <c r="BM8" s="408">
        <v>1111186.6912</v>
      </c>
      <c r="BN8" s="408">
        <v>2396850.5454000002</v>
      </c>
      <c r="BO8" s="408">
        <v>1316946.2453999999</v>
      </c>
      <c r="BP8" s="408">
        <v>1252252</v>
      </c>
      <c r="BQ8" s="420">
        <v>2626600.7998000002</v>
      </c>
      <c r="BR8" s="417">
        <v>2397865.3095</v>
      </c>
      <c r="BS8" s="419">
        <v>1146174.5156</v>
      </c>
      <c r="BT8" s="417">
        <v>1313833.857142857</v>
      </c>
      <c r="BU8" s="417">
        <v>1155827</v>
      </c>
      <c r="BV8" s="418"/>
      <c r="BW8" s="409">
        <v>1607374.1514000001</v>
      </c>
      <c r="BX8" s="408">
        <v>1513328</v>
      </c>
      <c r="BY8" s="421">
        <v>1150447</v>
      </c>
      <c r="BZ8" s="408"/>
      <c r="CA8" s="408">
        <v>2936287</v>
      </c>
      <c r="CB8" s="408">
        <v>1744505</v>
      </c>
      <c r="CC8" s="417">
        <v>2918761</v>
      </c>
      <c r="CD8" s="408">
        <v>2620263.5019999999</v>
      </c>
      <c r="CE8" s="409">
        <v>1135622.5630000001</v>
      </c>
      <c r="CF8" s="408"/>
      <c r="CG8" s="408">
        <v>6246142.6854999997</v>
      </c>
      <c r="CH8" s="408">
        <v>6020916</v>
      </c>
      <c r="CI8" s="418">
        <v>7490807.4512</v>
      </c>
      <c r="CJ8" s="408">
        <v>2142994.2796999998</v>
      </c>
      <c r="CK8" s="408">
        <v>8449342.3951999992</v>
      </c>
      <c r="CL8" s="413">
        <v>4158762</v>
      </c>
      <c r="CN8" s="422">
        <v>0</v>
      </c>
      <c r="CO8" s="422">
        <v>0</v>
      </c>
      <c r="CP8" s="422">
        <v>0</v>
      </c>
      <c r="CQ8" s="422">
        <v>0</v>
      </c>
    </row>
    <row r="9" spans="1:95">
      <c r="A9" s="404" t="s">
        <v>16</v>
      </c>
      <c r="B9" s="405" t="s">
        <v>622</v>
      </c>
      <c r="C9" s="406">
        <v>0</v>
      </c>
      <c r="D9" s="406">
        <v>0</v>
      </c>
      <c r="E9" s="406">
        <v>0</v>
      </c>
      <c r="F9" s="407">
        <v>0</v>
      </c>
      <c r="G9" s="406">
        <v>0</v>
      </c>
      <c r="H9" s="408">
        <v>0</v>
      </c>
      <c r="I9" s="409">
        <v>0</v>
      </c>
      <c r="J9" s="410">
        <v>0</v>
      </c>
      <c r="K9" s="406">
        <v>0</v>
      </c>
      <c r="L9" s="410">
        <v>0</v>
      </c>
      <c r="M9" s="411">
        <v>0</v>
      </c>
      <c r="N9" s="408">
        <v>0</v>
      </c>
      <c r="O9" s="406">
        <v>0</v>
      </c>
      <c r="P9" s="408"/>
      <c r="Q9" s="411">
        <v>0</v>
      </c>
      <c r="R9" s="412"/>
      <c r="S9" s="411">
        <v>0</v>
      </c>
      <c r="T9" s="410">
        <v>0</v>
      </c>
      <c r="U9" s="410">
        <v>0</v>
      </c>
      <c r="V9" s="410">
        <v>0</v>
      </c>
      <c r="W9" s="406">
        <v>0</v>
      </c>
      <c r="X9" s="410">
        <v>0</v>
      </c>
      <c r="Y9" s="410">
        <v>0</v>
      </c>
      <c r="Z9" s="410">
        <v>0</v>
      </c>
      <c r="AA9" s="409"/>
      <c r="AB9" s="410">
        <v>0</v>
      </c>
      <c r="AC9" s="413"/>
      <c r="AD9" s="410">
        <v>0</v>
      </c>
      <c r="AE9" s="410">
        <v>0</v>
      </c>
      <c r="AF9" s="414">
        <v>0</v>
      </c>
      <c r="AG9" s="415">
        <v>0</v>
      </c>
      <c r="AH9" s="410">
        <v>0</v>
      </c>
      <c r="AI9" s="406">
        <v>0</v>
      </c>
      <c r="AJ9" s="406">
        <v>0</v>
      </c>
      <c r="AK9" s="410">
        <v>0</v>
      </c>
      <c r="AL9" s="410">
        <v>0</v>
      </c>
      <c r="AM9" s="411">
        <v>0</v>
      </c>
      <c r="AN9" s="410">
        <v>0</v>
      </c>
      <c r="AO9" s="410">
        <v>0</v>
      </c>
      <c r="AP9" s="410">
        <v>0</v>
      </c>
      <c r="AQ9" s="416">
        <v>0</v>
      </c>
      <c r="AR9" s="416">
        <v>0</v>
      </c>
      <c r="AS9" s="408"/>
      <c r="AT9" s="417">
        <v>0</v>
      </c>
      <c r="AU9" s="408">
        <v>0</v>
      </c>
      <c r="AV9" s="408">
        <v>0</v>
      </c>
      <c r="AW9" s="418">
        <v>0</v>
      </c>
      <c r="AX9" s="418">
        <v>0</v>
      </c>
      <c r="AY9" s="417">
        <v>0</v>
      </c>
      <c r="AZ9" s="408">
        <v>0</v>
      </c>
      <c r="BA9" s="408">
        <v>0</v>
      </c>
      <c r="BB9" s="408">
        <v>0</v>
      </c>
      <c r="BC9" s="418">
        <v>0</v>
      </c>
      <c r="BD9" s="409">
        <v>0</v>
      </c>
      <c r="BE9" s="408">
        <v>0</v>
      </c>
      <c r="BF9" s="418"/>
      <c r="BG9" s="408">
        <v>0</v>
      </c>
      <c r="BH9" s="417"/>
      <c r="BI9" s="417">
        <v>0</v>
      </c>
      <c r="BJ9" s="419">
        <v>0</v>
      </c>
      <c r="BK9" s="408">
        <v>0</v>
      </c>
      <c r="BL9" s="413">
        <v>0</v>
      </c>
      <c r="BM9" s="408">
        <v>0</v>
      </c>
      <c r="BN9" s="408">
        <v>0</v>
      </c>
      <c r="BO9" s="408">
        <v>0</v>
      </c>
      <c r="BP9" s="408">
        <v>0</v>
      </c>
      <c r="BQ9" s="420">
        <v>0</v>
      </c>
      <c r="BR9" s="417">
        <v>0</v>
      </c>
      <c r="BS9" s="419">
        <v>0</v>
      </c>
      <c r="BT9" s="417">
        <v>0</v>
      </c>
      <c r="BU9" s="417">
        <v>0</v>
      </c>
      <c r="BV9" s="418"/>
      <c r="BW9" s="409">
        <v>0</v>
      </c>
      <c r="BX9" s="408">
        <v>0</v>
      </c>
      <c r="BY9" s="423">
        <v>0</v>
      </c>
      <c r="BZ9" s="408"/>
      <c r="CA9" s="408">
        <v>0</v>
      </c>
      <c r="CB9" s="408">
        <v>0</v>
      </c>
      <c r="CC9" s="417">
        <v>0</v>
      </c>
      <c r="CD9" s="408">
        <v>0</v>
      </c>
      <c r="CE9" s="409">
        <v>0</v>
      </c>
      <c r="CF9" s="408"/>
      <c r="CG9" s="408">
        <v>1823003</v>
      </c>
      <c r="CH9" s="408">
        <v>0</v>
      </c>
      <c r="CI9" s="418">
        <v>1951604</v>
      </c>
      <c r="CJ9" s="408">
        <v>436612</v>
      </c>
      <c r="CK9" s="408">
        <v>1080646</v>
      </c>
      <c r="CL9" s="413">
        <v>1522454</v>
      </c>
      <c r="CN9" s="422">
        <v>0</v>
      </c>
      <c r="CO9" s="422">
        <v>0</v>
      </c>
      <c r="CP9" s="422">
        <v>0</v>
      </c>
      <c r="CQ9" s="422">
        <v>0</v>
      </c>
    </row>
    <row r="10" spans="1:95">
      <c r="A10" s="404" t="s">
        <v>225</v>
      </c>
      <c r="B10" s="405" t="s">
        <v>623</v>
      </c>
      <c r="C10" s="406">
        <v>83328.916666666657</v>
      </c>
      <c r="D10" s="406">
        <v>5000</v>
      </c>
      <c r="E10" s="406">
        <v>2754252.5759999999</v>
      </c>
      <c r="F10" s="407">
        <v>2396964</v>
      </c>
      <c r="G10" s="406">
        <v>2843747.7748333337</v>
      </c>
      <c r="H10" s="408">
        <v>20000</v>
      </c>
      <c r="I10" s="409">
        <v>1163030</v>
      </c>
      <c r="J10" s="410">
        <v>113897</v>
      </c>
      <c r="K10" s="406">
        <v>104983</v>
      </c>
      <c r="L10" s="410">
        <v>164417</v>
      </c>
      <c r="M10" s="411">
        <v>62240</v>
      </c>
      <c r="N10" s="408">
        <v>16644</v>
      </c>
      <c r="O10" s="406">
        <v>224259</v>
      </c>
      <c r="P10" s="408"/>
      <c r="Q10" s="411">
        <v>76022.41</v>
      </c>
      <c r="R10" s="412"/>
      <c r="S10" s="411">
        <v>123058</v>
      </c>
      <c r="T10" s="410">
        <v>100993</v>
      </c>
      <c r="U10" s="410">
        <v>161559</v>
      </c>
      <c r="V10" s="410">
        <v>286975</v>
      </c>
      <c r="W10" s="406">
        <v>371335.58333333337</v>
      </c>
      <c r="X10" s="410">
        <v>83897</v>
      </c>
      <c r="Y10" s="410">
        <v>95460</v>
      </c>
      <c r="Z10" s="410">
        <v>282204.67</v>
      </c>
      <c r="AA10" s="409"/>
      <c r="AB10" s="410">
        <v>39700</v>
      </c>
      <c r="AC10" s="413"/>
      <c r="AD10" s="410">
        <v>330187</v>
      </c>
      <c r="AE10" s="410">
        <v>113439</v>
      </c>
      <c r="AF10" s="414">
        <v>117876.33333333334</v>
      </c>
      <c r="AG10" s="415">
        <v>179786</v>
      </c>
      <c r="AH10" s="410">
        <v>92897</v>
      </c>
      <c r="AI10" s="406">
        <v>81456.916666666672</v>
      </c>
      <c r="AJ10" s="406">
        <v>91867</v>
      </c>
      <c r="AK10" s="410">
        <v>117329</v>
      </c>
      <c r="AL10" s="410">
        <v>146111</v>
      </c>
      <c r="AM10" s="411">
        <v>177084</v>
      </c>
      <c r="AN10" s="410">
        <v>202962</v>
      </c>
      <c r="AO10" s="410">
        <v>94847</v>
      </c>
      <c r="AP10" s="410">
        <v>209245</v>
      </c>
      <c r="AQ10" s="416">
        <v>115000</v>
      </c>
      <c r="AR10" s="416">
        <v>399981</v>
      </c>
      <c r="AS10" s="408"/>
      <c r="AT10" s="417">
        <v>214435.91666666669</v>
      </c>
      <c r="AU10" s="408">
        <v>33330.1</v>
      </c>
      <c r="AV10" s="408">
        <v>69101.84</v>
      </c>
      <c r="AW10" s="418">
        <v>130684</v>
      </c>
      <c r="AX10" s="418">
        <v>27945.083333333336</v>
      </c>
      <c r="AY10" s="417">
        <v>98432</v>
      </c>
      <c r="AZ10" s="408">
        <v>91432</v>
      </c>
      <c r="BA10" s="408">
        <v>166220</v>
      </c>
      <c r="BB10" s="408">
        <v>79241</v>
      </c>
      <c r="BC10" s="418">
        <v>101824</v>
      </c>
      <c r="BD10" s="409">
        <v>739332</v>
      </c>
      <c r="BE10" s="408">
        <v>235386.6</v>
      </c>
      <c r="BF10" s="418"/>
      <c r="BG10" s="408">
        <v>53173</v>
      </c>
      <c r="BH10" s="417"/>
      <c r="BI10" s="417">
        <v>747170.75</v>
      </c>
      <c r="BJ10" s="419">
        <v>43785</v>
      </c>
      <c r="BK10" s="408">
        <v>46624</v>
      </c>
      <c r="BL10" s="413">
        <v>123829</v>
      </c>
      <c r="BM10" s="408">
        <v>30940</v>
      </c>
      <c r="BN10" s="408">
        <v>64934</v>
      </c>
      <c r="BO10" s="408">
        <v>85037</v>
      </c>
      <c r="BP10" s="408">
        <v>83830</v>
      </c>
      <c r="BQ10" s="420">
        <v>198410.25</v>
      </c>
      <c r="BR10" s="417">
        <v>72000</v>
      </c>
      <c r="BS10" s="419">
        <v>70544</v>
      </c>
      <c r="BT10" s="417">
        <v>113876.16666666667</v>
      </c>
      <c r="BU10" s="417">
        <v>91375</v>
      </c>
      <c r="BV10" s="418"/>
      <c r="BW10" s="409">
        <v>140197</v>
      </c>
      <c r="BX10" s="408">
        <v>86380</v>
      </c>
      <c r="BY10" s="423">
        <v>115942</v>
      </c>
      <c r="BZ10" s="408"/>
      <c r="CA10" s="408">
        <v>224362</v>
      </c>
      <c r="CB10" s="408">
        <v>137053</v>
      </c>
      <c r="CC10" s="417">
        <v>251049</v>
      </c>
      <c r="CD10" s="408">
        <v>100000</v>
      </c>
      <c r="CE10" s="409">
        <v>53115</v>
      </c>
      <c r="CF10" s="408"/>
      <c r="CG10" s="408">
        <v>211249</v>
      </c>
      <c r="CH10" s="408">
        <v>494500</v>
      </c>
      <c r="CI10" s="418">
        <v>1703457</v>
      </c>
      <c r="CJ10" s="408">
        <v>86473</v>
      </c>
      <c r="CK10" s="408">
        <v>305095</v>
      </c>
      <c r="CL10" s="413">
        <v>0</v>
      </c>
      <c r="CN10" s="422">
        <v>0</v>
      </c>
      <c r="CO10" s="422">
        <v>0</v>
      </c>
      <c r="CP10" s="422">
        <v>0</v>
      </c>
      <c r="CQ10" s="422">
        <v>0</v>
      </c>
    </row>
    <row r="11" spans="1:95">
      <c r="A11" s="404" t="s">
        <v>226</v>
      </c>
      <c r="B11" s="405" t="s">
        <v>624</v>
      </c>
      <c r="C11" s="406">
        <v>0</v>
      </c>
      <c r="D11" s="406">
        <v>0</v>
      </c>
      <c r="E11" s="406">
        <v>0</v>
      </c>
      <c r="F11" s="407">
        <v>0</v>
      </c>
      <c r="G11" s="406">
        <v>0</v>
      </c>
      <c r="H11" s="408">
        <v>0</v>
      </c>
      <c r="I11" s="409">
        <v>0</v>
      </c>
      <c r="J11" s="410">
        <v>0</v>
      </c>
      <c r="K11" s="406">
        <v>0</v>
      </c>
      <c r="L11" s="410">
        <v>0</v>
      </c>
      <c r="M11" s="411">
        <v>0</v>
      </c>
      <c r="N11" s="408">
        <v>0</v>
      </c>
      <c r="O11" s="406">
        <v>0</v>
      </c>
      <c r="P11" s="408"/>
      <c r="Q11" s="411">
        <v>0</v>
      </c>
      <c r="R11" s="412"/>
      <c r="S11" s="411">
        <v>0</v>
      </c>
      <c r="T11" s="410">
        <v>0</v>
      </c>
      <c r="U11" s="410">
        <v>0</v>
      </c>
      <c r="V11" s="410">
        <v>0</v>
      </c>
      <c r="W11" s="406">
        <v>0</v>
      </c>
      <c r="X11" s="410">
        <v>0</v>
      </c>
      <c r="Y11" s="410">
        <v>0</v>
      </c>
      <c r="Z11" s="410">
        <v>0</v>
      </c>
      <c r="AA11" s="409"/>
      <c r="AB11" s="410">
        <v>0</v>
      </c>
      <c r="AC11" s="413"/>
      <c r="AD11" s="410">
        <v>0</v>
      </c>
      <c r="AE11" s="410">
        <v>0</v>
      </c>
      <c r="AF11" s="414">
        <v>0</v>
      </c>
      <c r="AG11" s="415">
        <v>0</v>
      </c>
      <c r="AH11" s="410">
        <v>0</v>
      </c>
      <c r="AI11" s="406">
        <v>0</v>
      </c>
      <c r="AJ11" s="406">
        <v>0</v>
      </c>
      <c r="AK11" s="410">
        <v>0</v>
      </c>
      <c r="AL11" s="410">
        <v>0</v>
      </c>
      <c r="AM11" s="411">
        <v>0</v>
      </c>
      <c r="AN11" s="410">
        <v>0</v>
      </c>
      <c r="AO11" s="410">
        <v>0</v>
      </c>
      <c r="AP11" s="410">
        <v>0</v>
      </c>
      <c r="AQ11" s="416">
        <v>0</v>
      </c>
      <c r="AR11" s="416">
        <v>0</v>
      </c>
      <c r="AS11" s="408"/>
      <c r="AT11" s="417">
        <v>0</v>
      </c>
      <c r="AU11" s="408">
        <v>0</v>
      </c>
      <c r="AV11" s="408">
        <v>0</v>
      </c>
      <c r="AW11" s="418">
        <v>0</v>
      </c>
      <c r="AX11" s="418">
        <v>0</v>
      </c>
      <c r="AY11" s="417">
        <v>0</v>
      </c>
      <c r="AZ11" s="408">
        <v>0</v>
      </c>
      <c r="BA11" s="408">
        <v>0</v>
      </c>
      <c r="BB11" s="408">
        <v>0</v>
      </c>
      <c r="BC11" s="418">
        <v>0</v>
      </c>
      <c r="BD11" s="409">
        <v>0</v>
      </c>
      <c r="BE11" s="408">
        <v>0</v>
      </c>
      <c r="BF11" s="418"/>
      <c r="BG11" s="408">
        <v>0</v>
      </c>
      <c r="BH11" s="417"/>
      <c r="BI11" s="417">
        <v>0</v>
      </c>
      <c r="BJ11" s="419">
        <v>0</v>
      </c>
      <c r="BK11" s="408">
        <v>0</v>
      </c>
      <c r="BL11" s="413">
        <v>0</v>
      </c>
      <c r="BM11" s="408">
        <v>0</v>
      </c>
      <c r="BN11" s="408">
        <v>0</v>
      </c>
      <c r="BO11" s="408">
        <v>0</v>
      </c>
      <c r="BP11" s="408">
        <v>0</v>
      </c>
      <c r="BQ11" s="420">
        <v>0</v>
      </c>
      <c r="BR11" s="417">
        <v>0</v>
      </c>
      <c r="BS11" s="419">
        <v>0</v>
      </c>
      <c r="BT11" s="417">
        <v>0</v>
      </c>
      <c r="BU11" s="417">
        <v>0</v>
      </c>
      <c r="BV11" s="418"/>
      <c r="BW11" s="409">
        <v>0</v>
      </c>
      <c r="BX11" s="408">
        <v>0</v>
      </c>
      <c r="BY11" s="423">
        <v>0</v>
      </c>
      <c r="BZ11" s="408"/>
      <c r="CA11" s="408">
        <v>0</v>
      </c>
      <c r="CB11" s="408">
        <v>0</v>
      </c>
      <c r="CC11" s="417">
        <v>0</v>
      </c>
      <c r="CD11" s="408">
        <v>0</v>
      </c>
      <c r="CE11" s="409">
        <v>0</v>
      </c>
      <c r="CF11" s="408"/>
      <c r="CG11" s="408">
        <v>0</v>
      </c>
      <c r="CH11" s="408">
        <v>0</v>
      </c>
      <c r="CI11" s="418">
        <v>70600</v>
      </c>
      <c r="CJ11" s="408">
        <v>0</v>
      </c>
      <c r="CK11" s="408">
        <v>0</v>
      </c>
      <c r="CL11" s="413">
        <v>0</v>
      </c>
      <c r="CN11" s="422">
        <v>0</v>
      </c>
      <c r="CO11" s="422">
        <v>0</v>
      </c>
      <c r="CP11" s="422">
        <v>0</v>
      </c>
      <c r="CQ11" s="422">
        <v>0</v>
      </c>
    </row>
    <row r="12" spans="1:95">
      <c r="A12" s="404" t="s">
        <v>227</v>
      </c>
      <c r="B12" s="405" t="s">
        <v>625</v>
      </c>
      <c r="C12" s="406">
        <v>0</v>
      </c>
      <c r="D12" s="406">
        <v>0</v>
      </c>
      <c r="E12" s="406">
        <v>29400</v>
      </c>
      <c r="F12" s="407">
        <v>89800</v>
      </c>
      <c r="G12" s="406">
        <v>79920</v>
      </c>
      <c r="H12" s="408">
        <v>0</v>
      </c>
      <c r="I12" s="409">
        <v>25163</v>
      </c>
      <c r="J12" s="410">
        <v>4440</v>
      </c>
      <c r="K12" s="406">
        <v>131720</v>
      </c>
      <c r="L12" s="410">
        <v>78750</v>
      </c>
      <c r="M12" s="411">
        <v>55290</v>
      </c>
      <c r="N12" s="408">
        <v>78116.7</v>
      </c>
      <c r="O12" s="406">
        <v>127280</v>
      </c>
      <c r="P12" s="408"/>
      <c r="Q12" s="411">
        <v>17500</v>
      </c>
      <c r="R12" s="412"/>
      <c r="S12" s="411">
        <v>126420</v>
      </c>
      <c r="T12" s="410">
        <v>37000</v>
      </c>
      <c r="U12" s="410">
        <v>100950</v>
      </c>
      <c r="V12" s="410">
        <v>124630</v>
      </c>
      <c r="W12" s="406">
        <v>53280</v>
      </c>
      <c r="X12" s="410">
        <v>38790</v>
      </c>
      <c r="Y12" s="410">
        <v>63992</v>
      </c>
      <c r="Z12" s="410">
        <v>260480</v>
      </c>
      <c r="AA12" s="409"/>
      <c r="AB12" s="410">
        <v>33465</v>
      </c>
      <c r="AC12" s="413"/>
      <c r="AD12" s="410">
        <v>309320</v>
      </c>
      <c r="AE12" s="410">
        <v>66600</v>
      </c>
      <c r="AF12" s="414">
        <v>181180</v>
      </c>
      <c r="AG12" s="415">
        <v>219040</v>
      </c>
      <c r="AH12" s="410">
        <v>136390</v>
      </c>
      <c r="AI12" s="406">
        <v>22349.599999999999</v>
      </c>
      <c r="AJ12" s="406">
        <v>97680</v>
      </c>
      <c r="AK12" s="410">
        <v>81400</v>
      </c>
      <c r="AL12" s="410">
        <v>124914</v>
      </c>
      <c r="AM12" s="411">
        <v>232734</v>
      </c>
      <c r="AN12" s="410">
        <v>53280</v>
      </c>
      <c r="AO12" s="410">
        <v>126909</v>
      </c>
      <c r="AP12" s="410">
        <v>133120</v>
      </c>
      <c r="AQ12" s="416">
        <v>68080</v>
      </c>
      <c r="AR12" s="416">
        <v>105488</v>
      </c>
      <c r="AS12" s="408"/>
      <c r="AT12" s="417">
        <v>290080</v>
      </c>
      <c r="AU12" s="408">
        <v>6536.49</v>
      </c>
      <c r="AV12" s="424">
        <v>19240</v>
      </c>
      <c r="AW12" s="418">
        <v>10360</v>
      </c>
      <c r="AX12" s="418">
        <v>24730</v>
      </c>
      <c r="AY12" s="417">
        <v>34320</v>
      </c>
      <c r="AZ12" s="408">
        <v>65475</v>
      </c>
      <c r="BA12" s="408">
        <v>131720</v>
      </c>
      <c r="BB12" s="408">
        <v>7400</v>
      </c>
      <c r="BC12" s="418">
        <v>54760</v>
      </c>
      <c r="BD12" s="409">
        <v>598543</v>
      </c>
      <c r="BE12" s="408">
        <v>136159.19099999999</v>
      </c>
      <c r="BF12" s="418"/>
      <c r="BG12" s="408">
        <v>28120</v>
      </c>
      <c r="BH12" s="417"/>
      <c r="BI12" s="417">
        <v>209360</v>
      </c>
      <c r="BJ12" s="419">
        <v>5920</v>
      </c>
      <c r="BK12" s="408">
        <v>83970</v>
      </c>
      <c r="BL12" s="413">
        <v>165870</v>
      </c>
      <c r="BM12" s="408">
        <v>17460</v>
      </c>
      <c r="BN12" s="408">
        <v>42530</v>
      </c>
      <c r="BO12" s="408">
        <v>50630</v>
      </c>
      <c r="BP12" s="408">
        <v>34660</v>
      </c>
      <c r="BQ12" s="420">
        <v>145500</v>
      </c>
      <c r="BR12" s="417">
        <v>115710</v>
      </c>
      <c r="BS12" s="419">
        <v>35520</v>
      </c>
      <c r="BT12" s="417">
        <v>78440</v>
      </c>
      <c r="BU12" s="417">
        <v>62160</v>
      </c>
      <c r="BV12" s="418"/>
      <c r="BW12" s="409">
        <v>38480</v>
      </c>
      <c r="BX12" s="408">
        <v>96200</v>
      </c>
      <c r="BY12" s="423">
        <v>29500</v>
      </c>
      <c r="BZ12" s="408"/>
      <c r="CA12" s="408">
        <v>275280</v>
      </c>
      <c r="CB12" s="408">
        <v>125800</v>
      </c>
      <c r="CC12" s="417">
        <v>187960</v>
      </c>
      <c r="CD12" s="408">
        <v>193880</v>
      </c>
      <c r="CE12" s="409">
        <v>14410</v>
      </c>
      <c r="CF12" s="408"/>
      <c r="CG12" s="408">
        <v>149560</v>
      </c>
      <c r="CH12" s="408">
        <v>340000</v>
      </c>
      <c r="CI12" s="418">
        <v>173000</v>
      </c>
      <c r="CJ12" s="408">
        <v>10350</v>
      </c>
      <c r="CK12" s="408">
        <v>339151</v>
      </c>
      <c r="CL12" s="413">
        <v>0</v>
      </c>
      <c r="CN12" s="422">
        <v>0</v>
      </c>
      <c r="CO12" s="422">
        <v>0</v>
      </c>
      <c r="CP12" s="422">
        <v>0</v>
      </c>
      <c r="CQ12" s="422">
        <v>0</v>
      </c>
    </row>
    <row r="13" spans="1:95">
      <c r="A13" s="404" t="s">
        <v>17</v>
      </c>
      <c r="B13" s="405" t="s">
        <v>626</v>
      </c>
      <c r="C13" s="406">
        <v>0</v>
      </c>
      <c r="D13" s="406">
        <v>0</v>
      </c>
      <c r="E13" s="406">
        <v>66500</v>
      </c>
      <c r="F13" s="407">
        <v>0</v>
      </c>
      <c r="G13" s="406">
        <v>0</v>
      </c>
      <c r="H13" s="408">
        <v>0</v>
      </c>
      <c r="I13" s="409">
        <v>0</v>
      </c>
      <c r="J13" s="410">
        <v>28000</v>
      </c>
      <c r="K13" s="406">
        <v>0</v>
      </c>
      <c r="L13" s="410">
        <v>24375</v>
      </c>
      <c r="M13" s="411">
        <v>1200</v>
      </c>
      <c r="N13" s="408">
        <v>0</v>
      </c>
      <c r="O13" s="406">
        <v>0</v>
      </c>
      <c r="P13" s="408"/>
      <c r="Q13" s="411">
        <v>55000</v>
      </c>
      <c r="R13" s="412"/>
      <c r="S13" s="411">
        <v>0</v>
      </c>
      <c r="T13" s="410">
        <v>1200</v>
      </c>
      <c r="U13" s="410">
        <v>0</v>
      </c>
      <c r="V13" s="410">
        <v>0</v>
      </c>
      <c r="W13" s="406">
        <v>0</v>
      </c>
      <c r="X13" s="410">
        <v>0</v>
      </c>
      <c r="Y13" s="410">
        <v>0</v>
      </c>
      <c r="Z13" s="410">
        <v>0</v>
      </c>
      <c r="AA13" s="409"/>
      <c r="AB13" s="410">
        <v>930</v>
      </c>
      <c r="AC13" s="413"/>
      <c r="AD13" s="410">
        <v>5700</v>
      </c>
      <c r="AE13" s="410">
        <v>1000</v>
      </c>
      <c r="AF13" s="414">
        <v>0</v>
      </c>
      <c r="AG13" s="415">
        <v>0</v>
      </c>
      <c r="AH13" s="410">
        <v>0</v>
      </c>
      <c r="AI13" s="406">
        <v>0</v>
      </c>
      <c r="AJ13" s="406">
        <v>0</v>
      </c>
      <c r="AK13" s="410">
        <v>3544</v>
      </c>
      <c r="AL13" s="410">
        <v>2600</v>
      </c>
      <c r="AM13" s="411">
        <v>930</v>
      </c>
      <c r="AN13" s="410">
        <v>50200</v>
      </c>
      <c r="AO13" s="410">
        <v>10600</v>
      </c>
      <c r="AP13" s="410">
        <v>6000</v>
      </c>
      <c r="AQ13" s="416">
        <v>0</v>
      </c>
      <c r="AR13" s="416">
        <v>0</v>
      </c>
      <c r="AS13" s="408"/>
      <c r="AT13" s="417">
        <v>0</v>
      </c>
      <c r="AU13" s="408">
        <v>48999.96</v>
      </c>
      <c r="AV13" s="408">
        <v>0</v>
      </c>
      <c r="AW13" s="418">
        <v>69000</v>
      </c>
      <c r="AX13" s="418">
        <v>0</v>
      </c>
      <c r="AY13" s="417">
        <v>0</v>
      </c>
      <c r="AZ13" s="408">
        <v>5200</v>
      </c>
      <c r="BA13" s="408">
        <v>14177</v>
      </c>
      <c r="BB13" s="408">
        <v>53198</v>
      </c>
      <c r="BC13" s="418">
        <v>0</v>
      </c>
      <c r="BD13" s="409">
        <v>114221</v>
      </c>
      <c r="BE13" s="408">
        <v>28200</v>
      </c>
      <c r="BF13" s="418"/>
      <c r="BG13" s="408">
        <v>49640</v>
      </c>
      <c r="BH13" s="417"/>
      <c r="BI13" s="417">
        <v>0</v>
      </c>
      <c r="BJ13" s="419">
        <v>4744</v>
      </c>
      <c r="BK13" s="408">
        <v>0</v>
      </c>
      <c r="BL13" s="413">
        <v>500</v>
      </c>
      <c r="BM13" s="408">
        <v>0</v>
      </c>
      <c r="BN13" s="408">
        <v>1400</v>
      </c>
      <c r="BO13" s="408">
        <v>0</v>
      </c>
      <c r="BP13" s="408">
        <v>1800</v>
      </c>
      <c r="BQ13" s="420">
        <v>0</v>
      </c>
      <c r="BR13" s="417">
        <v>0</v>
      </c>
      <c r="BS13" s="419">
        <v>0</v>
      </c>
      <c r="BT13" s="417">
        <v>0</v>
      </c>
      <c r="BU13" s="417">
        <v>0</v>
      </c>
      <c r="BV13" s="418"/>
      <c r="BW13" s="409">
        <v>34600</v>
      </c>
      <c r="BX13" s="408">
        <v>0</v>
      </c>
      <c r="BY13" s="423">
        <v>0</v>
      </c>
      <c r="BZ13" s="408"/>
      <c r="CA13" s="408">
        <v>0</v>
      </c>
      <c r="CB13" s="408">
        <v>0</v>
      </c>
      <c r="CC13" s="417">
        <v>0</v>
      </c>
      <c r="CD13" s="408">
        <v>5200</v>
      </c>
      <c r="CE13" s="409">
        <v>930</v>
      </c>
      <c r="CF13" s="408"/>
      <c r="CG13" s="408">
        <v>1403.9912999999999</v>
      </c>
      <c r="CH13" s="408">
        <v>0</v>
      </c>
      <c r="CI13" s="418">
        <v>15600</v>
      </c>
      <c r="CJ13" s="408">
        <v>49043</v>
      </c>
      <c r="CK13" s="408">
        <v>1</v>
      </c>
      <c r="CL13" s="413">
        <v>0</v>
      </c>
      <c r="CN13" s="422">
        <v>0</v>
      </c>
      <c r="CO13" s="422">
        <v>0</v>
      </c>
      <c r="CP13" s="422">
        <v>0</v>
      </c>
      <c r="CQ13" s="422">
        <v>0</v>
      </c>
    </row>
    <row r="14" spans="1:95">
      <c r="A14" s="404" t="s">
        <v>18</v>
      </c>
      <c r="B14" s="405" t="s">
        <v>627</v>
      </c>
      <c r="C14" s="406">
        <v>8000</v>
      </c>
      <c r="D14" s="406">
        <v>0</v>
      </c>
      <c r="E14" s="406">
        <v>17083</v>
      </c>
      <c r="F14" s="407">
        <v>13412</v>
      </c>
      <c r="G14" s="406">
        <v>13083.428571428518</v>
      </c>
      <c r="H14" s="408">
        <v>100000</v>
      </c>
      <c r="I14" s="409">
        <v>75512</v>
      </c>
      <c r="J14" s="410">
        <v>163379.42000000001</v>
      </c>
      <c r="K14" s="406">
        <v>19887.428571428572</v>
      </c>
      <c r="L14" s="410">
        <v>49487</v>
      </c>
      <c r="M14" s="411">
        <v>0</v>
      </c>
      <c r="N14" s="408">
        <v>0</v>
      </c>
      <c r="O14" s="406">
        <v>90014</v>
      </c>
      <c r="P14" s="408"/>
      <c r="Q14" s="411">
        <v>65835</v>
      </c>
      <c r="R14" s="412"/>
      <c r="S14" s="411">
        <v>91059</v>
      </c>
      <c r="T14" s="410">
        <v>2000</v>
      </c>
      <c r="U14" s="410">
        <v>161631</v>
      </c>
      <c r="V14" s="410">
        <v>99461</v>
      </c>
      <c r="W14" s="406">
        <v>44875.5</v>
      </c>
      <c r="X14" s="410">
        <v>47938</v>
      </c>
      <c r="Y14" s="410">
        <v>55849.24</v>
      </c>
      <c r="Z14" s="410">
        <v>106965</v>
      </c>
      <c r="AA14" s="409"/>
      <c r="AB14" s="410">
        <v>34000</v>
      </c>
      <c r="AC14" s="413"/>
      <c r="AD14" s="410">
        <v>125104</v>
      </c>
      <c r="AE14" s="410">
        <v>0</v>
      </c>
      <c r="AF14" s="414">
        <v>87891</v>
      </c>
      <c r="AG14" s="415">
        <v>71814</v>
      </c>
      <c r="AH14" s="410">
        <v>18742</v>
      </c>
      <c r="AI14" s="406">
        <v>91584</v>
      </c>
      <c r="AJ14" s="406">
        <v>113565</v>
      </c>
      <c r="AK14" s="410">
        <v>10000</v>
      </c>
      <c r="AL14" s="410">
        <v>66500</v>
      </c>
      <c r="AM14" s="411">
        <v>115581.44</v>
      </c>
      <c r="AN14" s="410">
        <v>19278</v>
      </c>
      <c r="AO14" s="410">
        <v>32832</v>
      </c>
      <c r="AP14" s="410">
        <v>24675</v>
      </c>
      <c r="AQ14" s="416">
        <v>61560</v>
      </c>
      <c r="AR14" s="416">
        <v>0</v>
      </c>
      <c r="AS14" s="408"/>
      <c r="AT14" s="417">
        <v>76848</v>
      </c>
      <c r="AU14" s="408">
        <v>0</v>
      </c>
      <c r="AV14" s="424">
        <v>35745</v>
      </c>
      <c r="AW14" s="418">
        <v>149772</v>
      </c>
      <c r="AX14" s="418">
        <v>80583.463380040514</v>
      </c>
      <c r="AY14" s="417">
        <v>70520</v>
      </c>
      <c r="AZ14" s="408">
        <v>0</v>
      </c>
      <c r="BA14" s="408">
        <v>5000</v>
      </c>
      <c r="BB14" s="408">
        <v>78487.5</v>
      </c>
      <c r="BC14" s="418">
        <v>50000</v>
      </c>
      <c r="BD14" s="409">
        <v>214166</v>
      </c>
      <c r="BE14" s="408">
        <v>84800</v>
      </c>
      <c r="BF14" s="418"/>
      <c r="BG14" s="408">
        <v>103000</v>
      </c>
      <c r="BH14" s="417"/>
      <c r="BI14" s="417">
        <v>91356.514400000015</v>
      </c>
      <c r="BJ14" s="419">
        <v>140768</v>
      </c>
      <c r="BK14" s="408">
        <v>94000</v>
      </c>
      <c r="BL14" s="413">
        <v>750</v>
      </c>
      <c r="BM14" s="408">
        <v>34801</v>
      </c>
      <c r="BN14" s="408">
        <v>101956</v>
      </c>
      <c r="BO14" s="408">
        <v>51895</v>
      </c>
      <c r="BP14" s="408">
        <v>54949.714285714319</v>
      </c>
      <c r="BQ14" s="420">
        <v>0</v>
      </c>
      <c r="BR14" s="417">
        <v>116000</v>
      </c>
      <c r="BS14" s="419">
        <v>51500</v>
      </c>
      <c r="BT14" s="417">
        <v>38500</v>
      </c>
      <c r="BU14" s="417">
        <v>103202</v>
      </c>
      <c r="BV14" s="418"/>
      <c r="BW14" s="409">
        <v>75000</v>
      </c>
      <c r="BX14" s="408">
        <v>39539</v>
      </c>
      <c r="BY14" s="423">
        <v>1500</v>
      </c>
      <c r="BZ14" s="408"/>
      <c r="CA14" s="408">
        <v>117931</v>
      </c>
      <c r="CB14" s="408">
        <v>102693</v>
      </c>
      <c r="CC14" s="417">
        <v>110724</v>
      </c>
      <c r="CD14" s="408">
        <v>60459</v>
      </c>
      <c r="CE14" s="409">
        <v>52500</v>
      </c>
      <c r="CF14" s="408"/>
      <c r="CG14" s="408">
        <v>2500</v>
      </c>
      <c r="CH14" s="408">
        <v>0</v>
      </c>
      <c r="CI14" s="418">
        <v>0</v>
      </c>
      <c r="CJ14" s="408">
        <v>0</v>
      </c>
      <c r="CK14" s="408">
        <v>1</v>
      </c>
      <c r="CL14" s="413">
        <v>0</v>
      </c>
      <c r="CN14" s="422">
        <v>0</v>
      </c>
      <c r="CO14" s="422">
        <v>0</v>
      </c>
      <c r="CP14" s="422">
        <v>0</v>
      </c>
      <c r="CQ14" s="422">
        <v>0</v>
      </c>
    </row>
    <row r="15" spans="1:95">
      <c r="A15" s="425" t="s">
        <v>259</v>
      </c>
      <c r="B15" s="426" t="s">
        <v>628</v>
      </c>
      <c r="C15" s="406">
        <v>21000</v>
      </c>
      <c r="D15" s="406">
        <v>0</v>
      </c>
      <c r="E15" s="406">
        <v>0</v>
      </c>
      <c r="F15" s="407">
        <v>40240</v>
      </c>
      <c r="G15" s="406">
        <v>5000</v>
      </c>
      <c r="H15" s="408">
        <v>0</v>
      </c>
      <c r="I15" s="409">
        <v>0</v>
      </c>
      <c r="J15" s="410">
        <v>41000</v>
      </c>
      <c r="K15" s="406">
        <v>0</v>
      </c>
      <c r="L15" s="410">
        <v>30000</v>
      </c>
      <c r="M15" s="411">
        <v>0</v>
      </c>
      <c r="N15" s="408">
        <v>0</v>
      </c>
      <c r="O15" s="406">
        <v>30000</v>
      </c>
      <c r="P15" s="408"/>
      <c r="Q15" s="411">
        <v>0</v>
      </c>
      <c r="R15" s="412"/>
      <c r="S15" s="411">
        <v>0</v>
      </c>
      <c r="T15" s="410">
        <v>38200</v>
      </c>
      <c r="U15" s="410">
        <v>51000</v>
      </c>
      <c r="V15" s="410">
        <v>15000</v>
      </c>
      <c r="W15" s="406">
        <v>15000</v>
      </c>
      <c r="X15" s="410">
        <v>6000</v>
      </c>
      <c r="Y15" s="410">
        <v>10000</v>
      </c>
      <c r="Z15" s="410">
        <v>70379.999599999996</v>
      </c>
      <c r="AA15" s="409"/>
      <c r="AB15" s="410">
        <v>1860</v>
      </c>
      <c r="AC15" s="413"/>
      <c r="AD15" s="410">
        <v>17700</v>
      </c>
      <c r="AE15" s="410">
        <v>10800</v>
      </c>
      <c r="AF15" s="414">
        <v>163216.66666666669</v>
      </c>
      <c r="AG15" s="415">
        <v>128232</v>
      </c>
      <c r="AH15" s="410">
        <v>15000</v>
      </c>
      <c r="AI15" s="406">
        <v>44260</v>
      </c>
      <c r="AJ15" s="406">
        <v>60540</v>
      </c>
      <c r="AK15" s="410">
        <v>14000</v>
      </c>
      <c r="AL15" s="410">
        <v>17000</v>
      </c>
      <c r="AM15" s="411">
        <v>0</v>
      </c>
      <c r="AN15" s="410">
        <v>0</v>
      </c>
      <c r="AO15" s="410">
        <v>40000</v>
      </c>
      <c r="AP15" s="410">
        <v>0</v>
      </c>
      <c r="AQ15" s="416">
        <v>0</v>
      </c>
      <c r="AR15" s="416">
        <v>0</v>
      </c>
      <c r="AS15" s="408"/>
      <c r="AT15" s="413">
        <v>105000</v>
      </c>
      <c r="AU15" s="408">
        <v>98753.87</v>
      </c>
      <c r="AV15" s="408">
        <v>2500</v>
      </c>
      <c r="AW15" s="418">
        <v>6000</v>
      </c>
      <c r="AX15" s="418">
        <v>0</v>
      </c>
      <c r="AY15" s="417">
        <v>20000</v>
      </c>
      <c r="AZ15" s="408">
        <v>70100</v>
      </c>
      <c r="BA15" s="408">
        <v>99250</v>
      </c>
      <c r="BB15" s="408">
        <v>0</v>
      </c>
      <c r="BC15" s="418">
        <v>12800</v>
      </c>
      <c r="BD15" s="409">
        <v>0</v>
      </c>
      <c r="BE15" s="408">
        <v>6500</v>
      </c>
      <c r="BF15" s="418"/>
      <c r="BG15" s="408">
        <v>2666.6</v>
      </c>
      <c r="BH15" s="417"/>
      <c r="BI15" s="413">
        <v>75500</v>
      </c>
      <c r="BJ15" s="419">
        <v>4500</v>
      </c>
      <c r="BK15" s="408">
        <v>18000</v>
      </c>
      <c r="BL15" s="413">
        <v>0</v>
      </c>
      <c r="BM15" s="408">
        <v>67100</v>
      </c>
      <c r="BN15" s="408">
        <v>300</v>
      </c>
      <c r="BO15" s="408">
        <v>32938</v>
      </c>
      <c r="BP15" s="408">
        <v>11000</v>
      </c>
      <c r="BQ15" s="420">
        <v>0</v>
      </c>
      <c r="BR15" s="417">
        <v>48000</v>
      </c>
      <c r="BS15" s="419">
        <v>0</v>
      </c>
      <c r="BT15" s="413">
        <v>750</v>
      </c>
      <c r="BU15" s="417">
        <v>4900</v>
      </c>
      <c r="BV15" s="418"/>
      <c r="BW15" s="409">
        <v>30333</v>
      </c>
      <c r="BX15" s="408">
        <v>24888</v>
      </c>
      <c r="BY15" s="423">
        <v>0</v>
      </c>
      <c r="BZ15" s="408"/>
      <c r="CA15" s="408">
        <v>13500</v>
      </c>
      <c r="CB15" s="408">
        <v>61000</v>
      </c>
      <c r="CC15" s="417">
        <v>108800</v>
      </c>
      <c r="CD15" s="408">
        <v>0</v>
      </c>
      <c r="CE15" s="409">
        <v>33700</v>
      </c>
      <c r="CF15" s="408"/>
      <c r="CG15" s="408">
        <v>5000</v>
      </c>
      <c r="CH15" s="408">
        <v>14000</v>
      </c>
      <c r="CI15" s="418">
        <v>0</v>
      </c>
      <c r="CJ15" s="408">
        <v>0</v>
      </c>
      <c r="CK15" s="408">
        <v>0</v>
      </c>
      <c r="CL15" s="413">
        <v>10000</v>
      </c>
      <c r="CN15" s="422">
        <v>0</v>
      </c>
      <c r="CO15" s="422">
        <v>0</v>
      </c>
      <c r="CP15" s="422">
        <v>0</v>
      </c>
      <c r="CQ15" s="422">
        <v>0</v>
      </c>
    </row>
    <row r="16" spans="1:95">
      <c r="A16" s="425" t="s">
        <v>262</v>
      </c>
      <c r="B16" s="426" t="s">
        <v>261</v>
      </c>
      <c r="C16" s="406">
        <v>5500</v>
      </c>
      <c r="D16" s="406">
        <v>200</v>
      </c>
      <c r="E16" s="406">
        <v>0</v>
      </c>
      <c r="F16" s="407">
        <v>15150</v>
      </c>
      <c r="G16" s="406">
        <v>721045</v>
      </c>
      <c r="H16" s="408">
        <v>104141</v>
      </c>
      <c r="I16" s="409">
        <v>200000</v>
      </c>
      <c r="J16" s="410">
        <v>2782.66</v>
      </c>
      <c r="K16" s="406">
        <v>14020</v>
      </c>
      <c r="L16" s="410">
        <v>15289.88</v>
      </c>
      <c r="M16" s="411">
        <v>9250</v>
      </c>
      <c r="N16" s="408">
        <v>9500</v>
      </c>
      <c r="O16" s="406">
        <v>57720</v>
      </c>
      <c r="P16" s="408"/>
      <c r="Q16" s="411">
        <v>5300</v>
      </c>
      <c r="R16" s="412"/>
      <c r="S16" s="411">
        <v>51550</v>
      </c>
      <c r="T16" s="410">
        <v>10499</v>
      </c>
      <c r="U16" s="410">
        <v>52861</v>
      </c>
      <c r="V16" s="410">
        <v>292855</v>
      </c>
      <c r="W16" s="406">
        <v>20300</v>
      </c>
      <c r="X16" s="410">
        <v>39665</v>
      </c>
      <c r="Y16" s="410">
        <v>75009</v>
      </c>
      <c r="Z16" s="410">
        <v>14365</v>
      </c>
      <c r="AA16" s="409"/>
      <c r="AB16" s="410">
        <v>1205</v>
      </c>
      <c r="AC16" s="413"/>
      <c r="AD16" s="410">
        <v>114936</v>
      </c>
      <c r="AE16" s="410">
        <v>18900</v>
      </c>
      <c r="AF16" s="408"/>
      <c r="AG16" s="413"/>
      <c r="AH16" s="410">
        <v>3500</v>
      </c>
      <c r="AI16" s="406">
        <v>23400</v>
      </c>
      <c r="AJ16" s="406">
        <v>1000</v>
      </c>
      <c r="AK16" s="410">
        <v>6545</v>
      </c>
      <c r="AL16" s="410">
        <v>17950</v>
      </c>
      <c r="AM16" s="411">
        <v>29150</v>
      </c>
      <c r="AN16" s="410">
        <v>5710</v>
      </c>
      <c r="AO16" s="410">
        <v>9800</v>
      </c>
      <c r="AP16" s="410">
        <v>114249</v>
      </c>
      <c r="AQ16" s="416">
        <v>52200</v>
      </c>
      <c r="AR16" s="416">
        <v>67500</v>
      </c>
      <c r="AS16" s="408"/>
      <c r="AT16" s="417">
        <v>16650</v>
      </c>
      <c r="AU16" s="408">
        <v>0</v>
      </c>
      <c r="AV16" s="408">
        <v>0</v>
      </c>
      <c r="AW16" s="418">
        <v>1550</v>
      </c>
      <c r="AX16" s="418">
        <v>12650</v>
      </c>
      <c r="AY16" s="417">
        <v>146150</v>
      </c>
      <c r="AZ16" s="408">
        <v>32502.5</v>
      </c>
      <c r="BA16" s="408">
        <v>18511.5</v>
      </c>
      <c r="BB16" s="408">
        <v>8007</v>
      </c>
      <c r="BC16" s="418">
        <v>90000</v>
      </c>
      <c r="BD16" s="409">
        <v>148360</v>
      </c>
      <c r="BE16" s="408">
        <v>113609.1538</v>
      </c>
      <c r="BF16" s="418"/>
      <c r="BG16" s="408">
        <v>5450</v>
      </c>
      <c r="BH16" s="417"/>
      <c r="BI16" s="417">
        <v>58500</v>
      </c>
      <c r="BJ16" s="419">
        <v>48545</v>
      </c>
      <c r="BK16" s="408">
        <v>3000</v>
      </c>
      <c r="BL16" s="413">
        <v>16000</v>
      </c>
      <c r="BM16" s="408">
        <v>7550</v>
      </c>
      <c r="BN16" s="408">
        <v>171000.25</v>
      </c>
      <c r="BO16" s="408">
        <v>14405</v>
      </c>
      <c r="BP16" s="408">
        <v>86130</v>
      </c>
      <c r="BQ16" s="420">
        <v>44304</v>
      </c>
      <c r="BR16" s="417">
        <v>1200</v>
      </c>
      <c r="BS16" s="419">
        <v>12700</v>
      </c>
      <c r="BT16" s="417">
        <v>13850</v>
      </c>
      <c r="BU16" s="417">
        <v>45440</v>
      </c>
      <c r="BV16" s="418"/>
      <c r="BW16" s="409">
        <v>46900</v>
      </c>
      <c r="BX16" s="408"/>
      <c r="BY16" s="423">
        <v>43704</v>
      </c>
      <c r="BZ16" s="408"/>
      <c r="CA16" s="408">
        <v>55170</v>
      </c>
      <c r="CB16" s="408">
        <v>21734</v>
      </c>
      <c r="CC16" s="417">
        <v>54300</v>
      </c>
      <c r="CD16" s="408">
        <v>31400</v>
      </c>
      <c r="CE16" s="409">
        <v>26000</v>
      </c>
      <c r="CF16" s="408"/>
      <c r="CG16" s="408">
        <v>60230</v>
      </c>
      <c r="CH16" s="408">
        <v>700</v>
      </c>
      <c r="CI16" s="418">
        <v>48000</v>
      </c>
      <c r="CJ16" s="408">
        <v>0</v>
      </c>
      <c r="CK16" s="408">
        <v>28702.04</v>
      </c>
      <c r="CL16" s="413">
        <v>25260</v>
      </c>
      <c r="CN16" s="422">
        <v>0</v>
      </c>
      <c r="CO16" s="422">
        <v>0</v>
      </c>
      <c r="CP16" s="422">
        <v>0</v>
      </c>
      <c r="CQ16" s="422">
        <v>0</v>
      </c>
    </row>
    <row r="17" spans="1:95">
      <c r="A17" s="404" t="s">
        <v>19</v>
      </c>
      <c r="B17" s="405" t="s">
        <v>629</v>
      </c>
      <c r="C17" s="406">
        <v>0</v>
      </c>
      <c r="D17" s="406">
        <v>21666</v>
      </c>
      <c r="E17" s="406">
        <v>11300</v>
      </c>
      <c r="F17" s="407">
        <v>4206.5659999999998</v>
      </c>
      <c r="G17" s="406">
        <v>0</v>
      </c>
      <c r="H17" s="408">
        <v>0</v>
      </c>
      <c r="I17" s="409">
        <v>0</v>
      </c>
      <c r="J17" s="410">
        <v>15500</v>
      </c>
      <c r="K17" s="406">
        <v>250</v>
      </c>
      <c r="L17" s="410">
        <v>1200</v>
      </c>
      <c r="M17" s="411">
        <v>0</v>
      </c>
      <c r="N17" s="408">
        <v>25350</v>
      </c>
      <c r="O17" s="406">
        <v>0</v>
      </c>
      <c r="P17" s="408"/>
      <c r="Q17" s="411">
        <v>0</v>
      </c>
      <c r="R17" s="412"/>
      <c r="S17" s="411">
        <v>1000</v>
      </c>
      <c r="T17" s="410">
        <v>14063</v>
      </c>
      <c r="U17" s="410">
        <v>2600</v>
      </c>
      <c r="V17" s="410">
        <v>5000</v>
      </c>
      <c r="W17" s="406">
        <v>500</v>
      </c>
      <c r="X17" s="410">
        <v>300</v>
      </c>
      <c r="Y17" s="410">
        <v>250</v>
      </c>
      <c r="Z17" s="410">
        <v>300</v>
      </c>
      <c r="AA17" s="409"/>
      <c r="AB17" s="410">
        <v>15300</v>
      </c>
      <c r="AC17" s="413"/>
      <c r="AD17" s="410">
        <v>2000</v>
      </c>
      <c r="AE17" s="410">
        <v>50</v>
      </c>
      <c r="AF17" s="427">
        <v>1000</v>
      </c>
      <c r="AG17" s="415">
        <v>2185</v>
      </c>
      <c r="AH17" s="410">
        <v>500</v>
      </c>
      <c r="AI17" s="406">
        <v>0</v>
      </c>
      <c r="AJ17" s="406">
        <v>13300</v>
      </c>
      <c r="AK17" s="410">
        <v>2700</v>
      </c>
      <c r="AL17" s="410">
        <v>4250</v>
      </c>
      <c r="AM17" s="411">
        <v>5200</v>
      </c>
      <c r="AN17" s="410">
        <v>12400</v>
      </c>
      <c r="AO17" s="410">
        <v>1600</v>
      </c>
      <c r="AP17" s="410">
        <v>44099</v>
      </c>
      <c r="AQ17" s="416">
        <v>1600</v>
      </c>
      <c r="AR17" s="416">
        <v>15500</v>
      </c>
      <c r="AS17" s="408"/>
      <c r="AT17" s="417">
        <v>8800</v>
      </c>
      <c r="AU17" s="408">
        <v>0</v>
      </c>
      <c r="AV17" s="408">
        <v>0</v>
      </c>
      <c r="AW17" s="418">
        <v>45600</v>
      </c>
      <c r="AX17" s="418">
        <v>250</v>
      </c>
      <c r="AY17" s="417">
        <v>7500</v>
      </c>
      <c r="AZ17" s="408">
        <v>2525</v>
      </c>
      <c r="BA17" s="408">
        <v>0</v>
      </c>
      <c r="BB17" s="408">
        <v>1020</v>
      </c>
      <c r="BC17" s="418">
        <v>450</v>
      </c>
      <c r="BD17" s="409">
        <v>7500</v>
      </c>
      <c r="BE17" s="408">
        <v>-1100</v>
      </c>
      <c r="BF17" s="418"/>
      <c r="BG17" s="408">
        <v>36000</v>
      </c>
      <c r="BH17" s="417"/>
      <c r="BI17" s="417">
        <v>2200.4</v>
      </c>
      <c r="BJ17" s="419">
        <v>32649</v>
      </c>
      <c r="BK17" s="408">
        <v>500</v>
      </c>
      <c r="BL17" s="413">
        <v>27500</v>
      </c>
      <c r="BM17" s="408">
        <v>400</v>
      </c>
      <c r="BN17" s="408">
        <v>1150</v>
      </c>
      <c r="BO17" s="408">
        <v>1100</v>
      </c>
      <c r="BP17" s="408">
        <v>4050</v>
      </c>
      <c r="BQ17" s="420">
        <v>44324</v>
      </c>
      <c r="BR17" s="417">
        <v>3500</v>
      </c>
      <c r="BS17" s="419">
        <v>29500</v>
      </c>
      <c r="BT17" s="417">
        <v>50</v>
      </c>
      <c r="BU17" s="417">
        <v>0</v>
      </c>
      <c r="BV17" s="418"/>
      <c r="BW17" s="409">
        <v>650</v>
      </c>
      <c r="BX17" s="408">
        <v>0</v>
      </c>
      <c r="BY17" s="423">
        <v>2500</v>
      </c>
      <c r="BZ17" s="408"/>
      <c r="CA17" s="408">
        <v>0</v>
      </c>
      <c r="CB17" s="408">
        <v>0</v>
      </c>
      <c r="CC17" s="417">
        <v>0</v>
      </c>
      <c r="CD17" s="408">
        <v>1500</v>
      </c>
      <c r="CE17" s="409">
        <v>1000</v>
      </c>
      <c r="CF17" s="408"/>
      <c r="CG17" s="408">
        <v>413500</v>
      </c>
      <c r="CH17" s="408">
        <v>160000</v>
      </c>
      <c r="CI17" s="418">
        <v>0</v>
      </c>
      <c r="CJ17" s="408">
        <v>0</v>
      </c>
      <c r="CK17" s="408">
        <v>2.04</v>
      </c>
      <c r="CL17" s="413">
        <v>194940</v>
      </c>
      <c r="CN17" s="422">
        <v>0</v>
      </c>
      <c r="CO17" s="422">
        <v>0</v>
      </c>
      <c r="CP17" s="422">
        <v>0</v>
      </c>
      <c r="CQ17" s="422">
        <v>0</v>
      </c>
    </row>
    <row r="18" spans="1:95">
      <c r="A18" s="404" t="s">
        <v>20</v>
      </c>
      <c r="B18" s="405" t="s">
        <v>630</v>
      </c>
      <c r="C18" s="406">
        <v>0</v>
      </c>
      <c r="D18" s="406">
        <v>0</v>
      </c>
      <c r="E18" s="406">
        <v>0</v>
      </c>
      <c r="F18" s="407">
        <v>0</v>
      </c>
      <c r="G18" s="406">
        <v>0</v>
      </c>
      <c r="H18" s="408">
        <v>0</v>
      </c>
      <c r="I18" s="409">
        <v>0</v>
      </c>
      <c r="J18" s="410">
        <v>0</v>
      </c>
      <c r="K18" s="406">
        <v>0</v>
      </c>
      <c r="L18" s="410">
        <v>0</v>
      </c>
      <c r="M18" s="411">
        <v>0</v>
      </c>
      <c r="N18" s="408">
        <v>0</v>
      </c>
      <c r="O18" s="406">
        <v>0</v>
      </c>
      <c r="P18" s="408"/>
      <c r="Q18" s="411">
        <v>0</v>
      </c>
      <c r="R18" s="412"/>
      <c r="S18" s="411">
        <v>6000</v>
      </c>
      <c r="T18" s="410">
        <v>4000</v>
      </c>
      <c r="U18" s="410">
        <v>10220</v>
      </c>
      <c r="V18" s="410">
        <v>0</v>
      </c>
      <c r="W18" s="406">
        <v>0</v>
      </c>
      <c r="X18" s="410">
        <v>0</v>
      </c>
      <c r="Y18" s="410">
        <v>0</v>
      </c>
      <c r="Z18" s="410">
        <v>0</v>
      </c>
      <c r="AA18" s="409"/>
      <c r="AB18" s="410">
        <v>0</v>
      </c>
      <c r="AC18" s="413"/>
      <c r="AD18" s="410">
        <v>0</v>
      </c>
      <c r="AE18" s="410">
        <v>0</v>
      </c>
      <c r="AF18" s="427">
        <v>0</v>
      </c>
      <c r="AG18" s="415">
        <v>0</v>
      </c>
      <c r="AH18" s="410">
        <v>0</v>
      </c>
      <c r="AI18" s="406">
        <v>0</v>
      </c>
      <c r="AJ18" s="406">
        <v>0</v>
      </c>
      <c r="AK18" s="410">
        <v>0</v>
      </c>
      <c r="AL18" s="410">
        <v>6000</v>
      </c>
      <c r="AM18" s="411">
        <v>0</v>
      </c>
      <c r="AN18" s="410">
        <v>0</v>
      </c>
      <c r="AO18" s="410">
        <v>0</v>
      </c>
      <c r="AP18" s="410">
        <v>0</v>
      </c>
      <c r="AQ18" s="416">
        <v>0</v>
      </c>
      <c r="AR18" s="416">
        <v>0</v>
      </c>
      <c r="AS18" s="408"/>
      <c r="AT18" s="417">
        <v>2800</v>
      </c>
      <c r="AU18" s="408">
        <v>4000</v>
      </c>
      <c r="AV18" s="408">
        <v>0</v>
      </c>
      <c r="AW18" s="418">
        <v>0</v>
      </c>
      <c r="AX18" s="418">
        <v>0</v>
      </c>
      <c r="AY18" s="417">
        <v>0</v>
      </c>
      <c r="AZ18" s="408">
        <v>0</v>
      </c>
      <c r="BA18" s="408">
        <v>0</v>
      </c>
      <c r="BB18" s="408">
        <v>0</v>
      </c>
      <c r="BC18" s="418">
        <v>0</v>
      </c>
      <c r="BD18" s="409">
        <v>0</v>
      </c>
      <c r="BE18" s="408">
        <v>0</v>
      </c>
      <c r="BF18" s="418"/>
      <c r="BG18" s="408">
        <v>0</v>
      </c>
      <c r="BH18" s="417"/>
      <c r="BI18" s="417">
        <v>10000</v>
      </c>
      <c r="BJ18" s="419">
        <v>0</v>
      </c>
      <c r="BK18" s="408">
        <v>0</v>
      </c>
      <c r="BL18" s="413">
        <v>0</v>
      </c>
      <c r="BM18" s="408">
        <v>0</v>
      </c>
      <c r="BN18" s="408">
        <v>8600</v>
      </c>
      <c r="BO18" s="408">
        <v>0</v>
      </c>
      <c r="BP18" s="408">
        <v>0</v>
      </c>
      <c r="BQ18" s="420">
        <v>0</v>
      </c>
      <c r="BR18" s="417">
        <v>0</v>
      </c>
      <c r="BS18" s="419">
        <v>0</v>
      </c>
      <c r="BT18" s="417">
        <v>0</v>
      </c>
      <c r="BU18" s="417">
        <v>0</v>
      </c>
      <c r="BV18" s="418"/>
      <c r="BW18" s="409">
        <v>0</v>
      </c>
      <c r="BX18" s="408">
        <v>0</v>
      </c>
      <c r="BY18" s="423">
        <v>0</v>
      </c>
      <c r="BZ18" s="408"/>
      <c r="CA18" s="408">
        <v>0</v>
      </c>
      <c r="CB18" s="408">
        <v>0</v>
      </c>
      <c r="CC18" s="417">
        <v>0</v>
      </c>
      <c r="CD18" s="408">
        <v>0</v>
      </c>
      <c r="CE18" s="409">
        <v>9000</v>
      </c>
      <c r="CF18" s="408"/>
      <c r="CG18" s="408">
        <v>0</v>
      </c>
      <c r="CH18" s="408">
        <v>0</v>
      </c>
      <c r="CI18" s="418">
        <v>0</v>
      </c>
      <c r="CJ18" s="408">
        <v>0</v>
      </c>
      <c r="CK18" s="408">
        <v>1.02</v>
      </c>
      <c r="CL18" s="413">
        <v>0</v>
      </c>
      <c r="CN18" s="422">
        <v>0</v>
      </c>
      <c r="CO18" s="422">
        <v>0</v>
      </c>
      <c r="CP18" s="422">
        <v>0</v>
      </c>
      <c r="CQ18" s="422">
        <v>0</v>
      </c>
    </row>
    <row r="19" spans="1:95">
      <c r="A19" s="404" t="s">
        <v>21</v>
      </c>
      <c r="B19" s="405" t="s">
        <v>631</v>
      </c>
      <c r="C19" s="406">
        <v>0</v>
      </c>
      <c r="D19" s="406">
        <v>0</v>
      </c>
      <c r="E19" s="406">
        <v>0</v>
      </c>
      <c r="F19" s="407">
        <v>0</v>
      </c>
      <c r="G19" s="406">
        <v>0</v>
      </c>
      <c r="H19" s="419">
        <v>0</v>
      </c>
      <c r="I19" s="409">
        <v>0</v>
      </c>
      <c r="J19" s="410">
        <v>0</v>
      </c>
      <c r="K19" s="406">
        <v>1500</v>
      </c>
      <c r="L19" s="410">
        <v>0</v>
      </c>
      <c r="M19" s="411">
        <v>0</v>
      </c>
      <c r="N19" s="408">
        <v>0</v>
      </c>
      <c r="O19" s="406">
        <v>0</v>
      </c>
      <c r="P19" s="408"/>
      <c r="Q19" s="411">
        <v>7150</v>
      </c>
      <c r="R19" s="412"/>
      <c r="S19" s="411">
        <v>0</v>
      </c>
      <c r="T19" s="410">
        <v>4534</v>
      </c>
      <c r="U19" s="410">
        <v>5820</v>
      </c>
      <c r="V19" s="410">
        <v>0</v>
      </c>
      <c r="W19" s="406">
        <v>0</v>
      </c>
      <c r="X19" s="410">
        <v>0</v>
      </c>
      <c r="Y19" s="410">
        <v>0</v>
      </c>
      <c r="Z19" s="410">
        <v>0</v>
      </c>
      <c r="AA19" s="409"/>
      <c r="AB19" s="410">
        <v>0</v>
      </c>
      <c r="AC19" s="413"/>
      <c r="AD19" s="410">
        <v>0</v>
      </c>
      <c r="AE19" s="410">
        <v>0</v>
      </c>
      <c r="AF19" s="427">
        <v>0</v>
      </c>
      <c r="AG19" s="415">
        <v>0</v>
      </c>
      <c r="AH19" s="410">
        <v>0</v>
      </c>
      <c r="AI19" s="406">
        <v>0</v>
      </c>
      <c r="AJ19" s="406">
        <v>0</v>
      </c>
      <c r="AK19" s="410">
        <v>0</v>
      </c>
      <c r="AL19" s="410">
        <v>614</v>
      </c>
      <c r="AM19" s="411">
        <v>0</v>
      </c>
      <c r="AN19" s="410">
        <v>0</v>
      </c>
      <c r="AO19" s="410">
        <v>0</v>
      </c>
      <c r="AP19" s="410">
        <v>0</v>
      </c>
      <c r="AQ19" s="416">
        <v>0</v>
      </c>
      <c r="AR19" s="416">
        <v>0</v>
      </c>
      <c r="AS19" s="408"/>
      <c r="AT19" s="417">
        <v>0</v>
      </c>
      <c r="AU19" s="408">
        <v>500</v>
      </c>
      <c r="AV19" s="408">
        <v>0</v>
      </c>
      <c r="AW19" s="418">
        <v>0</v>
      </c>
      <c r="AX19" s="418">
        <v>0</v>
      </c>
      <c r="AY19" s="417">
        <v>0</v>
      </c>
      <c r="AZ19" s="408">
        <v>0</v>
      </c>
      <c r="BA19" s="408">
        <v>0</v>
      </c>
      <c r="BB19" s="408">
        <v>0</v>
      </c>
      <c r="BC19" s="418">
        <v>0</v>
      </c>
      <c r="BD19" s="409">
        <v>0</v>
      </c>
      <c r="BE19" s="408">
        <v>0</v>
      </c>
      <c r="BF19" s="418"/>
      <c r="BG19" s="408">
        <v>0</v>
      </c>
      <c r="BH19" s="417"/>
      <c r="BI19" s="417">
        <v>2600</v>
      </c>
      <c r="BJ19" s="419">
        <v>0</v>
      </c>
      <c r="BK19" s="408">
        <v>0</v>
      </c>
      <c r="BL19" s="413">
        <v>0</v>
      </c>
      <c r="BM19" s="408">
        <v>0</v>
      </c>
      <c r="BN19" s="408">
        <v>0</v>
      </c>
      <c r="BO19" s="408">
        <v>0</v>
      </c>
      <c r="BP19" s="408">
        <v>0</v>
      </c>
      <c r="BQ19" s="420">
        <v>0</v>
      </c>
      <c r="BR19" s="417">
        <v>0</v>
      </c>
      <c r="BS19" s="419">
        <v>0</v>
      </c>
      <c r="BT19" s="417">
        <v>0</v>
      </c>
      <c r="BU19" s="417">
        <v>0</v>
      </c>
      <c r="BV19" s="418"/>
      <c r="BW19" s="409">
        <v>0</v>
      </c>
      <c r="BX19" s="408">
        <v>0</v>
      </c>
      <c r="BY19" s="423">
        <v>0</v>
      </c>
      <c r="BZ19" s="408"/>
      <c r="CA19" s="408">
        <v>0</v>
      </c>
      <c r="CB19" s="408">
        <v>0</v>
      </c>
      <c r="CC19" s="417">
        <v>0</v>
      </c>
      <c r="CD19" s="408">
        <v>0</v>
      </c>
      <c r="CE19" s="409">
        <v>0</v>
      </c>
      <c r="CF19" s="408"/>
      <c r="CG19" s="408">
        <v>0</v>
      </c>
      <c r="CH19" s="408">
        <v>0</v>
      </c>
      <c r="CI19" s="418">
        <v>0</v>
      </c>
      <c r="CJ19" s="408">
        <v>0</v>
      </c>
      <c r="CK19" s="408">
        <v>1.02</v>
      </c>
      <c r="CL19" s="413">
        <v>0</v>
      </c>
      <c r="CN19" s="422">
        <v>0</v>
      </c>
      <c r="CO19" s="422">
        <v>0</v>
      </c>
      <c r="CP19" s="422">
        <v>0</v>
      </c>
      <c r="CQ19" s="422">
        <v>0</v>
      </c>
    </row>
    <row r="20" spans="1:95">
      <c r="A20" s="404" t="s">
        <v>22</v>
      </c>
      <c r="B20" s="405" t="s">
        <v>632</v>
      </c>
      <c r="C20" s="406">
        <v>495313.81705882354</v>
      </c>
      <c r="D20" s="406">
        <v>335428.5</v>
      </c>
      <c r="E20" s="406">
        <v>0</v>
      </c>
      <c r="F20" s="407">
        <v>0</v>
      </c>
      <c r="G20" s="406">
        <v>100</v>
      </c>
      <c r="H20" s="408">
        <v>0</v>
      </c>
      <c r="I20" s="409">
        <v>0</v>
      </c>
      <c r="J20" s="410">
        <v>98739</v>
      </c>
      <c r="K20" s="406">
        <v>7500</v>
      </c>
      <c r="L20" s="410">
        <v>40072</v>
      </c>
      <c r="M20" s="411">
        <v>10900</v>
      </c>
      <c r="N20" s="408">
        <v>18800</v>
      </c>
      <c r="O20" s="406">
        <v>13840</v>
      </c>
      <c r="P20" s="408"/>
      <c r="Q20" s="411">
        <v>59660</v>
      </c>
      <c r="R20" s="412"/>
      <c r="S20" s="411">
        <v>41900</v>
      </c>
      <c r="T20" s="410">
        <v>131500</v>
      </c>
      <c r="U20" s="410">
        <v>70740</v>
      </c>
      <c r="V20" s="410">
        <v>75503</v>
      </c>
      <c r="W20" s="406">
        <v>16550</v>
      </c>
      <c r="X20" s="410">
        <v>42670</v>
      </c>
      <c r="Y20" s="410">
        <v>25592.5</v>
      </c>
      <c r="Z20" s="410">
        <v>72200</v>
      </c>
      <c r="AA20" s="409"/>
      <c r="AB20" s="410">
        <v>22750.035</v>
      </c>
      <c r="AC20" s="413"/>
      <c r="AD20" s="410">
        <v>20000</v>
      </c>
      <c r="AE20" s="410">
        <v>25500</v>
      </c>
      <c r="AF20" s="427">
        <v>8250</v>
      </c>
      <c r="AG20" s="415">
        <v>10550</v>
      </c>
      <c r="AH20" s="410">
        <v>44700</v>
      </c>
      <c r="AI20" s="406">
        <v>79165</v>
      </c>
      <c r="AJ20" s="406">
        <v>194571</v>
      </c>
      <c r="AK20" s="410">
        <v>6000</v>
      </c>
      <c r="AL20" s="410">
        <v>27367</v>
      </c>
      <c r="AM20" s="411">
        <v>34600</v>
      </c>
      <c r="AN20" s="410">
        <v>11000</v>
      </c>
      <c r="AO20" s="410">
        <v>20973</v>
      </c>
      <c r="AP20" s="410">
        <v>3150</v>
      </c>
      <c r="AQ20" s="416">
        <v>14200</v>
      </c>
      <c r="AR20" s="416">
        <v>28900</v>
      </c>
      <c r="AS20" s="408"/>
      <c r="AT20" s="417">
        <v>150225</v>
      </c>
      <c r="AU20" s="408">
        <v>61380</v>
      </c>
      <c r="AV20" s="408">
        <v>20232.5</v>
      </c>
      <c r="AW20" s="418">
        <v>32100</v>
      </c>
      <c r="AX20" s="418">
        <v>22951</v>
      </c>
      <c r="AY20" s="417">
        <v>55000</v>
      </c>
      <c r="AZ20" s="408">
        <v>12046</v>
      </c>
      <c r="BA20" s="408">
        <v>63665</v>
      </c>
      <c r="BB20" s="408">
        <v>5250</v>
      </c>
      <c r="BC20" s="418">
        <v>65200</v>
      </c>
      <c r="BD20" s="409">
        <v>85000</v>
      </c>
      <c r="BE20" s="408">
        <v>40234.992299999998</v>
      </c>
      <c r="BF20" s="418"/>
      <c r="BG20" s="408">
        <v>23500</v>
      </c>
      <c r="BH20" s="417"/>
      <c r="BI20" s="417">
        <v>41400</v>
      </c>
      <c r="BJ20" s="419">
        <v>164535</v>
      </c>
      <c r="BK20" s="408">
        <v>31430</v>
      </c>
      <c r="BL20" s="413">
        <v>20000</v>
      </c>
      <c r="BM20" s="408">
        <v>23410</v>
      </c>
      <c r="BN20" s="408">
        <v>131357</v>
      </c>
      <c r="BO20" s="408">
        <v>41446</v>
      </c>
      <c r="BP20" s="408">
        <v>48277.5</v>
      </c>
      <c r="BQ20" s="420">
        <v>31000</v>
      </c>
      <c r="BR20" s="417">
        <v>98600</v>
      </c>
      <c r="BS20" s="419">
        <v>35847</v>
      </c>
      <c r="BT20" s="417">
        <v>8900</v>
      </c>
      <c r="BU20" s="417">
        <v>22020</v>
      </c>
      <c r="BV20" s="418"/>
      <c r="BW20" s="409">
        <v>45400</v>
      </c>
      <c r="BX20" s="408">
        <v>29800</v>
      </c>
      <c r="BY20" s="423">
        <v>22970</v>
      </c>
      <c r="BZ20" s="408"/>
      <c r="CA20" s="408">
        <v>32103</v>
      </c>
      <c r="CB20" s="408">
        <v>8000</v>
      </c>
      <c r="CC20" s="417">
        <v>43575</v>
      </c>
      <c r="CD20" s="408">
        <v>18500</v>
      </c>
      <c r="CE20" s="409">
        <v>29675</v>
      </c>
      <c r="CF20" s="408"/>
      <c r="CG20" s="408">
        <v>64200</v>
      </c>
      <c r="CH20" s="408">
        <v>41000</v>
      </c>
      <c r="CI20" s="418">
        <v>2155793</v>
      </c>
      <c r="CJ20" s="408">
        <v>0</v>
      </c>
      <c r="CK20" s="408">
        <v>41519.360000000001</v>
      </c>
      <c r="CL20" s="413">
        <v>26489</v>
      </c>
      <c r="CN20" s="422">
        <v>0</v>
      </c>
      <c r="CO20" s="422">
        <v>0</v>
      </c>
      <c r="CP20" s="422">
        <v>0</v>
      </c>
      <c r="CQ20" s="422">
        <v>0</v>
      </c>
    </row>
    <row r="21" spans="1:95">
      <c r="A21" s="404" t="s">
        <v>23</v>
      </c>
      <c r="B21" s="405" t="s">
        <v>633</v>
      </c>
      <c r="C21" s="406">
        <v>0</v>
      </c>
      <c r="D21" s="406">
        <v>4832</v>
      </c>
      <c r="E21" s="406">
        <v>0</v>
      </c>
      <c r="F21" s="407">
        <v>0</v>
      </c>
      <c r="G21" s="406">
        <v>16300</v>
      </c>
      <c r="H21" s="408">
        <v>135</v>
      </c>
      <c r="I21" s="409">
        <v>0</v>
      </c>
      <c r="J21" s="410">
        <v>566000</v>
      </c>
      <c r="K21" s="406">
        <v>5000</v>
      </c>
      <c r="L21" s="410">
        <v>23463</v>
      </c>
      <c r="M21" s="411">
        <v>0</v>
      </c>
      <c r="N21" s="408">
        <v>500</v>
      </c>
      <c r="O21" s="406">
        <v>0</v>
      </c>
      <c r="P21" s="408"/>
      <c r="Q21" s="411">
        <v>436660</v>
      </c>
      <c r="R21" s="412"/>
      <c r="S21" s="411">
        <v>0</v>
      </c>
      <c r="T21" s="410">
        <v>22350</v>
      </c>
      <c r="U21" s="410">
        <v>22701.994999999999</v>
      </c>
      <c r="V21" s="410">
        <v>6300</v>
      </c>
      <c r="W21" s="406">
        <v>3500</v>
      </c>
      <c r="X21" s="410">
        <v>6925</v>
      </c>
      <c r="Y21" s="410">
        <v>0</v>
      </c>
      <c r="Z21" s="410">
        <v>1700</v>
      </c>
      <c r="AA21" s="409"/>
      <c r="AB21" s="410">
        <v>15595</v>
      </c>
      <c r="AC21" s="413"/>
      <c r="AD21" s="410">
        <v>0</v>
      </c>
      <c r="AE21" s="410">
        <v>2150</v>
      </c>
      <c r="AF21" s="427">
        <v>5000</v>
      </c>
      <c r="AG21" s="415">
        <v>2500</v>
      </c>
      <c r="AH21" s="410">
        <v>4956</v>
      </c>
      <c r="AI21" s="406">
        <v>19000</v>
      </c>
      <c r="AJ21" s="406">
        <v>925</v>
      </c>
      <c r="AK21" s="410">
        <v>2000</v>
      </c>
      <c r="AL21" s="410">
        <v>1000</v>
      </c>
      <c r="AM21" s="411">
        <v>6900</v>
      </c>
      <c r="AN21" s="410">
        <v>158925</v>
      </c>
      <c r="AO21" s="410">
        <v>6000</v>
      </c>
      <c r="AP21" s="410">
        <v>180</v>
      </c>
      <c r="AQ21" s="416">
        <v>7800</v>
      </c>
      <c r="AR21" s="416">
        <v>10250</v>
      </c>
      <c r="AS21" s="408"/>
      <c r="AT21" s="417">
        <v>20000</v>
      </c>
      <c r="AU21" s="408">
        <v>358575</v>
      </c>
      <c r="AV21" s="408">
        <v>955948.67560468381</v>
      </c>
      <c r="AW21" s="418">
        <v>291313</v>
      </c>
      <c r="AX21" s="418">
        <v>4500</v>
      </c>
      <c r="AY21" s="417">
        <v>3600</v>
      </c>
      <c r="AZ21" s="408">
        <v>19105</v>
      </c>
      <c r="BA21" s="408">
        <v>21450</v>
      </c>
      <c r="BB21" s="408">
        <v>647414.29</v>
      </c>
      <c r="BC21" s="418">
        <v>1600</v>
      </c>
      <c r="BD21" s="409">
        <v>24550</v>
      </c>
      <c r="BE21" s="408">
        <v>11000</v>
      </c>
      <c r="BF21" s="418"/>
      <c r="BG21" s="408">
        <v>328000</v>
      </c>
      <c r="BH21" s="417"/>
      <c r="BI21" s="417">
        <v>22791.25</v>
      </c>
      <c r="BJ21" s="419">
        <v>347500</v>
      </c>
      <c r="BK21" s="408">
        <v>10500</v>
      </c>
      <c r="BL21" s="413">
        <v>4000</v>
      </c>
      <c r="BM21" s="408">
        <v>19634</v>
      </c>
      <c r="BN21" s="408">
        <v>3658</v>
      </c>
      <c r="BO21" s="408">
        <v>28700</v>
      </c>
      <c r="BP21" s="408">
        <v>17217</v>
      </c>
      <c r="BQ21" s="420">
        <v>0</v>
      </c>
      <c r="BR21" s="417">
        <v>15600</v>
      </c>
      <c r="BS21" s="419">
        <v>6120</v>
      </c>
      <c r="BT21" s="417">
        <v>5000</v>
      </c>
      <c r="BU21" s="417">
        <v>8197</v>
      </c>
      <c r="BV21" s="418"/>
      <c r="BW21" s="409">
        <v>3000</v>
      </c>
      <c r="BX21" s="408">
        <v>3000</v>
      </c>
      <c r="BY21" s="423">
        <v>0</v>
      </c>
      <c r="BZ21" s="408"/>
      <c r="CA21" s="408">
        <v>7000</v>
      </c>
      <c r="CB21" s="408">
        <v>0</v>
      </c>
      <c r="CC21" s="417">
        <v>4200</v>
      </c>
      <c r="CD21" s="408">
        <v>0</v>
      </c>
      <c r="CE21" s="409">
        <v>26000</v>
      </c>
      <c r="CF21" s="408"/>
      <c r="CG21" s="408">
        <v>0</v>
      </c>
      <c r="CH21" s="408">
        <v>0</v>
      </c>
      <c r="CI21" s="418">
        <v>0</v>
      </c>
      <c r="CJ21" s="408">
        <v>650000</v>
      </c>
      <c r="CK21" s="408">
        <v>23881.02</v>
      </c>
      <c r="CL21" s="413">
        <v>565627</v>
      </c>
      <c r="CN21" s="422">
        <v>0</v>
      </c>
      <c r="CO21" s="422">
        <v>0</v>
      </c>
      <c r="CP21" s="422">
        <v>0</v>
      </c>
      <c r="CQ21" s="422">
        <v>0</v>
      </c>
    </row>
    <row r="22" spans="1:95">
      <c r="A22" s="404" t="s">
        <v>24</v>
      </c>
      <c r="B22" s="405" t="s">
        <v>634</v>
      </c>
      <c r="C22" s="406">
        <v>0</v>
      </c>
      <c r="D22" s="406">
        <v>0</v>
      </c>
      <c r="E22" s="406">
        <v>0</v>
      </c>
      <c r="F22" s="407">
        <v>0</v>
      </c>
      <c r="G22" s="406">
        <v>0</v>
      </c>
      <c r="H22" s="408">
        <v>0</v>
      </c>
      <c r="I22" s="409">
        <v>0</v>
      </c>
      <c r="J22" s="410">
        <v>0</v>
      </c>
      <c r="K22" s="406">
        <v>0</v>
      </c>
      <c r="L22" s="410">
        <v>0</v>
      </c>
      <c r="M22" s="411">
        <v>0</v>
      </c>
      <c r="N22" s="408">
        <v>0</v>
      </c>
      <c r="O22" s="406">
        <v>0</v>
      </c>
      <c r="P22" s="408"/>
      <c r="Q22" s="411">
        <v>0</v>
      </c>
      <c r="R22" s="412"/>
      <c r="S22" s="411">
        <v>0</v>
      </c>
      <c r="T22" s="410">
        <v>0</v>
      </c>
      <c r="U22" s="410">
        <v>0</v>
      </c>
      <c r="V22" s="410">
        <v>0</v>
      </c>
      <c r="W22" s="406">
        <v>0</v>
      </c>
      <c r="X22" s="410">
        <v>0</v>
      </c>
      <c r="Y22" s="410">
        <v>0</v>
      </c>
      <c r="Z22" s="410">
        <v>0</v>
      </c>
      <c r="AA22" s="409"/>
      <c r="AB22" s="410">
        <v>0</v>
      </c>
      <c r="AC22" s="413"/>
      <c r="AD22" s="410">
        <v>0</v>
      </c>
      <c r="AE22" s="410">
        <v>0</v>
      </c>
      <c r="AF22" s="427">
        <v>0</v>
      </c>
      <c r="AG22" s="415">
        <v>0</v>
      </c>
      <c r="AH22" s="410">
        <v>0</v>
      </c>
      <c r="AI22" s="406">
        <v>0</v>
      </c>
      <c r="AJ22" s="406">
        <v>0</v>
      </c>
      <c r="AK22" s="410">
        <v>0</v>
      </c>
      <c r="AL22" s="410">
        <v>0</v>
      </c>
      <c r="AM22" s="411">
        <v>0</v>
      </c>
      <c r="AN22" s="410">
        <v>0</v>
      </c>
      <c r="AO22" s="410">
        <v>0</v>
      </c>
      <c r="AP22" s="410">
        <v>0</v>
      </c>
      <c r="AQ22" s="416">
        <v>0</v>
      </c>
      <c r="AR22" s="416">
        <v>0</v>
      </c>
      <c r="AS22" s="408"/>
      <c r="AT22" s="417">
        <v>0</v>
      </c>
      <c r="AU22" s="408">
        <v>0</v>
      </c>
      <c r="AV22" s="408">
        <v>0</v>
      </c>
      <c r="AW22" s="418">
        <v>0</v>
      </c>
      <c r="AX22" s="418">
        <v>0</v>
      </c>
      <c r="AY22" s="417">
        <v>0</v>
      </c>
      <c r="AZ22" s="408">
        <v>0</v>
      </c>
      <c r="BA22" s="408">
        <v>0</v>
      </c>
      <c r="BB22" s="408">
        <v>0</v>
      </c>
      <c r="BC22" s="418">
        <v>0</v>
      </c>
      <c r="BD22" s="409">
        <v>0</v>
      </c>
      <c r="BE22" s="408">
        <v>0</v>
      </c>
      <c r="BF22" s="418"/>
      <c r="BG22" s="408">
        <v>0</v>
      </c>
      <c r="BH22" s="417"/>
      <c r="BI22" s="417">
        <v>0</v>
      </c>
      <c r="BJ22" s="419">
        <v>0</v>
      </c>
      <c r="BK22" s="408">
        <v>0</v>
      </c>
      <c r="BL22" s="413">
        <v>0</v>
      </c>
      <c r="BM22" s="408">
        <v>0</v>
      </c>
      <c r="BN22" s="408">
        <v>0</v>
      </c>
      <c r="BO22" s="408">
        <v>0</v>
      </c>
      <c r="BP22" s="408">
        <v>0</v>
      </c>
      <c r="BQ22" s="420">
        <v>0</v>
      </c>
      <c r="BR22" s="417">
        <v>0</v>
      </c>
      <c r="BS22" s="419">
        <v>0</v>
      </c>
      <c r="BT22" s="417">
        <v>0</v>
      </c>
      <c r="BU22" s="417">
        <v>0</v>
      </c>
      <c r="BV22" s="418"/>
      <c r="BW22" s="409">
        <v>0</v>
      </c>
      <c r="BX22" s="408">
        <v>0</v>
      </c>
      <c r="BY22" s="423">
        <v>0</v>
      </c>
      <c r="BZ22" s="408"/>
      <c r="CA22" s="408">
        <v>0</v>
      </c>
      <c r="CB22" s="408">
        <v>0</v>
      </c>
      <c r="CC22" s="417">
        <v>0</v>
      </c>
      <c r="CD22" s="408">
        <v>0</v>
      </c>
      <c r="CE22" s="409">
        <v>0</v>
      </c>
      <c r="CF22" s="408"/>
      <c r="CG22" s="408">
        <v>0</v>
      </c>
      <c r="CH22" s="408">
        <v>0</v>
      </c>
      <c r="CI22" s="418">
        <v>0</v>
      </c>
      <c r="CJ22" s="408">
        <v>0</v>
      </c>
      <c r="CK22" s="408">
        <v>1.02</v>
      </c>
      <c r="CL22" s="413">
        <v>0</v>
      </c>
      <c r="CN22" s="422">
        <v>0</v>
      </c>
      <c r="CO22" s="422">
        <v>0</v>
      </c>
      <c r="CP22" s="422">
        <v>0</v>
      </c>
      <c r="CQ22" s="422">
        <v>0</v>
      </c>
    </row>
    <row r="23" spans="1:95">
      <c r="A23" s="404" t="s">
        <v>102</v>
      </c>
      <c r="B23" s="405" t="s">
        <v>635</v>
      </c>
      <c r="C23" s="406">
        <v>164223</v>
      </c>
      <c r="D23" s="406">
        <v>0</v>
      </c>
      <c r="E23" s="406">
        <v>0</v>
      </c>
      <c r="F23" s="407">
        <v>0</v>
      </c>
      <c r="G23" s="406">
        <v>0</v>
      </c>
      <c r="H23" s="408">
        <v>0</v>
      </c>
      <c r="I23" s="409">
        <v>0</v>
      </c>
      <c r="J23" s="410">
        <v>0</v>
      </c>
      <c r="K23" s="406">
        <v>0</v>
      </c>
      <c r="L23" s="410">
        <v>0</v>
      </c>
      <c r="M23" s="411">
        <v>0</v>
      </c>
      <c r="N23" s="408">
        <v>0</v>
      </c>
      <c r="O23" s="406">
        <v>0</v>
      </c>
      <c r="P23" s="408"/>
      <c r="Q23" s="411">
        <v>0</v>
      </c>
      <c r="R23" s="412"/>
      <c r="S23" s="411">
        <v>0</v>
      </c>
      <c r="T23" s="410">
        <v>0</v>
      </c>
      <c r="U23" s="410">
        <v>0</v>
      </c>
      <c r="V23" s="410">
        <v>0</v>
      </c>
      <c r="W23" s="406">
        <v>0</v>
      </c>
      <c r="X23" s="410">
        <v>0</v>
      </c>
      <c r="Y23" s="410">
        <v>0</v>
      </c>
      <c r="Z23" s="410">
        <v>0</v>
      </c>
      <c r="AA23" s="409"/>
      <c r="AB23" s="410">
        <v>0</v>
      </c>
      <c r="AC23" s="413"/>
      <c r="AD23" s="410">
        <v>0</v>
      </c>
      <c r="AE23" s="410">
        <v>0</v>
      </c>
      <c r="AF23" s="427">
        <v>0</v>
      </c>
      <c r="AG23" s="415">
        <v>0</v>
      </c>
      <c r="AH23" s="410">
        <v>198014</v>
      </c>
      <c r="AI23" s="406">
        <v>0</v>
      </c>
      <c r="AJ23" s="406">
        <v>0</v>
      </c>
      <c r="AK23" s="410">
        <v>0</v>
      </c>
      <c r="AL23" s="410">
        <v>0</v>
      </c>
      <c r="AM23" s="411">
        <v>0</v>
      </c>
      <c r="AN23" s="410">
        <v>0</v>
      </c>
      <c r="AO23" s="410">
        <v>0</v>
      </c>
      <c r="AP23" s="410">
        <v>0</v>
      </c>
      <c r="AQ23" s="416">
        <v>0</v>
      </c>
      <c r="AR23" s="416">
        <v>0</v>
      </c>
      <c r="AS23" s="408"/>
      <c r="AT23" s="417">
        <v>0</v>
      </c>
      <c r="AU23" s="408">
        <v>0</v>
      </c>
      <c r="AV23" s="408">
        <v>0</v>
      </c>
      <c r="AW23" s="418">
        <v>0</v>
      </c>
      <c r="AX23" s="418">
        <v>0</v>
      </c>
      <c r="AY23" s="417">
        <v>0</v>
      </c>
      <c r="AZ23" s="408">
        <v>0</v>
      </c>
      <c r="BA23" s="408">
        <v>0</v>
      </c>
      <c r="BB23" s="408">
        <v>0</v>
      </c>
      <c r="BC23" s="418">
        <v>0</v>
      </c>
      <c r="BD23" s="409">
        <v>0</v>
      </c>
      <c r="BE23" s="408">
        <v>0</v>
      </c>
      <c r="BF23" s="418"/>
      <c r="BG23" s="408">
        <v>0</v>
      </c>
      <c r="BH23" s="417"/>
      <c r="BI23" s="417">
        <v>0</v>
      </c>
      <c r="BJ23" s="419">
        <v>0</v>
      </c>
      <c r="BK23" s="408">
        <v>0</v>
      </c>
      <c r="BL23" s="413">
        <v>0</v>
      </c>
      <c r="BM23" s="408">
        <v>0</v>
      </c>
      <c r="BN23" s="408">
        <v>0</v>
      </c>
      <c r="BO23" s="408">
        <v>0</v>
      </c>
      <c r="BP23" s="408">
        <v>0</v>
      </c>
      <c r="BQ23" s="420">
        <v>0</v>
      </c>
      <c r="BR23" s="417">
        <v>0</v>
      </c>
      <c r="BS23" s="419">
        <v>0</v>
      </c>
      <c r="BT23" s="417">
        <v>0</v>
      </c>
      <c r="BU23" s="417">
        <v>0</v>
      </c>
      <c r="BV23" s="418"/>
      <c r="BW23" s="409">
        <v>0</v>
      </c>
      <c r="BX23" s="408">
        <v>0</v>
      </c>
      <c r="BY23" s="423">
        <v>0</v>
      </c>
      <c r="BZ23" s="408"/>
      <c r="CA23" s="408">
        <v>0</v>
      </c>
      <c r="CB23" s="408">
        <v>0</v>
      </c>
      <c r="CC23" s="417">
        <v>0</v>
      </c>
      <c r="CD23" s="408">
        <v>0</v>
      </c>
      <c r="CE23" s="409">
        <v>0</v>
      </c>
      <c r="CF23" s="408"/>
      <c r="CG23" s="408">
        <v>0</v>
      </c>
      <c r="CH23" s="408">
        <v>0</v>
      </c>
      <c r="CI23" s="418">
        <v>0</v>
      </c>
      <c r="CJ23" s="408">
        <v>0</v>
      </c>
      <c r="CK23" s="408">
        <v>1.02</v>
      </c>
      <c r="CL23" s="413">
        <v>0</v>
      </c>
      <c r="CN23" s="422"/>
      <c r="CO23" s="422"/>
      <c r="CP23" s="422"/>
      <c r="CQ23" s="422">
        <v>206158</v>
      </c>
    </row>
    <row r="24" spans="1:95">
      <c r="A24" s="404" t="s">
        <v>103</v>
      </c>
      <c r="B24" s="405" t="s">
        <v>636</v>
      </c>
      <c r="C24" s="406">
        <v>750</v>
      </c>
      <c r="D24" s="406">
        <v>0</v>
      </c>
      <c r="E24" s="406">
        <v>0</v>
      </c>
      <c r="F24" s="407">
        <v>0</v>
      </c>
      <c r="G24" s="406">
        <v>0</v>
      </c>
      <c r="H24" s="408">
        <v>0</v>
      </c>
      <c r="I24" s="409">
        <v>0</v>
      </c>
      <c r="J24" s="410">
        <v>0</v>
      </c>
      <c r="K24" s="406">
        <v>0</v>
      </c>
      <c r="L24" s="410">
        <v>0</v>
      </c>
      <c r="M24" s="411">
        <v>0</v>
      </c>
      <c r="N24" s="408">
        <v>0</v>
      </c>
      <c r="O24" s="406">
        <v>0</v>
      </c>
      <c r="P24" s="408"/>
      <c r="Q24" s="411">
        <v>0</v>
      </c>
      <c r="R24" s="412"/>
      <c r="S24" s="411">
        <v>0</v>
      </c>
      <c r="T24" s="410">
        <v>0</v>
      </c>
      <c r="U24" s="410">
        <v>0</v>
      </c>
      <c r="V24" s="410">
        <v>0</v>
      </c>
      <c r="W24" s="406">
        <v>0</v>
      </c>
      <c r="X24" s="410">
        <v>0</v>
      </c>
      <c r="Y24" s="410">
        <v>0</v>
      </c>
      <c r="Z24" s="410">
        <v>0</v>
      </c>
      <c r="AA24" s="409"/>
      <c r="AB24" s="410">
        <v>0</v>
      </c>
      <c r="AC24" s="413"/>
      <c r="AD24" s="410">
        <v>0</v>
      </c>
      <c r="AE24" s="410">
        <v>0</v>
      </c>
      <c r="AF24" s="427">
        <v>0</v>
      </c>
      <c r="AG24" s="415">
        <v>0</v>
      </c>
      <c r="AH24" s="410">
        <v>0</v>
      </c>
      <c r="AI24" s="406">
        <v>0</v>
      </c>
      <c r="AJ24" s="406">
        <v>0</v>
      </c>
      <c r="AK24" s="410">
        <v>0</v>
      </c>
      <c r="AL24" s="410">
        <v>0</v>
      </c>
      <c r="AM24" s="411">
        <v>0</v>
      </c>
      <c r="AN24" s="410">
        <v>0</v>
      </c>
      <c r="AO24" s="410">
        <v>0</v>
      </c>
      <c r="AP24" s="410">
        <v>0</v>
      </c>
      <c r="AQ24" s="416">
        <v>0</v>
      </c>
      <c r="AR24" s="416">
        <v>0</v>
      </c>
      <c r="AS24" s="408"/>
      <c r="AT24" s="417">
        <v>0</v>
      </c>
      <c r="AU24" s="408">
        <v>0</v>
      </c>
      <c r="AV24" s="408">
        <v>0</v>
      </c>
      <c r="AW24" s="418">
        <v>0</v>
      </c>
      <c r="AX24" s="418">
        <v>0</v>
      </c>
      <c r="AY24" s="417">
        <v>0</v>
      </c>
      <c r="AZ24" s="408">
        <v>0</v>
      </c>
      <c r="BA24" s="408">
        <v>0</v>
      </c>
      <c r="BB24" s="408">
        <v>0</v>
      </c>
      <c r="BC24" s="418">
        <v>0</v>
      </c>
      <c r="BD24" s="409">
        <v>0</v>
      </c>
      <c r="BE24" s="408">
        <v>0</v>
      </c>
      <c r="BF24" s="418"/>
      <c r="BG24" s="408">
        <v>0</v>
      </c>
      <c r="BH24" s="417"/>
      <c r="BI24" s="417">
        <v>0</v>
      </c>
      <c r="BJ24" s="419">
        <v>0</v>
      </c>
      <c r="BK24" s="408">
        <v>0</v>
      </c>
      <c r="BL24" s="413">
        <v>0</v>
      </c>
      <c r="BM24" s="408">
        <v>0</v>
      </c>
      <c r="BN24" s="408">
        <v>0</v>
      </c>
      <c r="BO24" s="408">
        <v>0</v>
      </c>
      <c r="BP24" s="408">
        <v>0</v>
      </c>
      <c r="BQ24" s="420">
        <v>0</v>
      </c>
      <c r="BR24" s="417">
        <v>0</v>
      </c>
      <c r="BS24" s="419">
        <v>0</v>
      </c>
      <c r="BT24" s="417">
        <v>0</v>
      </c>
      <c r="BU24" s="417">
        <v>0</v>
      </c>
      <c r="BV24" s="418"/>
      <c r="BW24" s="409">
        <v>0</v>
      </c>
      <c r="BX24" s="408">
        <v>0</v>
      </c>
      <c r="BY24" s="423">
        <v>0</v>
      </c>
      <c r="BZ24" s="408"/>
      <c r="CA24" s="408">
        <v>0</v>
      </c>
      <c r="CB24" s="408">
        <v>0</v>
      </c>
      <c r="CC24" s="417">
        <v>0</v>
      </c>
      <c r="CD24" s="408">
        <v>0</v>
      </c>
      <c r="CE24" s="409">
        <v>0</v>
      </c>
      <c r="CF24" s="408"/>
      <c r="CG24" s="408">
        <v>0</v>
      </c>
      <c r="CH24" s="408">
        <v>0</v>
      </c>
      <c r="CI24" s="418">
        <v>0</v>
      </c>
      <c r="CJ24" s="408">
        <v>0</v>
      </c>
      <c r="CK24" s="408">
        <v>1.02</v>
      </c>
      <c r="CL24" s="413">
        <v>0</v>
      </c>
      <c r="CN24" s="422"/>
      <c r="CO24" s="422"/>
      <c r="CP24" s="422"/>
      <c r="CQ24" s="422">
        <v>0</v>
      </c>
    </row>
    <row r="25" spans="1:95">
      <c r="A25" s="404" t="s">
        <v>637</v>
      </c>
      <c r="B25" s="405" t="s">
        <v>638</v>
      </c>
      <c r="C25" s="406">
        <v>0</v>
      </c>
      <c r="D25" s="406">
        <v>0</v>
      </c>
      <c r="E25" s="406">
        <v>0</v>
      </c>
      <c r="F25" s="407">
        <v>0</v>
      </c>
      <c r="G25" s="406">
        <v>0</v>
      </c>
      <c r="H25" s="408">
        <v>0</v>
      </c>
      <c r="I25" s="409">
        <v>0</v>
      </c>
      <c r="J25" s="410">
        <v>0</v>
      </c>
      <c r="K25" s="406">
        <v>0</v>
      </c>
      <c r="L25" s="410">
        <v>0</v>
      </c>
      <c r="M25" s="411">
        <v>0</v>
      </c>
      <c r="N25" s="408">
        <v>0</v>
      </c>
      <c r="O25" s="406">
        <v>0</v>
      </c>
      <c r="P25" s="408"/>
      <c r="Q25" s="411">
        <v>0</v>
      </c>
      <c r="R25" s="412"/>
      <c r="S25" s="411">
        <v>0</v>
      </c>
      <c r="T25" s="410">
        <v>0</v>
      </c>
      <c r="U25" s="410">
        <v>0</v>
      </c>
      <c r="V25" s="410">
        <v>0</v>
      </c>
      <c r="W25" s="406">
        <v>0</v>
      </c>
      <c r="X25" s="410">
        <v>0</v>
      </c>
      <c r="Y25" s="410">
        <v>0</v>
      </c>
      <c r="Z25" s="410">
        <v>0</v>
      </c>
      <c r="AA25" s="409"/>
      <c r="AB25" s="410">
        <v>0</v>
      </c>
      <c r="AC25" s="413"/>
      <c r="AD25" s="410">
        <v>0</v>
      </c>
      <c r="AE25" s="410">
        <v>0</v>
      </c>
      <c r="AF25" s="408"/>
      <c r="AG25" s="413"/>
      <c r="AH25" s="410">
        <v>0</v>
      </c>
      <c r="AI25" s="406">
        <v>0</v>
      </c>
      <c r="AJ25" s="406">
        <v>0</v>
      </c>
      <c r="AK25" s="410">
        <v>0</v>
      </c>
      <c r="AL25" s="410">
        <v>0</v>
      </c>
      <c r="AM25" s="411">
        <v>0</v>
      </c>
      <c r="AN25" s="410">
        <v>0</v>
      </c>
      <c r="AO25" s="410">
        <v>0</v>
      </c>
      <c r="AP25" s="410">
        <v>0</v>
      </c>
      <c r="AQ25" s="416">
        <v>0</v>
      </c>
      <c r="AR25" s="416">
        <v>0</v>
      </c>
      <c r="AS25" s="408"/>
      <c r="AT25" s="417">
        <v>0</v>
      </c>
      <c r="AU25" s="408">
        <v>0</v>
      </c>
      <c r="AV25" s="408">
        <v>0</v>
      </c>
      <c r="AW25" s="418">
        <v>0</v>
      </c>
      <c r="AX25" s="418">
        <v>0</v>
      </c>
      <c r="AY25" s="417">
        <v>0</v>
      </c>
      <c r="AZ25" s="408">
        <v>0</v>
      </c>
      <c r="BA25" s="408">
        <v>0</v>
      </c>
      <c r="BB25" s="408">
        <v>0</v>
      </c>
      <c r="BC25" s="418">
        <v>0</v>
      </c>
      <c r="BD25" s="409">
        <v>0</v>
      </c>
      <c r="BE25" s="408">
        <v>0</v>
      </c>
      <c r="BF25" s="418"/>
      <c r="BG25" s="408">
        <v>0</v>
      </c>
      <c r="BH25" s="417"/>
      <c r="BI25" s="417">
        <v>0</v>
      </c>
      <c r="BJ25" s="419">
        <v>0</v>
      </c>
      <c r="BK25" s="408">
        <v>0</v>
      </c>
      <c r="BL25" s="413">
        <v>0</v>
      </c>
      <c r="BM25" s="408">
        <v>0</v>
      </c>
      <c r="BN25" s="408">
        <v>0</v>
      </c>
      <c r="BO25" s="408">
        <v>0</v>
      </c>
      <c r="BP25" s="408">
        <v>0</v>
      </c>
      <c r="BQ25" s="420">
        <v>0</v>
      </c>
      <c r="BR25" s="417">
        <v>0</v>
      </c>
      <c r="BS25" s="419">
        <v>0</v>
      </c>
      <c r="BT25" s="417">
        <v>0</v>
      </c>
      <c r="BU25" s="417">
        <v>0</v>
      </c>
      <c r="BV25" s="418"/>
      <c r="BW25" s="409">
        <v>0</v>
      </c>
      <c r="BX25" s="408"/>
      <c r="BY25" s="423">
        <v>0</v>
      </c>
      <c r="BZ25" s="408"/>
      <c r="CA25" s="408">
        <v>0</v>
      </c>
      <c r="CB25" s="408">
        <v>0</v>
      </c>
      <c r="CC25" s="417">
        <v>0</v>
      </c>
      <c r="CD25" s="408">
        <v>0</v>
      </c>
      <c r="CE25" s="409">
        <v>0</v>
      </c>
      <c r="CF25" s="408"/>
      <c r="CG25" s="408">
        <v>0</v>
      </c>
      <c r="CH25" s="408">
        <v>0</v>
      </c>
      <c r="CI25" s="418">
        <v>0</v>
      </c>
      <c r="CJ25" s="408">
        <v>0</v>
      </c>
      <c r="CK25" s="408">
        <v>1.02</v>
      </c>
      <c r="CL25" s="413"/>
      <c r="CN25" s="422">
        <v>0</v>
      </c>
      <c r="CO25" s="422">
        <v>0</v>
      </c>
      <c r="CP25" s="422">
        <v>0</v>
      </c>
      <c r="CQ25" s="422">
        <v>0</v>
      </c>
    </row>
    <row r="26" spans="1:95">
      <c r="A26" s="404" t="s">
        <v>639</v>
      </c>
      <c r="B26" s="405" t="s">
        <v>640</v>
      </c>
      <c r="C26" s="406">
        <v>0</v>
      </c>
      <c r="D26" s="406">
        <v>0</v>
      </c>
      <c r="E26" s="406">
        <v>0</v>
      </c>
      <c r="F26" s="407">
        <v>0</v>
      </c>
      <c r="G26" s="406">
        <v>0</v>
      </c>
      <c r="H26" s="408">
        <v>0</v>
      </c>
      <c r="I26" s="409">
        <v>0</v>
      </c>
      <c r="J26" s="410">
        <v>0</v>
      </c>
      <c r="K26" s="406">
        <v>0</v>
      </c>
      <c r="L26" s="410">
        <v>0</v>
      </c>
      <c r="M26" s="411">
        <v>0</v>
      </c>
      <c r="N26" s="408">
        <v>0</v>
      </c>
      <c r="O26" s="406">
        <v>0</v>
      </c>
      <c r="P26" s="408"/>
      <c r="Q26" s="411">
        <v>0</v>
      </c>
      <c r="R26" s="412"/>
      <c r="S26" s="411">
        <v>0</v>
      </c>
      <c r="T26" s="410">
        <v>0</v>
      </c>
      <c r="U26" s="410">
        <v>0</v>
      </c>
      <c r="V26" s="410">
        <v>0</v>
      </c>
      <c r="W26" s="406">
        <v>0</v>
      </c>
      <c r="X26" s="410">
        <v>0</v>
      </c>
      <c r="Y26" s="410">
        <v>0</v>
      </c>
      <c r="Z26" s="410">
        <v>0</v>
      </c>
      <c r="AA26" s="409"/>
      <c r="AB26" s="410">
        <v>0</v>
      </c>
      <c r="AC26" s="413"/>
      <c r="AD26" s="410">
        <v>0</v>
      </c>
      <c r="AE26" s="410">
        <v>0</v>
      </c>
      <c r="AF26" s="408"/>
      <c r="AG26" s="413"/>
      <c r="AH26" s="410">
        <v>0</v>
      </c>
      <c r="AI26" s="406">
        <v>0</v>
      </c>
      <c r="AJ26" s="406">
        <v>0</v>
      </c>
      <c r="AK26" s="410">
        <v>0</v>
      </c>
      <c r="AL26" s="410">
        <v>0</v>
      </c>
      <c r="AM26" s="411">
        <v>0</v>
      </c>
      <c r="AN26" s="410">
        <v>0</v>
      </c>
      <c r="AO26" s="410">
        <v>0</v>
      </c>
      <c r="AP26" s="410">
        <v>0</v>
      </c>
      <c r="AQ26" s="416">
        <v>0</v>
      </c>
      <c r="AR26" s="416">
        <v>0</v>
      </c>
      <c r="AS26" s="408"/>
      <c r="AT26" s="417">
        <v>0</v>
      </c>
      <c r="AU26" s="408">
        <v>0</v>
      </c>
      <c r="AV26" s="408">
        <v>0</v>
      </c>
      <c r="AW26" s="418">
        <v>0</v>
      </c>
      <c r="AX26" s="418">
        <v>0</v>
      </c>
      <c r="AY26" s="417">
        <v>0</v>
      </c>
      <c r="AZ26" s="408">
        <v>0</v>
      </c>
      <c r="BA26" s="408">
        <v>0</v>
      </c>
      <c r="BB26" s="408">
        <v>0</v>
      </c>
      <c r="BC26" s="418">
        <v>0</v>
      </c>
      <c r="BD26" s="409">
        <v>0</v>
      </c>
      <c r="BE26" s="408">
        <v>0</v>
      </c>
      <c r="BF26" s="418"/>
      <c r="BG26" s="408">
        <v>0</v>
      </c>
      <c r="BH26" s="417"/>
      <c r="BI26" s="417">
        <v>0</v>
      </c>
      <c r="BJ26" s="419">
        <v>0</v>
      </c>
      <c r="BK26" s="408">
        <v>0</v>
      </c>
      <c r="BL26" s="413">
        <v>0</v>
      </c>
      <c r="BM26" s="408">
        <v>0</v>
      </c>
      <c r="BN26" s="408">
        <v>0</v>
      </c>
      <c r="BO26" s="408">
        <v>0</v>
      </c>
      <c r="BP26" s="408">
        <v>0</v>
      </c>
      <c r="BQ26" s="420">
        <v>0</v>
      </c>
      <c r="BR26" s="417">
        <v>0</v>
      </c>
      <c r="BS26" s="419">
        <v>0</v>
      </c>
      <c r="BT26" s="417">
        <v>0</v>
      </c>
      <c r="BU26" s="417">
        <v>0</v>
      </c>
      <c r="BV26" s="418"/>
      <c r="BW26" s="409">
        <v>0</v>
      </c>
      <c r="BX26" s="408"/>
      <c r="BY26" s="423">
        <v>0</v>
      </c>
      <c r="BZ26" s="408"/>
      <c r="CA26" s="408">
        <v>0</v>
      </c>
      <c r="CB26" s="408">
        <v>0</v>
      </c>
      <c r="CC26" s="417">
        <v>0</v>
      </c>
      <c r="CD26" s="408">
        <v>0</v>
      </c>
      <c r="CE26" s="409">
        <v>0</v>
      </c>
      <c r="CF26" s="408"/>
      <c r="CG26" s="408">
        <v>0</v>
      </c>
      <c r="CH26" s="408">
        <v>0</v>
      </c>
      <c r="CI26" s="418">
        <v>18647</v>
      </c>
      <c r="CJ26" s="408">
        <v>0</v>
      </c>
      <c r="CK26" s="408">
        <v>1.02</v>
      </c>
      <c r="CL26" s="413"/>
      <c r="CN26" s="422">
        <v>0</v>
      </c>
      <c r="CO26" s="422">
        <v>0</v>
      </c>
      <c r="CP26" s="422">
        <v>0</v>
      </c>
      <c r="CQ26" s="422">
        <v>0</v>
      </c>
    </row>
    <row r="27" spans="1:95">
      <c r="A27" s="404" t="s">
        <v>641</v>
      </c>
      <c r="B27" s="405" t="s">
        <v>642</v>
      </c>
      <c r="C27" s="406">
        <v>0</v>
      </c>
      <c r="D27" s="406">
        <v>0</v>
      </c>
      <c r="E27" s="406">
        <v>14262</v>
      </c>
      <c r="F27" s="407">
        <v>0</v>
      </c>
      <c r="G27" s="406">
        <v>12825.75</v>
      </c>
      <c r="H27" s="408">
        <v>0</v>
      </c>
      <c r="I27" s="409">
        <v>0</v>
      </c>
      <c r="J27" s="410">
        <v>500</v>
      </c>
      <c r="K27" s="406">
        <v>3335</v>
      </c>
      <c r="L27" s="410">
        <v>0</v>
      </c>
      <c r="M27" s="411">
        <v>2419</v>
      </c>
      <c r="N27" s="408">
        <v>1433.9774</v>
      </c>
      <c r="O27" s="406">
        <v>4660</v>
      </c>
      <c r="P27" s="408"/>
      <c r="Q27" s="411">
        <v>0</v>
      </c>
      <c r="R27" s="412"/>
      <c r="S27" s="411">
        <v>3461</v>
      </c>
      <c r="T27" s="410">
        <v>2900</v>
      </c>
      <c r="U27" s="410">
        <v>7603.9697999999999</v>
      </c>
      <c r="V27" s="410">
        <v>6162</v>
      </c>
      <c r="W27" s="406">
        <v>3274</v>
      </c>
      <c r="X27" s="410">
        <v>2559.9946</v>
      </c>
      <c r="Y27" s="410">
        <v>2682</v>
      </c>
      <c r="Z27" s="410">
        <v>10270</v>
      </c>
      <c r="AA27" s="409"/>
      <c r="AB27" s="410">
        <v>2331</v>
      </c>
      <c r="AC27" s="413"/>
      <c r="AD27" s="410">
        <v>19538</v>
      </c>
      <c r="AE27" s="410">
        <v>2379</v>
      </c>
      <c r="AF27" s="408"/>
      <c r="AG27" s="413"/>
      <c r="AH27" s="410">
        <v>3063</v>
      </c>
      <c r="AI27" s="406">
        <v>0</v>
      </c>
      <c r="AJ27" s="406">
        <v>4864</v>
      </c>
      <c r="AK27" s="410">
        <v>4980</v>
      </c>
      <c r="AL27" s="410">
        <v>9412</v>
      </c>
      <c r="AM27" s="411">
        <v>0</v>
      </c>
      <c r="AN27" s="410">
        <v>1119</v>
      </c>
      <c r="AO27" s="410">
        <v>6090</v>
      </c>
      <c r="AP27" s="410">
        <v>0</v>
      </c>
      <c r="AQ27" s="416">
        <v>0</v>
      </c>
      <c r="AR27" s="416">
        <v>0</v>
      </c>
      <c r="AS27" s="408"/>
      <c r="AT27" s="417">
        <v>1500</v>
      </c>
      <c r="AU27" s="408">
        <v>0</v>
      </c>
      <c r="AV27" s="408">
        <v>0</v>
      </c>
      <c r="AW27" s="418">
        <v>781.25</v>
      </c>
      <c r="AX27" s="418">
        <v>0</v>
      </c>
      <c r="AY27" s="417">
        <v>0</v>
      </c>
      <c r="AZ27" s="408">
        <v>0</v>
      </c>
      <c r="BA27" s="408">
        <v>0</v>
      </c>
      <c r="BB27" s="408">
        <v>250</v>
      </c>
      <c r="BC27" s="418">
        <v>1230</v>
      </c>
      <c r="BD27" s="409">
        <v>0</v>
      </c>
      <c r="BE27" s="408">
        <v>7040</v>
      </c>
      <c r="BF27" s="418"/>
      <c r="BG27" s="408">
        <v>0</v>
      </c>
      <c r="BH27" s="417"/>
      <c r="BI27" s="417">
        <v>5256</v>
      </c>
      <c r="BJ27" s="419">
        <v>0</v>
      </c>
      <c r="BK27" s="408">
        <v>1885</v>
      </c>
      <c r="BL27" s="413">
        <v>0</v>
      </c>
      <c r="BM27" s="408">
        <v>0</v>
      </c>
      <c r="BN27" s="408">
        <v>3751</v>
      </c>
      <c r="BO27" s="408">
        <v>978.75</v>
      </c>
      <c r="BP27" s="408">
        <v>943</v>
      </c>
      <c r="BQ27" s="420">
        <v>0</v>
      </c>
      <c r="BR27" s="417">
        <v>0</v>
      </c>
      <c r="BS27" s="419">
        <v>1812</v>
      </c>
      <c r="BT27" s="417">
        <v>0</v>
      </c>
      <c r="BU27" s="417">
        <v>2628</v>
      </c>
      <c r="BV27" s="418"/>
      <c r="BW27" s="409">
        <v>616</v>
      </c>
      <c r="BX27" s="408"/>
      <c r="BY27" s="423">
        <v>0</v>
      </c>
      <c r="BZ27" s="408"/>
      <c r="CA27" s="408">
        <v>7141</v>
      </c>
      <c r="CB27" s="408">
        <v>10702</v>
      </c>
      <c r="CC27" s="417">
        <v>7594</v>
      </c>
      <c r="CD27" s="408">
        <v>15399</v>
      </c>
      <c r="CE27" s="409">
        <v>511</v>
      </c>
      <c r="CF27" s="408"/>
      <c r="CG27" s="408">
        <v>22843</v>
      </c>
      <c r="CH27" s="408">
        <v>52355</v>
      </c>
      <c r="CI27" s="418">
        <v>0</v>
      </c>
      <c r="CJ27" s="408">
        <v>0</v>
      </c>
      <c r="CK27" s="408">
        <v>38640</v>
      </c>
      <c r="CL27" s="413"/>
      <c r="CN27" s="422">
        <v>0</v>
      </c>
      <c r="CO27" s="422">
        <v>0</v>
      </c>
      <c r="CP27" s="422">
        <v>0</v>
      </c>
      <c r="CQ27" s="422">
        <v>0</v>
      </c>
    </row>
    <row r="28" spans="1:95">
      <c r="A28" s="404" t="s">
        <v>643</v>
      </c>
      <c r="B28" s="405" t="s">
        <v>644</v>
      </c>
      <c r="C28" s="406">
        <v>0</v>
      </c>
      <c r="D28" s="406">
        <v>0</v>
      </c>
      <c r="E28" s="406">
        <v>0</v>
      </c>
      <c r="F28" s="407">
        <v>39859</v>
      </c>
      <c r="G28" s="406">
        <v>25500</v>
      </c>
      <c r="H28" s="408">
        <v>0</v>
      </c>
      <c r="I28" s="409">
        <v>1770</v>
      </c>
      <c r="J28" s="410">
        <v>97482.43</v>
      </c>
      <c r="K28" s="406">
        <v>30000</v>
      </c>
      <c r="L28" s="410">
        <v>48688</v>
      </c>
      <c r="M28" s="411">
        <v>62070</v>
      </c>
      <c r="N28" s="408">
        <v>17941</v>
      </c>
      <c r="O28" s="406">
        <v>79272</v>
      </c>
      <c r="P28" s="408"/>
      <c r="Q28" s="411">
        <v>61028</v>
      </c>
      <c r="R28" s="412"/>
      <c r="S28" s="411">
        <v>79713</v>
      </c>
      <c r="T28" s="410">
        <v>123515</v>
      </c>
      <c r="U28" s="410">
        <v>19590</v>
      </c>
      <c r="V28" s="410">
        <v>82994</v>
      </c>
      <c r="W28" s="406">
        <v>47681</v>
      </c>
      <c r="X28" s="410">
        <v>47983</v>
      </c>
      <c r="Y28" s="410">
        <v>41842</v>
      </c>
      <c r="Z28" s="410">
        <v>116307.26</v>
      </c>
      <c r="AA28" s="409"/>
      <c r="AB28" s="410">
        <v>49800</v>
      </c>
      <c r="AC28" s="413"/>
      <c r="AD28" s="410">
        <v>101213</v>
      </c>
      <c r="AE28" s="410">
        <v>74627</v>
      </c>
      <c r="AF28" s="428">
        <v>62836</v>
      </c>
      <c r="AG28" s="415">
        <v>72727</v>
      </c>
      <c r="AH28" s="410">
        <v>35064</v>
      </c>
      <c r="AI28" s="406">
        <v>78960</v>
      </c>
      <c r="AJ28" s="406">
        <v>82568</v>
      </c>
      <c r="AK28" s="410">
        <v>77245</v>
      </c>
      <c r="AL28" s="410">
        <v>19290</v>
      </c>
      <c r="AM28" s="411">
        <v>67015</v>
      </c>
      <c r="AN28" s="410">
        <v>43741</v>
      </c>
      <c r="AO28" s="410">
        <v>38097.33</v>
      </c>
      <c r="AP28" s="410">
        <v>79550</v>
      </c>
      <c r="AQ28" s="416">
        <v>49780</v>
      </c>
      <c r="AR28" s="416">
        <v>25029</v>
      </c>
      <c r="AS28" s="408"/>
      <c r="AT28" s="417">
        <v>106750</v>
      </c>
      <c r="AU28" s="408">
        <v>150834</v>
      </c>
      <c r="AV28" s="408">
        <v>181828.67103174605</v>
      </c>
      <c r="AW28" s="418">
        <v>101491</v>
      </c>
      <c r="AX28" s="418">
        <v>40979</v>
      </c>
      <c r="AY28" s="417">
        <v>89612</v>
      </c>
      <c r="AZ28" s="408">
        <v>151888</v>
      </c>
      <c r="BA28" s="408">
        <v>20414</v>
      </c>
      <c r="BB28" s="408">
        <v>58832</v>
      </c>
      <c r="BC28" s="418">
        <v>46048</v>
      </c>
      <c r="BD28" s="409">
        <v>117956</v>
      </c>
      <c r="BE28" s="408">
        <v>74594</v>
      </c>
      <c r="BF28" s="418"/>
      <c r="BG28" s="408">
        <v>36933</v>
      </c>
      <c r="BH28" s="417"/>
      <c r="BI28" s="417">
        <v>77000</v>
      </c>
      <c r="BJ28" s="419">
        <v>86258</v>
      </c>
      <c r="BK28" s="408">
        <v>76536</v>
      </c>
      <c r="BL28" s="413">
        <v>52831</v>
      </c>
      <c r="BM28" s="408">
        <v>55726</v>
      </c>
      <c r="BN28" s="408">
        <v>101248</v>
      </c>
      <c r="BO28" s="408">
        <v>61721</v>
      </c>
      <c r="BP28" s="408">
        <v>54500</v>
      </c>
      <c r="BQ28" s="420">
        <v>73361</v>
      </c>
      <c r="BR28" s="417">
        <v>69500</v>
      </c>
      <c r="BS28" s="419">
        <v>54851</v>
      </c>
      <c r="BT28" s="417">
        <v>36502</v>
      </c>
      <c r="BU28" s="417">
        <v>45734</v>
      </c>
      <c r="BV28" s="418"/>
      <c r="BW28" s="409">
        <v>67136</v>
      </c>
      <c r="BX28" s="408">
        <v>55290</v>
      </c>
      <c r="BY28" s="423">
        <v>57800</v>
      </c>
      <c r="BZ28" s="408"/>
      <c r="CA28" s="408">
        <v>87765</v>
      </c>
      <c r="CB28" s="408">
        <v>57699</v>
      </c>
      <c r="CC28" s="417">
        <v>88763</v>
      </c>
      <c r="CD28" s="408">
        <v>79727</v>
      </c>
      <c r="CE28" s="409">
        <v>51963</v>
      </c>
      <c r="CF28" s="408"/>
      <c r="CG28" s="408">
        <v>0</v>
      </c>
      <c r="CH28" s="408">
        <v>0</v>
      </c>
      <c r="CI28" s="418"/>
      <c r="CJ28" s="408">
        <v>0</v>
      </c>
      <c r="CK28" s="408">
        <v>1.02</v>
      </c>
      <c r="CL28" s="413">
        <v>145032</v>
      </c>
      <c r="CN28" s="422">
        <v>0</v>
      </c>
      <c r="CO28" s="422">
        <v>0</v>
      </c>
      <c r="CP28" s="422">
        <v>0</v>
      </c>
      <c r="CQ28" s="422">
        <v>0</v>
      </c>
    </row>
    <row r="29" spans="1:95">
      <c r="A29" s="400" t="s">
        <v>645</v>
      </c>
      <c r="B29" s="429"/>
      <c r="C29" s="430">
        <f t="shared" ref="C29:I29" si="0">SUM(C8:C28)</f>
        <v>2981135.5155202593</v>
      </c>
      <c r="D29" s="431">
        <f t="shared" si="0"/>
        <v>1140118.0882000001</v>
      </c>
      <c r="E29" s="430">
        <f t="shared" si="0"/>
        <v>4267995.5759999994</v>
      </c>
      <c r="F29" s="432">
        <f t="shared" si="0"/>
        <v>4703631.5659999996</v>
      </c>
      <c r="G29" s="431">
        <f t="shared" si="0"/>
        <v>5601209.9534047619</v>
      </c>
      <c r="H29" s="430">
        <f t="shared" si="0"/>
        <v>744477.91760000004</v>
      </c>
      <c r="I29" s="431">
        <f t="shared" si="0"/>
        <v>3468374</v>
      </c>
      <c r="J29" s="430">
        <f>SUM(J8:J28)</f>
        <v>3144384.9555000002</v>
      </c>
      <c r="K29" s="432">
        <f t="shared" ref="K29:BV29" si="1">SUM(K8:K28)</f>
        <v>1451762.9999999986</v>
      </c>
      <c r="L29" s="432">
        <f t="shared" si="1"/>
        <v>1807128.6945</v>
      </c>
      <c r="M29" s="432">
        <f t="shared" si="1"/>
        <v>1379283.7567</v>
      </c>
      <c r="N29" s="432">
        <f t="shared" si="1"/>
        <v>1247562.5718999999</v>
      </c>
      <c r="O29" s="432">
        <f t="shared" si="1"/>
        <v>3224349</v>
      </c>
      <c r="P29" s="432">
        <f t="shared" si="1"/>
        <v>0</v>
      </c>
      <c r="Q29" s="432">
        <f t="shared" si="1"/>
        <v>2073723.409</v>
      </c>
      <c r="R29" s="433">
        <f t="shared" si="1"/>
        <v>0</v>
      </c>
      <c r="S29" s="432">
        <f t="shared" si="1"/>
        <v>3084509.0720000002</v>
      </c>
      <c r="T29" s="432">
        <f t="shared" si="1"/>
        <v>2222613.4081999999</v>
      </c>
      <c r="U29" s="432">
        <f t="shared" si="1"/>
        <v>2551053.0595000004</v>
      </c>
      <c r="V29" s="432">
        <f t="shared" si="1"/>
        <v>3506141.8423000001</v>
      </c>
      <c r="W29" s="432">
        <f t="shared" si="1"/>
        <v>1977642.0833333335</v>
      </c>
      <c r="X29" s="432">
        <f t="shared" si="1"/>
        <v>1501621.6469000001</v>
      </c>
      <c r="Y29" s="432">
        <f t="shared" si="1"/>
        <v>1547680.7324000001</v>
      </c>
      <c r="Z29" s="432">
        <f t="shared" si="1"/>
        <v>5044667.7933999998</v>
      </c>
      <c r="AA29" s="432">
        <f t="shared" si="1"/>
        <v>0</v>
      </c>
      <c r="AB29" s="432">
        <f t="shared" si="1"/>
        <v>1408225.1858999999</v>
      </c>
      <c r="AC29" s="432">
        <f t="shared" si="1"/>
        <v>0</v>
      </c>
      <c r="AD29" s="434">
        <f t="shared" si="1"/>
        <v>4651524.2479999997</v>
      </c>
      <c r="AE29" s="435">
        <f t="shared" si="1"/>
        <v>1617068.3359000001</v>
      </c>
      <c r="AF29" s="436">
        <f t="shared" si="1"/>
        <v>3098447.9277857142</v>
      </c>
      <c r="AG29" s="432">
        <f t="shared" si="1"/>
        <v>3287962</v>
      </c>
      <c r="AH29" s="432">
        <f t="shared" si="1"/>
        <v>2195884.5288</v>
      </c>
      <c r="AI29" s="432">
        <f t="shared" si="1"/>
        <v>2064343.0880952382</v>
      </c>
      <c r="AJ29" s="432">
        <f t="shared" si="1"/>
        <v>3398292</v>
      </c>
      <c r="AK29" s="432">
        <f t="shared" si="1"/>
        <v>1722534.0962</v>
      </c>
      <c r="AL29" s="432">
        <f t="shared" si="1"/>
        <v>2280958.4292000001</v>
      </c>
      <c r="AM29" s="432">
        <f t="shared" si="1"/>
        <v>3385734.9947000002</v>
      </c>
      <c r="AN29" s="432">
        <f t="shared" si="1"/>
        <v>1697866.1941</v>
      </c>
      <c r="AO29" s="432">
        <f t="shared" si="1"/>
        <v>1734902.0164000001</v>
      </c>
      <c r="AP29" s="432">
        <f t="shared" si="1"/>
        <v>3146864.7519999999</v>
      </c>
      <c r="AQ29" s="434">
        <f t="shared" si="1"/>
        <v>1671548.5181</v>
      </c>
      <c r="AR29" s="432">
        <f t="shared" si="1"/>
        <v>2453548.5625</v>
      </c>
      <c r="AS29" s="432">
        <f t="shared" si="1"/>
        <v>0</v>
      </c>
      <c r="AT29" s="432">
        <f t="shared" si="1"/>
        <v>4808515.4523809524</v>
      </c>
      <c r="AU29" s="432">
        <f t="shared" si="1"/>
        <v>1862114.42</v>
      </c>
      <c r="AV29" s="432">
        <f t="shared" si="1"/>
        <v>3034850.05683643</v>
      </c>
      <c r="AW29" s="432">
        <f t="shared" si="1"/>
        <v>2990317.8650000002</v>
      </c>
      <c r="AX29" s="432">
        <f t="shared" si="1"/>
        <v>1081523.1181419455</v>
      </c>
      <c r="AY29" s="432">
        <f t="shared" si="1"/>
        <v>2639163.8571428573</v>
      </c>
      <c r="AZ29" s="432">
        <f t="shared" si="1"/>
        <v>2261934.125</v>
      </c>
      <c r="BA29" s="432">
        <f t="shared" si="1"/>
        <v>3023988.5</v>
      </c>
      <c r="BB29" s="432">
        <f t="shared" si="1"/>
        <v>2196881.0267000003</v>
      </c>
      <c r="BC29" s="432">
        <f t="shared" si="1"/>
        <v>1912529.3862000001</v>
      </c>
      <c r="BD29" s="432">
        <f t="shared" si="1"/>
        <v>8042110.1484000003</v>
      </c>
      <c r="BE29" s="432">
        <f t="shared" si="1"/>
        <v>2934494.6773000001</v>
      </c>
      <c r="BF29" s="432">
        <f t="shared" si="1"/>
        <v>0</v>
      </c>
      <c r="BG29" s="432">
        <f t="shared" si="1"/>
        <v>2383165.3426999999</v>
      </c>
      <c r="BH29" s="432">
        <f t="shared" si="1"/>
        <v>0</v>
      </c>
      <c r="BI29" s="432">
        <f t="shared" si="1"/>
        <v>4469802.1286857147</v>
      </c>
      <c r="BJ29" s="432">
        <f t="shared" si="1"/>
        <v>2830130.0883999998</v>
      </c>
      <c r="BK29" s="432">
        <f t="shared" si="1"/>
        <v>2459631.0737000001</v>
      </c>
      <c r="BL29" s="432">
        <f t="shared" si="1"/>
        <v>2876234.3032</v>
      </c>
      <c r="BM29" s="432">
        <f t="shared" si="1"/>
        <v>1368207.6912</v>
      </c>
      <c r="BN29" s="432">
        <f t="shared" si="1"/>
        <v>3028734.7954000002</v>
      </c>
      <c r="BO29" s="432">
        <f t="shared" si="1"/>
        <v>1685796.9953999999</v>
      </c>
      <c r="BP29" s="432">
        <f t="shared" si="1"/>
        <v>1649609.2142857143</v>
      </c>
      <c r="BQ29" s="432">
        <f t="shared" si="1"/>
        <v>3163500.0498000002</v>
      </c>
      <c r="BR29" s="432">
        <f t="shared" si="1"/>
        <v>2937975.3095</v>
      </c>
      <c r="BS29" s="432">
        <f t="shared" si="1"/>
        <v>1444568.5156</v>
      </c>
      <c r="BT29" s="432">
        <f t="shared" si="1"/>
        <v>1609702.0238095238</v>
      </c>
      <c r="BU29" s="432">
        <f t="shared" si="1"/>
        <v>1541483</v>
      </c>
      <c r="BV29" s="432">
        <f t="shared" si="1"/>
        <v>0</v>
      </c>
      <c r="BW29" s="432">
        <f t="shared" ref="BW29:CG29" si="2">SUM(BW8:BW28)</f>
        <v>2089686.1514000001</v>
      </c>
      <c r="BX29" s="432">
        <f t="shared" si="2"/>
        <v>1848425</v>
      </c>
      <c r="BY29" s="432">
        <f t="shared" si="2"/>
        <v>1424363</v>
      </c>
      <c r="BZ29" s="432">
        <f t="shared" si="2"/>
        <v>0</v>
      </c>
      <c r="CA29" s="432">
        <f t="shared" si="2"/>
        <v>3756539</v>
      </c>
      <c r="CB29" s="432">
        <f t="shared" si="2"/>
        <v>2269186</v>
      </c>
      <c r="CC29" s="432">
        <f t="shared" si="2"/>
        <v>3775726</v>
      </c>
      <c r="CD29" s="432">
        <f t="shared" si="2"/>
        <v>3126328.5019999999</v>
      </c>
      <c r="CE29" s="431">
        <f t="shared" si="2"/>
        <v>1434426.5630000001</v>
      </c>
      <c r="CF29" s="437">
        <f t="shared" si="2"/>
        <v>0</v>
      </c>
      <c r="CG29" s="437">
        <f t="shared" si="2"/>
        <v>8999631.6767999995</v>
      </c>
      <c r="CH29" s="432">
        <f>SUM(CH8:CH28)</f>
        <v>7123471</v>
      </c>
      <c r="CI29" s="432">
        <f>SUM(CI8:CI28)</f>
        <v>13627508.451200001</v>
      </c>
      <c r="CJ29" s="432">
        <f>SUM(CJ8:CJ28)</f>
        <v>3375472.2796999998</v>
      </c>
      <c r="CK29" s="432">
        <f>SUM(CK8:CK28)</f>
        <v>10306989.015199993</v>
      </c>
      <c r="CL29" s="431">
        <f>SUM(CL8:CL28)</f>
        <v>6648564</v>
      </c>
      <c r="CN29" s="431">
        <f>SUM(CN8:CN28)</f>
        <v>0</v>
      </c>
      <c r="CO29" s="431">
        <f>SUM(CO8:CO28)</f>
        <v>0</v>
      </c>
      <c r="CP29" s="431">
        <f>SUM(CP8:CP28)</f>
        <v>0</v>
      </c>
      <c r="CQ29" s="431">
        <f>SUM(CQ8:CQ28)</f>
        <v>206158</v>
      </c>
    </row>
    <row r="30" spans="1:95">
      <c r="A30" s="372"/>
      <c r="B30" s="372"/>
      <c r="C30" s="438"/>
      <c r="D30" s="439"/>
      <c r="E30" s="438"/>
      <c r="F30" s="372"/>
      <c r="G30" s="439"/>
      <c r="H30" s="438"/>
      <c r="I30" s="439"/>
      <c r="J30" s="438"/>
      <c r="K30" s="372"/>
      <c r="L30" s="372"/>
      <c r="M30" s="372"/>
      <c r="N30" s="372"/>
      <c r="O30" s="372"/>
      <c r="P30" s="372"/>
      <c r="Q30" s="372"/>
      <c r="R30" s="373"/>
      <c r="S30" s="372"/>
      <c r="T30" s="372"/>
      <c r="U30" s="372"/>
      <c r="V30" s="372"/>
      <c r="W30" s="372"/>
      <c r="X30" s="372"/>
      <c r="Y30" s="372"/>
      <c r="Z30" s="372"/>
      <c r="AA30" s="372"/>
      <c r="AB30" s="372"/>
      <c r="AC30" s="372"/>
      <c r="AD30" s="372"/>
      <c r="AE30" s="440"/>
      <c r="AF30" s="372"/>
      <c r="AG30" s="372"/>
      <c r="AH30" s="372"/>
      <c r="AI30" s="372"/>
      <c r="AJ30" s="372"/>
      <c r="AK30" s="372"/>
      <c r="AL30" s="372"/>
      <c r="AM30" s="372"/>
      <c r="AN30" s="372"/>
      <c r="AO30" s="372"/>
      <c r="AP30" s="372"/>
      <c r="AQ30" s="372"/>
      <c r="AR30" s="372"/>
      <c r="AS30" s="372"/>
      <c r="AT30" s="372"/>
      <c r="AU30" s="372"/>
      <c r="AV30" s="372"/>
      <c r="AW30" s="372"/>
      <c r="AX30" s="372"/>
      <c r="AY30" s="372"/>
      <c r="AZ30" s="372"/>
      <c r="BA30" s="372"/>
      <c r="BB30" s="372"/>
      <c r="BC30" s="372"/>
      <c r="BD30" s="372"/>
      <c r="BE30" s="372"/>
      <c r="BF30" s="372"/>
      <c r="BG30" s="372"/>
      <c r="BH30" s="372"/>
      <c r="BI30" s="372"/>
      <c r="BJ30" s="372"/>
      <c r="BK30" s="372"/>
      <c r="BL30" s="372"/>
      <c r="BM30" s="372"/>
      <c r="BN30" s="372"/>
      <c r="BO30" s="372"/>
      <c r="BP30" s="372"/>
      <c r="BQ30" s="372"/>
      <c r="BR30" s="372"/>
      <c r="BS30" s="372"/>
      <c r="BT30" s="372"/>
      <c r="BU30" s="372"/>
      <c r="BV30" s="372"/>
      <c r="BW30" s="372"/>
      <c r="BX30" s="372"/>
      <c r="BY30" s="372"/>
      <c r="BZ30" s="372"/>
      <c r="CA30" s="372"/>
      <c r="CB30" s="372"/>
      <c r="CC30" s="372"/>
      <c r="CD30" s="372"/>
      <c r="CE30" s="439"/>
      <c r="CF30" s="441"/>
      <c r="CG30" s="438"/>
      <c r="CH30" s="372"/>
      <c r="CI30" s="372"/>
      <c r="CJ30" s="372"/>
      <c r="CK30" s="372"/>
      <c r="CL30" s="439"/>
      <c r="CN30" s="439"/>
      <c r="CO30" s="439"/>
      <c r="CP30" s="439"/>
      <c r="CQ30" s="439"/>
    </row>
    <row r="31" spans="1:95">
      <c r="A31" s="400" t="s">
        <v>646</v>
      </c>
      <c r="B31" s="400"/>
      <c r="C31" s="400"/>
      <c r="D31" s="400"/>
      <c r="E31" s="400"/>
      <c r="F31" s="400"/>
      <c r="G31" s="400"/>
      <c r="H31" s="400"/>
      <c r="I31" s="400"/>
      <c r="J31" s="400"/>
      <c r="K31" s="400"/>
      <c r="L31" s="400"/>
      <c r="M31" s="400"/>
      <c r="N31" s="400"/>
      <c r="O31" s="400"/>
      <c r="P31" s="400"/>
      <c r="Q31" s="400"/>
      <c r="R31" s="442"/>
      <c r="S31" s="400"/>
      <c r="T31" s="400"/>
      <c r="U31" s="400"/>
      <c r="V31" s="400"/>
      <c r="W31" s="400"/>
      <c r="X31" s="400"/>
      <c r="Y31" s="400"/>
      <c r="Z31" s="400"/>
      <c r="AA31" s="400"/>
      <c r="AB31" s="400"/>
      <c r="AC31" s="400"/>
      <c r="AD31" s="429"/>
      <c r="AE31" s="435"/>
      <c r="AF31" s="443"/>
      <c r="AG31" s="400"/>
      <c r="AH31" s="400"/>
      <c r="AI31" s="400"/>
      <c r="AJ31" s="400"/>
      <c r="AK31" s="400"/>
      <c r="AL31" s="400"/>
      <c r="AM31" s="400"/>
      <c r="AN31" s="400"/>
      <c r="AO31" s="400"/>
      <c r="AP31" s="400"/>
      <c r="AQ31" s="400"/>
      <c r="AR31" s="400"/>
      <c r="AS31" s="400"/>
      <c r="AT31" s="400"/>
      <c r="AU31" s="400"/>
      <c r="AV31" s="400"/>
      <c r="AW31" s="400"/>
      <c r="AX31" s="400"/>
      <c r="AY31" s="400"/>
      <c r="AZ31" s="400"/>
      <c r="BA31" s="400"/>
      <c r="BB31" s="400"/>
      <c r="BC31" s="400"/>
      <c r="BD31" s="400"/>
      <c r="BE31" s="400"/>
      <c r="BF31" s="400"/>
      <c r="BG31" s="400"/>
      <c r="BH31" s="400"/>
      <c r="BI31" s="400"/>
      <c r="BJ31" s="400"/>
      <c r="BK31" s="400"/>
      <c r="BL31" s="400"/>
      <c r="BM31" s="400"/>
      <c r="BN31" s="400"/>
      <c r="BO31" s="400"/>
      <c r="BP31" s="400"/>
      <c r="BQ31" s="400"/>
      <c r="BR31" s="400"/>
      <c r="BS31" s="400"/>
      <c r="BT31" s="400"/>
      <c r="BU31" s="400"/>
      <c r="BV31" s="400"/>
      <c r="BW31" s="400"/>
      <c r="BX31" s="400"/>
      <c r="BY31" s="400"/>
      <c r="BZ31" s="400"/>
      <c r="CA31" s="400"/>
      <c r="CB31" s="400"/>
      <c r="CC31" s="400"/>
      <c r="CD31" s="400"/>
      <c r="CE31" s="400"/>
      <c r="CF31" s="400"/>
      <c r="CG31" s="400"/>
      <c r="CH31" s="400"/>
      <c r="CI31" s="400"/>
      <c r="CJ31" s="400"/>
      <c r="CK31" s="400"/>
      <c r="CL31" s="400"/>
      <c r="CN31" s="400"/>
      <c r="CO31" s="400"/>
      <c r="CP31" s="400"/>
      <c r="CQ31" s="400"/>
    </row>
    <row r="32" spans="1:95">
      <c r="A32" s="404" t="s">
        <v>27</v>
      </c>
      <c r="B32" s="405" t="s">
        <v>647</v>
      </c>
      <c r="C32" s="444">
        <v>455363.12325800001</v>
      </c>
      <c r="D32" s="444">
        <v>252568.83866000001</v>
      </c>
      <c r="E32" s="444">
        <v>1636343.9823169799</v>
      </c>
      <c r="F32" s="407">
        <v>1610634.2249</v>
      </c>
      <c r="G32" s="444">
        <v>2273786.6122327223</v>
      </c>
      <c r="H32" s="408">
        <v>594311.33129999996</v>
      </c>
      <c r="I32" s="409">
        <v>1997689.3903000001</v>
      </c>
      <c r="J32" s="410">
        <v>1369844.9701</v>
      </c>
      <c r="K32" s="444">
        <v>665173.94778000005</v>
      </c>
      <c r="L32" s="410">
        <v>739757.45160000003</v>
      </c>
      <c r="M32" s="411">
        <v>512991.59120000002</v>
      </c>
      <c r="N32" s="408">
        <v>700792.55550000002</v>
      </c>
      <c r="O32" s="444">
        <v>1394081.3179613333</v>
      </c>
      <c r="P32" s="408"/>
      <c r="Q32" s="411">
        <v>1060789.0628</v>
      </c>
      <c r="R32" s="412"/>
      <c r="S32" s="411">
        <v>1222081.7072000001</v>
      </c>
      <c r="T32" s="410">
        <v>1006992.0823</v>
      </c>
      <c r="U32" s="410">
        <v>1228874.1973000001</v>
      </c>
      <c r="V32" s="410">
        <v>1645531.0893999999</v>
      </c>
      <c r="W32" s="444">
        <v>980693.89089222008</v>
      </c>
      <c r="X32" s="410">
        <v>831033.43870000006</v>
      </c>
      <c r="Y32" s="410">
        <v>793409.04480000003</v>
      </c>
      <c r="Z32" s="410">
        <v>2232282.9903000002</v>
      </c>
      <c r="AA32" s="409"/>
      <c r="AB32" s="410">
        <v>685399.48060000001</v>
      </c>
      <c r="AC32" s="413"/>
      <c r="AD32" s="410">
        <v>1920283.3060999999</v>
      </c>
      <c r="AE32" s="410">
        <v>820052.67379999999</v>
      </c>
      <c r="AF32" s="445">
        <v>1209304.4286613334</v>
      </c>
      <c r="AG32" s="415">
        <v>1380797</v>
      </c>
      <c r="AH32" s="410">
        <v>731769.77040000004</v>
      </c>
      <c r="AI32" s="444">
        <v>1093859.5631221819</v>
      </c>
      <c r="AJ32" s="444">
        <v>1455255.7931221898</v>
      </c>
      <c r="AK32" s="410">
        <v>814199.94409999996</v>
      </c>
      <c r="AL32" s="410">
        <v>1260350.23</v>
      </c>
      <c r="AM32" s="411">
        <v>1373608.1488000001</v>
      </c>
      <c r="AN32" s="410">
        <v>995007</v>
      </c>
      <c r="AO32" s="410">
        <v>786224.07720000006</v>
      </c>
      <c r="AP32" s="410">
        <v>1588412.4424999999</v>
      </c>
      <c r="AQ32" s="416">
        <v>705795.52830000001</v>
      </c>
      <c r="AR32" s="416">
        <v>1101976.9495000001</v>
      </c>
      <c r="AS32" s="408"/>
      <c r="AT32" s="417">
        <v>2141863.2742524715</v>
      </c>
      <c r="AU32" s="408">
        <v>867049.45</v>
      </c>
      <c r="AV32" s="446">
        <v>1190535.6184825599</v>
      </c>
      <c r="AW32" s="418">
        <v>1672931.0292</v>
      </c>
      <c r="AX32" s="418">
        <v>587547.96030777832</v>
      </c>
      <c r="AY32" s="417">
        <v>1274232.3582079997</v>
      </c>
      <c r="AZ32" s="408">
        <v>1013374.9208</v>
      </c>
      <c r="BA32" s="408">
        <v>1421367.9284000001</v>
      </c>
      <c r="BB32" s="408">
        <v>713096.96770000004</v>
      </c>
      <c r="BC32" s="418">
        <v>799357.60010000004</v>
      </c>
      <c r="BD32" s="409">
        <v>3671901.7801999999</v>
      </c>
      <c r="BE32" s="408">
        <v>1338511.7019</v>
      </c>
      <c r="BF32" s="418"/>
      <c r="BG32" s="408">
        <v>1167161.9187</v>
      </c>
      <c r="BH32" s="417"/>
      <c r="BI32" s="417">
        <v>1830276.196413856</v>
      </c>
      <c r="BJ32" s="419">
        <v>1387528.2575000001</v>
      </c>
      <c r="BK32" s="408">
        <v>1315582.2962</v>
      </c>
      <c r="BL32" s="413">
        <v>1399002.5304</v>
      </c>
      <c r="BM32" s="408">
        <v>728551.92509999999</v>
      </c>
      <c r="BN32" s="408">
        <v>1440765.4761999999</v>
      </c>
      <c r="BO32" s="408">
        <v>589967.26280000003</v>
      </c>
      <c r="BP32" s="408">
        <v>800487.57170700002</v>
      </c>
      <c r="BQ32" s="420">
        <v>1449376.0364999999</v>
      </c>
      <c r="BR32" s="417">
        <v>1499784.7471</v>
      </c>
      <c r="BS32" s="419">
        <v>714397.28850000002</v>
      </c>
      <c r="BT32" s="417">
        <v>735469.40958717582</v>
      </c>
      <c r="BU32" s="417">
        <v>750974.2037825</v>
      </c>
      <c r="BV32" s="418"/>
      <c r="BW32" s="409">
        <v>955513.16839999997</v>
      </c>
      <c r="BX32" s="417">
        <v>952796.99207154789</v>
      </c>
      <c r="BY32" s="408">
        <v>738719</v>
      </c>
      <c r="BZ32" s="408"/>
      <c r="CA32" s="408">
        <v>1638651.4263716666</v>
      </c>
      <c r="CB32" s="408">
        <v>1018916.5170433333</v>
      </c>
      <c r="CC32" s="417">
        <v>1486131.7116722427</v>
      </c>
      <c r="CD32" s="408">
        <v>1440267.8933000001</v>
      </c>
      <c r="CE32" s="409">
        <v>652510.37029999995</v>
      </c>
      <c r="CF32" s="408"/>
      <c r="CG32" s="408">
        <v>5847947.6638000002</v>
      </c>
      <c r="CH32" s="408">
        <v>4365082</v>
      </c>
      <c r="CI32" s="418">
        <v>8089935.6056000004</v>
      </c>
      <c r="CJ32" s="408">
        <v>2633250.8568000002</v>
      </c>
      <c r="CK32" s="408">
        <v>5967531.7988999998</v>
      </c>
      <c r="CL32" s="413">
        <v>4335109</v>
      </c>
      <c r="CN32" s="422">
        <v>0</v>
      </c>
      <c r="CO32" s="422">
        <v>0</v>
      </c>
      <c r="CP32" s="422">
        <v>0</v>
      </c>
      <c r="CQ32" s="422">
        <v>0</v>
      </c>
    </row>
    <row r="33" spans="1:95">
      <c r="A33" s="404" t="s">
        <v>29</v>
      </c>
      <c r="B33" s="405" t="s">
        <v>648</v>
      </c>
      <c r="C33" s="444">
        <v>0</v>
      </c>
      <c r="D33" s="444">
        <v>0</v>
      </c>
      <c r="E33" s="444">
        <v>0</v>
      </c>
      <c r="F33" s="407">
        <v>0</v>
      </c>
      <c r="G33" s="444">
        <v>0</v>
      </c>
      <c r="H33" s="408">
        <v>0</v>
      </c>
      <c r="I33" s="409">
        <v>215460</v>
      </c>
      <c r="J33" s="410">
        <v>0</v>
      </c>
      <c r="K33" s="444">
        <v>0</v>
      </c>
      <c r="L33" s="410">
        <v>32734.3521</v>
      </c>
      <c r="M33" s="411">
        <v>0</v>
      </c>
      <c r="N33" s="408">
        <v>0</v>
      </c>
      <c r="O33" s="444">
        <v>0</v>
      </c>
      <c r="P33" s="408"/>
      <c r="Q33" s="411">
        <v>0</v>
      </c>
      <c r="R33" s="412"/>
      <c r="S33" s="411">
        <v>0</v>
      </c>
      <c r="T33" s="410">
        <v>0</v>
      </c>
      <c r="U33" s="410">
        <v>0</v>
      </c>
      <c r="V33" s="410">
        <v>0</v>
      </c>
      <c r="W33" s="444">
        <v>0</v>
      </c>
      <c r="X33" s="410">
        <v>0</v>
      </c>
      <c r="Y33" s="410">
        <v>0</v>
      </c>
      <c r="Z33" s="410">
        <v>0</v>
      </c>
      <c r="AA33" s="409"/>
      <c r="AB33" s="410">
        <v>8813.7034000000003</v>
      </c>
      <c r="AC33" s="413"/>
      <c r="AD33" s="410">
        <v>0</v>
      </c>
      <c r="AE33" s="410">
        <v>0</v>
      </c>
      <c r="AF33" s="445">
        <v>0</v>
      </c>
      <c r="AG33" s="415">
        <v>0</v>
      </c>
      <c r="AH33" s="410">
        <v>0</v>
      </c>
      <c r="AI33" s="444">
        <v>0</v>
      </c>
      <c r="AJ33" s="444">
        <v>0</v>
      </c>
      <c r="AK33" s="410">
        <v>0</v>
      </c>
      <c r="AL33" s="410">
        <v>0</v>
      </c>
      <c r="AM33" s="411">
        <v>0</v>
      </c>
      <c r="AN33" s="410">
        <v>0</v>
      </c>
      <c r="AO33" s="410">
        <v>0</v>
      </c>
      <c r="AP33" s="410">
        <v>0</v>
      </c>
      <c r="AQ33" s="416">
        <v>2000</v>
      </c>
      <c r="AR33" s="416">
        <v>0</v>
      </c>
      <c r="AS33" s="408"/>
      <c r="AT33" s="417">
        <v>0</v>
      </c>
      <c r="AU33" s="408">
        <v>0</v>
      </c>
      <c r="AV33" s="408">
        <v>0</v>
      </c>
      <c r="AW33" s="418">
        <v>0</v>
      </c>
      <c r="AX33" s="418">
        <v>0</v>
      </c>
      <c r="AY33" s="417">
        <v>0</v>
      </c>
      <c r="AZ33" s="408">
        <v>0</v>
      </c>
      <c r="BA33" s="408">
        <v>0</v>
      </c>
      <c r="BB33" s="408">
        <v>0</v>
      </c>
      <c r="BC33" s="418">
        <v>0</v>
      </c>
      <c r="BD33" s="409">
        <v>0</v>
      </c>
      <c r="BE33" s="408">
        <v>0</v>
      </c>
      <c r="BF33" s="418"/>
      <c r="BG33" s="408">
        <v>0</v>
      </c>
      <c r="BH33" s="417"/>
      <c r="BI33" s="417">
        <v>0</v>
      </c>
      <c r="BJ33" s="419">
        <v>26500.7173</v>
      </c>
      <c r="BK33" s="408">
        <v>0</v>
      </c>
      <c r="BL33" s="413">
        <v>0</v>
      </c>
      <c r="BM33" s="408">
        <v>0</v>
      </c>
      <c r="BN33" s="408">
        <v>0</v>
      </c>
      <c r="BO33" s="408">
        <v>4800</v>
      </c>
      <c r="BP33" s="408">
        <v>0</v>
      </c>
      <c r="BQ33" s="420">
        <v>0</v>
      </c>
      <c r="BR33" s="417">
        <v>0</v>
      </c>
      <c r="BS33" s="419">
        <v>0</v>
      </c>
      <c r="BT33" s="417">
        <v>0</v>
      </c>
      <c r="BU33" s="417">
        <v>0</v>
      </c>
      <c r="BV33" s="418"/>
      <c r="BW33" s="409">
        <v>0</v>
      </c>
      <c r="BX33" s="417">
        <v>0</v>
      </c>
      <c r="BY33" s="408">
        <v>0</v>
      </c>
      <c r="BZ33" s="408"/>
      <c r="CA33" s="408">
        <v>0</v>
      </c>
      <c r="CB33" s="408">
        <v>12702</v>
      </c>
      <c r="CC33" s="417">
        <v>0</v>
      </c>
      <c r="CD33" s="408">
        <v>0</v>
      </c>
      <c r="CE33" s="409">
        <v>0</v>
      </c>
      <c r="CF33" s="408"/>
      <c r="CG33" s="408">
        <v>0</v>
      </c>
      <c r="CH33" s="408">
        <v>0</v>
      </c>
      <c r="CI33" s="418">
        <v>30000</v>
      </c>
      <c r="CJ33" s="408">
        <v>0</v>
      </c>
      <c r="CK33" s="408">
        <v>0</v>
      </c>
      <c r="CL33" s="413">
        <v>0</v>
      </c>
      <c r="CN33" s="422">
        <v>0</v>
      </c>
      <c r="CO33" s="422">
        <v>0</v>
      </c>
      <c r="CP33" s="422">
        <v>0</v>
      </c>
      <c r="CQ33" s="422">
        <v>0</v>
      </c>
    </row>
    <row r="34" spans="1:95">
      <c r="A34" s="404" t="s">
        <v>31</v>
      </c>
      <c r="B34" s="405" t="s">
        <v>649</v>
      </c>
      <c r="C34" s="444">
        <v>1522097.0869927781</v>
      </c>
      <c r="D34" s="444">
        <v>417672.19036385173</v>
      </c>
      <c r="E34" s="444">
        <v>1771528.9066144954</v>
      </c>
      <c r="F34" s="407">
        <v>1366684.9378</v>
      </c>
      <c r="G34" s="444">
        <v>2251327.0836119936</v>
      </c>
      <c r="H34" s="408">
        <v>44987.9231</v>
      </c>
      <c r="I34" s="409">
        <v>551524.96420000005</v>
      </c>
      <c r="J34" s="410">
        <v>554310.35129999998</v>
      </c>
      <c r="K34" s="444">
        <v>176812.98305264267</v>
      </c>
      <c r="L34" s="410">
        <v>399338.72330000001</v>
      </c>
      <c r="M34" s="411">
        <v>174611.7885</v>
      </c>
      <c r="N34" s="408">
        <v>89635.731299999999</v>
      </c>
      <c r="O34" s="444">
        <v>635973.83054414333</v>
      </c>
      <c r="P34" s="408"/>
      <c r="Q34" s="411">
        <v>415641.86540000001</v>
      </c>
      <c r="R34" s="412"/>
      <c r="S34" s="411">
        <v>673365.68550000002</v>
      </c>
      <c r="T34" s="410">
        <v>516787.37760000001</v>
      </c>
      <c r="U34" s="410">
        <v>454339.72899999999</v>
      </c>
      <c r="V34" s="410">
        <v>641296.5379</v>
      </c>
      <c r="W34" s="444">
        <v>419254.3789179069</v>
      </c>
      <c r="X34" s="410">
        <v>322562.25599999999</v>
      </c>
      <c r="Y34" s="410">
        <v>291149.29330000002</v>
      </c>
      <c r="Z34" s="410">
        <v>1088901.8548999999</v>
      </c>
      <c r="AA34" s="409"/>
      <c r="AB34" s="410">
        <v>245563.5129</v>
      </c>
      <c r="AC34" s="413"/>
      <c r="AD34" s="410">
        <v>1094973.2074</v>
      </c>
      <c r="AE34" s="410">
        <v>448326.96629999997</v>
      </c>
      <c r="AF34" s="445">
        <v>760904.07555256924</v>
      </c>
      <c r="AG34" s="415">
        <v>796415</v>
      </c>
      <c r="AH34" s="410">
        <v>621170.44790000003</v>
      </c>
      <c r="AI34" s="444">
        <v>311816.65825179522</v>
      </c>
      <c r="AJ34" s="444">
        <v>711469.07751858048</v>
      </c>
      <c r="AK34" s="410">
        <v>241158.6819</v>
      </c>
      <c r="AL34" s="410">
        <v>305583.95610000001</v>
      </c>
      <c r="AM34" s="411">
        <v>813857.82429999998</v>
      </c>
      <c r="AN34" s="410">
        <v>316081.87660000002</v>
      </c>
      <c r="AO34" s="410">
        <v>498428.62359999999</v>
      </c>
      <c r="AP34" s="410">
        <v>653952.1017</v>
      </c>
      <c r="AQ34" s="416">
        <v>344092.41210000002</v>
      </c>
      <c r="AR34" s="416">
        <v>643615.81790000002</v>
      </c>
      <c r="AS34" s="408"/>
      <c r="AT34" s="417">
        <v>1009665.4740451489</v>
      </c>
      <c r="AU34" s="408">
        <v>291074.7</v>
      </c>
      <c r="AV34" s="446">
        <v>993146.31523341709</v>
      </c>
      <c r="AW34" s="418">
        <v>162557.38620000001</v>
      </c>
      <c r="AX34" s="418">
        <v>139631.62083938197</v>
      </c>
      <c r="AY34" s="417">
        <v>603708.74733978056</v>
      </c>
      <c r="AZ34" s="408">
        <v>413209.7696</v>
      </c>
      <c r="BA34" s="408">
        <v>449080.60820000002</v>
      </c>
      <c r="BB34" s="408">
        <v>829240.74040000001</v>
      </c>
      <c r="BC34" s="418">
        <v>448364.44569999998</v>
      </c>
      <c r="BD34" s="409">
        <v>1918596.071</v>
      </c>
      <c r="BE34" s="408">
        <v>681374.12120000005</v>
      </c>
      <c r="BF34" s="418"/>
      <c r="BG34" s="408">
        <v>270319.40130000003</v>
      </c>
      <c r="BH34" s="417"/>
      <c r="BI34" s="417">
        <v>1097294.9295135215</v>
      </c>
      <c r="BJ34" s="419">
        <v>370808.23259999999</v>
      </c>
      <c r="BK34" s="408">
        <v>417702.23019999999</v>
      </c>
      <c r="BL34" s="413">
        <v>744913.58900000004</v>
      </c>
      <c r="BM34" s="408">
        <v>220652.38680000001</v>
      </c>
      <c r="BN34" s="408">
        <v>609639.12289999996</v>
      </c>
      <c r="BO34" s="408">
        <v>352707.2268</v>
      </c>
      <c r="BP34" s="408">
        <v>287355.40755917935</v>
      </c>
      <c r="BQ34" s="420">
        <v>629281.68169999996</v>
      </c>
      <c r="BR34" s="417">
        <v>570115.41269999999</v>
      </c>
      <c r="BS34" s="419">
        <v>340949.00319999998</v>
      </c>
      <c r="BT34" s="417">
        <v>402725.9928788587</v>
      </c>
      <c r="BU34" s="417">
        <v>242384.77724954381</v>
      </c>
      <c r="BV34" s="418"/>
      <c r="BW34" s="409">
        <v>471661.61969999998</v>
      </c>
      <c r="BX34" s="417">
        <v>334604.81122878345</v>
      </c>
      <c r="BY34" s="408">
        <v>206234</v>
      </c>
      <c r="BZ34" s="408"/>
      <c r="CA34" s="408">
        <v>848233.42447232269</v>
      </c>
      <c r="CB34" s="408">
        <v>376403.10669731832</v>
      </c>
      <c r="CC34" s="417">
        <v>1042202.2525586989</v>
      </c>
      <c r="CD34" s="408">
        <v>729104.63820000004</v>
      </c>
      <c r="CE34" s="409">
        <v>170134.14290000001</v>
      </c>
      <c r="CF34" s="408"/>
      <c r="CG34" s="408">
        <v>845780.51379999996</v>
      </c>
      <c r="CH34" s="408">
        <v>1117840</v>
      </c>
      <c r="CI34" s="418">
        <v>2088674.0937000001</v>
      </c>
      <c r="CJ34" s="408">
        <v>297691.4363</v>
      </c>
      <c r="CK34" s="408">
        <v>1209943.0921</v>
      </c>
      <c r="CL34" s="413">
        <v>449938</v>
      </c>
      <c r="CN34" s="422">
        <v>0</v>
      </c>
      <c r="CO34" s="422">
        <v>0</v>
      </c>
      <c r="CP34" s="422">
        <v>0</v>
      </c>
      <c r="CQ34" s="422">
        <v>89934.048405156354</v>
      </c>
    </row>
    <row r="35" spans="1:95">
      <c r="A35" s="404" t="s">
        <v>33</v>
      </c>
      <c r="B35" s="405" t="s">
        <v>650</v>
      </c>
      <c r="C35" s="444">
        <v>63824.168972848151</v>
      </c>
      <c r="D35" s="444">
        <v>42116.585082843267</v>
      </c>
      <c r="E35" s="444">
        <v>95856.023088697024</v>
      </c>
      <c r="F35" s="407">
        <v>56953.232199999999</v>
      </c>
      <c r="G35" s="444">
        <v>44717.377254516243</v>
      </c>
      <c r="H35" s="408">
        <v>0</v>
      </c>
      <c r="I35" s="409">
        <v>50908.706100000003</v>
      </c>
      <c r="J35" s="410">
        <v>57018.130700000002</v>
      </c>
      <c r="K35" s="444">
        <v>42700.876767596965</v>
      </c>
      <c r="L35" s="410">
        <v>43482.264199999998</v>
      </c>
      <c r="M35" s="411">
        <v>42366.96</v>
      </c>
      <c r="N35" s="408">
        <v>38088.310299999997</v>
      </c>
      <c r="O35" s="444">
        <v>28690.456430319926</v>
      </c>
      <c r="P35" s="408"/>
      <c r="Q35" s="411">
        <v>39412.917200000004</v>
      </c>
      <c r="R35" s="412"/>
      <c r="S35" s="411">
        <v>50037.5239</v>
      </c>
      <c r="T35" s="410">
        <v>32744.911100000001</v>
      </c>
      <c r="U35" s="410">
        <v>39894.366499999996</v>
      </c>
      <c r="V35" s="410">
        <v>33570.747300000003</v>
      </c>
      <c r="W35" s="444">
        <v>33419.988034235481</v>
      </c>
      <c r="X35" s="410">
        <v>44346.546600000001</v>
      </c>
      <c r="Y35" s="410">
        <v>29605.433799999999</v>
      </c>
      <c r="Z35" s="410">
        <v>161626.92989999999</v>
      </c>
      <c r="AA35" s="409"/>
      <c r="AB35" s="410">
        <v>38444.585700000003</v>
      </c>
      <c r="AC35" s="413"/>
      <c r="AD35" s="410">
        <v>168907.7727</v>
      </c>
      <c r="AE35" s="410">
        <v>49983.401599999997</v>
      </c>
      <c r="AF35" s="445">
        <v>95435.407282165179</v>
      </c>
      <c r="AG35" s="415">
        <v>75379</v>
      </c>
      <c r="AH35" s="410">
        <v>30189.048599999998</v>
      </c>
      <c r="AI35" s="444">
        <v>88233.414682410978</v>
      </c>
      <c r="AJ35" s="444">
        <v>69156.983480451803</v>
      </c>
      <c r="AK35" s="410">
        <v>45370.849399999999</v>
      </c>
      <c r="AL35" s="410">
        <v>45810.8125</v>
      </c>
      <c r="AM35" s="411">
        <v>166376.35569999999</v>
      </c>
      <c r="AN35" s="410">
        <v>80554.400500000003</v>
      </c>
      <c r="AO35" s="410">
        <v>40032.171600000001</v>
      </c>
      <c r="AP35" s="410">
        <v>43983.029499999997</v>
      </c>
      <c r="AQ35" s="416">
        <v>39285.605499999998</v>
      </c>
      <c r="AR35" s="416">
        <v>88965.138800000001</v>
      </c>
      <c r="AS35" s="408"/>
      <c r="AT35" s="417">
        <v>218324.01231737161</v>
      </c>
      <c r="AU35" s="408">
        <v>0</v>
      </c>
      <c r="AV35" s="446">
        <v>53593.514035800014</v>
      </c>
      <c r="AW35" s="418">
        <v>39635.597900000001</v>
      </c>
      <c r="AX35" s="418">
        <v>45866.193104848164</v>
      </c>
      <c r="AY35" s="417">
        <v>40114.060235904093</v>
      </c>
      <c r="AZ35" s="408">
        <v>41494.044199999997</v>
      </c>
      <c r="BA35" s="408">
        <v>43176.005100000002</v>
      </c>
      <c r="BB35" s="408">
        <v>30563.168399999999</v>
      </c>
      <c r="BC35" s="418">
        <v>70621.587100000004</v>
      </c>
      <c r="BD35" s="409">
        <v>285217.73499999999</v>
      </c>
      <c r="BE35" s="408">
        <v>64583.770299999996</v>
      </c>
      <c r="BF35" s="418"/>
      <c r="BG35" s="408">
        <v>34828.108399999997</v>
      </c>
      <c r="BH35" s="417"/>
      <c r="BI35" s="417">
        <v>58257.624485016517</v>
      </c>
      <c r="BJ35" s="419">
        <v>77125.42</v>
      </c>
      <c r="BK35" s="408">
        <v>40909.648800000003</v>
      </c>
      <c r="BL35" s="413">
        <v>97650.695500000002</v>
      </c>
      <c r="BM35" s="408">
        <v>42401.880899999996</v>
      </c>
      <c r="BN35" s="408">
        <v>91981.177599999995</v>
      </c>
      <c r="BO35" s="408">
        <v>66238.634399999995</v>
      </c>
      <c r="BP35" s="408">
        <v>45486.341690717498</v>
      </c>
      <c r="BQ35" s="420">
        <v>138767.3371</v>
      </c>
      <c r="BR35" s="417">
        <v>39913.507299999997</v>
      </c>
      <c r="BS35" s="419">
        <v>42410.698199999999</v>
      </c>
      <c r="BT35" s="417">
        <v>43621.854587520509</v>
      </c>
      <c r="BU35" s="417">
        <v>11787.11187043154</v>
      </c>
      <c r="BV35" s="418"/>
      <c r="BW35" s="409">
        <v>85285.1967</v>
      </c>
      <c r="BX35" s="417">
        <v>78372.743420480663</v>
      </c>
      <c r="BY35" s="408">
        <v>27847.59</v>
      </c>
      <c r="BZ35" s="408"/>
      <c r="CA35" s="408">
        <v>84433.30401355034</v>
      </c>
      <c r="CB35" s="408">
        <v>42387.629864611612</v>
      </c>
      <c r="CC35" s="417">
        <v>50117.780410749445</v>
      </c>
      <c r="CD35" s="408">
        <v>35640.267800000001</v>
      </c>
      <c r="CE35" s="409">
        <v>41641.390099999997</v>
      </c>
      <c r="CF35" s="408"/>
      <c r="CG35" s="408">
        <v>142215.98929999999</v>
      </c>
      <c r="CH35" s="408">
        <v>126135</v>
      </c>
      <c r="CI35" s="418">
        <v>189794.397</v>
      </c>
      <c r="CJ35" s="408">
        <v>52910.611799999999</v>
      </c>
      <c r="CK35" s="408">
        <v>163243.52119999999</v>
      </c>
      <c r="CL35" s="413">
        <v>102635</v>
      </c>
      <c r="CN35" s="422">
        <v>0</v>
      </c>
      <c r="CO35" s="422">
        <v>0</v>
      </c>
      <c r="CP35" s="422">
        <v>0</v>
      </c>
      <c r="CQ35" s="422">
        <v>9891</v>
      </c>
    </row>
    <row r="36" spans="1:95">
      <c r="A36" s="404" t="s">
        <v>35</v>
      </c>
      <c r="B36" s="405" t="s">
        <v>651</v>
      </c>
      <c r="C36" s="444">
        <v>122361.53238346038</v>
      </c>
      <c r="D36" s="444">
        <v>81140.311964192981</v>
      </c>
      <c r="E36" s="444">
        <v>177282.40907497614</v>
      </c>
      <c r="F36" s="407">
        <v>257746.26459999999</v>
      </c>
      <c r="G36" s="444">
        <v>116219.26871372953</v>
      </c>
      <c r="H36" s="408">
        <v>29153.874800000001</v>
      </c>
      <c r="I36" s="409">
        <v>207872.106</v>
      </c>
      <c r="J36" s="410">
        <v>144003.52410000001</v>
      </c>
      <c r="K36" s="444">
        <v>37048.693425945654</v>
      </c>
      <c r="L36" s="410">
        <v>67041.816999999995</v>
      </c>
      <c r="M36" s="411">
        <v>44711.060299999997</v>
      </c>
      <c r="N36" s="408">
        <v>69014.931599999996</v>
      </c>
      <c r="O36" s="444">
        <v>119941.12701214661</v>
      </c>
      <c r="P36" s="408"/>
      <c r="Q36" s="411">
        <v>123776.4482</v>
      </c>
      <c r="R36" s="412"/>
      <c r="S36" s="411">
        <v>174835.48199999999</v>
      </c>
      <c r="T36" s="410">
        <v>43518.0769</v>
      </c>
      <c r="U36" s="410">
        <v>121213.68550000001</v>
      </c>
      <c r="V36" s="410">
        <v>129780.13890000001</v>
      </c>
      <c r="W36" s="444">
        <v>86788.795133241627</v>
      </c>
      <c r="X36" s="410">
        <v>63060.1567</v>
      </c>
      <c r="Y36" s="410">
        <v>65052.221899999997</v>
      </c>
      <c r="Z36" s="410">
        <v>132499.27239999999</v>
      </c>
      <c r="AA36" s="409"/>
      <c r="AB36" s="410">
        <v>73125.525299999994</v>
      </c>
      <c r="AC36" s="413"/>
      <c r="AD36" s="410">
        <v>157489.7028</v>
      </c>
      <c r="AE36" s="410">
        <v>88519.053400000004</v>
      </c>
      <c r="AF36" s="445">
        <v>137894.89493773764</v>
      </c>
      <c r="AG36" s="415">
        <v>231638</v>
      </c>
      <c r="AH36" s="410">
        <v>92564.589500000002</v>
      </c>
      <c r="AI36" s="444">
        <v>66225.224588566067</v>
      </c>
      <c r="AJ36" s="444">
        <v>138823.36567634434</v>
      </c>
      <c r="AK36" s="410">
        <v>105936.0325</v>
      </c>
      <c r="AL36" s="410">
        <v>108806.94929999999</v>
      </c>
      <c r="AM36" s="411">
        <v>75903.1054</v>
      </c>
      <c r="AN36" s="410">
        <v>151818.3144</v>
      </c>
      <c r="AO36" s="410">
        <v>80531.554099999994</v>
      </c>
      <c r="AP36" s="410">
        <v>52971.782800000001</v>
      </c>
      <c r="AQ36" s="416">
        <v>66037.725999999995</v>
      </c>
      <c r="AR36" s="416">
        <v>53845.782700000003</v>
      </c>
      <c r="AS36" s="408"/>
      <c r="AT36" s="417">
        <v>184484.94749187323</v>
      </c>
      <c r="AU36" s="408">
        <v>92358</v>
      </c>
      <c r="AV36" s="446">
        <v>106645.55957119996</v>
      </c>
      <c r="AW36" s="418">
        <v>111151.6299</v>
      </c>
      <c r="AX36" s="418">
        <v>43532.335148816186</v>
      </c>
      <c r="AY36" s="417">
        <v>88565.449400390236</v>
      </c>
      <c r="AZ36" s="408">
        <v>134965.8143</v>
      </c>
      <c r="BA36" s="408">
        <v>95163.299299999999</v>
      </c>
      <c r="BB36" s="408">
        <v>157215.4393</v>
      </c>
      <c r="BC36" s="418">
        <v>67341.111000000004</v>
      </c>
      <c r="BD36" s="409">
        <v>274377.2622</v>
      </c>
      <c r="BE36" s="408">
        <v>148370.23480000001</v>
      </c>
      <c r="BF36" s="418"/>
      <c r="BG36" s="408">
        <v>186597.14079999999</v>
      </c>
      <c r="BH36" s="417"/>
      <c r="BI36" s="417">
        <v>194484.67875092244</v>
      </c>
      <c r="BJ36" s="419">
        <v>205978.40770000001</v>
      </c>
      <c r="BK36" s="408">
        <v>113083.42230000001</v>
      </c>
      <c r="BL36" s="413">
        <v>65570.161699999997</v>
      </c>
      <c r="BM36" s="408">
        <v>66853.278999999995</v>
      </c>
      <c r="BN36" s="408">
        <v>159477.32130000001</v>
      </c>
      <c r="BO36" s="408">
        <v>64823.518499999998</v>
      </c>
      <c r="BP36" s="408">
        <v>60851.735584762915</v>
      </c>
      <c r="BQ36" s="420">
        <v>121038.2205</v>
      </c>
      <c r="BR36" s="417">
        <v>101408.5555</v>
      </c>
      <c r="BS36" s="419">
        <v>65703.525599999994</v>
      </c>
      <c r="BT36" s="417">
        <v>67782.319431008422</v>
      </c>
      <c r="BU36" s="417">
        <v>59071.217787234949</v>
      </c>
      <c r="BV36" s="418"/>
      <c r="BW36" s="409">
        <v>76534.341100000005</v>
      </c>
      <c r="BX36" s="417">
        <v>89611.0263916439</v>
      </c>
      <c r="BY36" s="408">
        <v>50827.716500805538</v>
      </c>
      <c r="BZ36" s="408"/>
      <c r="CA36" s="408">
        <v>139089.38125260244</v>
      </c>
      <c r="CB36" s="408">
        <v>155679.72437057662</v>
      </c>
      <c r="CC36" s="417">
        <v>103711.99737480901</v>
      </c>
      <c r="CD36" s="408">
        <v>58923.373599999999</v>
      </c>
      <c r="CE36" s="409">
        <v>56365.708400000003</v>
      </c>
      <c r="CF36" s="408"/>
      <c r="CG36" s="408">
        <v>687801.08250000002</v>
      </c>
      <c r="CH36" s="408">
        <v>505892</v>
      </c>
      <c r="CI36" s="418">
        <v>966807.96880000003</v>
      </c>
      <c r="CJ36" s="408">
        <v>171200.54440000001</v>
      </c>
      <c r="CK36" s="408">
        <v>462265.93119999999</v>
      </c>
      <c r="CL36" s="413">
        <v>518374</v>
      </c>
      <c r="CN36" s="422">
        <v>0</v>
      </c>
      <c r="CO36" s="422">
        <v>0</v>
      </c>
      <c r="CP36" s="422">
        <v>0</v>
      </c>
      <c r="CQ36" s="422">
        <v>42425.470821654075</v>
      </c>
    </row>
    <row r="37" spans="1:95">
      <c r="A37" s="404" t="s">
        <v>37</v>
      </c>
      <c r="B37" s="405" t="s">
        <v>652</v>
      </c>
      <c r="C37" s="444">
        <v>0</v>
      </c>
      <c r="D37" s="444">
        <v>0</v>
      </c>
      <c r="E37" s="444">
        <v>0</v>
      </c>
      <c r="F37" s="407">
        <v>0</v>
      </c>
      <c r="G37" s="444">
        <v>0</v>
      </c>
      <c r="H37" s="408">
        <v>0</v>
      </c>
      <c r="I37" s="409">
        <v>0</v>
      </c>
      <c r="J37" s="410">
        <v>0</v>
      </c>
      <c r="K37" s="444">
        <v>0</v>
      </c>
      <c r="L37" s="410">
        <v>0</v>
      </c>
      <c r="M37" s="411">
        <v>0</v>
      </c>
      <c r="N37" s="408">
        <v>0</v>
      </c>
      <c r="O37" s="444">
        <v>0</v>
      </c>
      <c r="P37" s="408"/>
      <c r="Q37" s="411">
        <v>0</v>
      </c>
      <c r="R37" s="412"/>
      <c r="S37" s="411">
        <v>0</v>
      </c>
      <c r="T37" s="410">
        <v>0</v>
      </c>
      <c r="U37" s="410">
        <v>0</v>
      </c>
      <c r="V37" s="410">
        <v>0</v>
      </c>
      <c r="W37" s="444">
        <v>0</v>
      </c>
      <c r="X37" s="410">
        <v>0</v>
      </c>
      <c r="Y37" s="410">
        <v>0</v>
      </c>
      <c r="Z37" s="410">
        <v>0</v>
      </c>
      <c r="AA37" s="409"/>
      <c r="AB37" s="410">
        <v>0</v>
      </c>
      <c r="AC37" s="413"/>
      <c r="AD37" s="410">
        <v>0</v>
      </c>
      <c r="AE37" s="410">
        <v>0</v>
      </c>
      <c r="AF37" s="445">
        <v>0</v>
      </c>
      <c r="AG37" s="415">
        <v>0</v>
      </c>
      <c r="AH37" s="410">
        <v>0</v>
      </c>
      <c r="AI37" s="444">
        <v>0</v>
      </c>
      <c r="AJ37" s="444">
        <v>0</v>
      </c>
      <c r="AK37" s="410">
        <v>0</v>
      </c>
      <c r="AL37" s="410">
        <v>0</v>
      </c>
      <c r="AM37" s="411">
        <v>87616.944900000002</v>
      </c>
      <c r="AN37" s="410">
        <v>0</v>
      </c>
      <c r="AO37" s="410">
        <v>0</v>
      </c>
      <c r="AP37" s="410">
        <v>0</v>
      </c>
      <c r="AQ37" s="416">
        <v>0</v>
      </c>
      <c r="AR37" s="416">
        <v>0</v>
      </c>
      <c r="AS37" s="408"/>
      <c r="AT37" s="417">
        <v>0</v>
      </c>
      <c r="AU37" s="408">
        <v>0</v>
      </c>
      <c r="AV37" s="408">
        <v>0</v>
      </c>
      <c r="AW37" s="418">
        <v>0</v>
      </c>
      <c r="AX37" s="418">
        <v>0</v>
      </c>
      <c r="AY37" s="417">
        <v>0</v>
      </c>
      <c r="AZ37" s="408">
        <v>0</v>
      </c>
      <c r="BA37" s="408">
        <v>0</v>
      </c>
      <c r="BB37" s="408">
        <v>0</v>
      </c>
      <c r="BC37" s="418">
        <v>0</v>
      </c>
      <c r="BD37" s="409">
        <v>148807.50839999999</v>
      </c>
      <c r="BE37" s="408">
        <v>0</v>
      </c>
      <c r="BF37" s="418"/>
      <c r="BG37" s="408">
        <v>0</v>
      </c>
      <c r="BH37" s="417"/>
      <c r="BI37" s="417">
        <v>0</v>
      </c>
      <c r="BJ37" s="419">
        <v>0</v>
      </c>
      <c r="BK37" s="408">
        <v>0</v>
      </c>
      <c r="BL37" s="413">
        <v>0</v>
      </c>
      <c r="BM37" s="408">
        <v>0</v>
      </c>
      <c r="BN37" s="408">
        <v>0</v>
      </c>
      <c r="BO37" s="408">
        <v>0</v>
      </c>
      <c r="BP37" s="408">
        <v>0</v>
      </c>
      <c r="BQ37" s="420">
        <v>0</v>
      </c>
      <c r="BR37" s="417">
        <v>0</v>
      </c>
      <c r="BS37" s="419">
        <v>0</v>
      </c>
      <c r="BT37" s="417">
        <v>0</v>
      </c>
      <c r="BU37" s="417">
        <v>0</v>
      </c>
      <c r="BV37" s="418"/>
      <c r="BW37" s="409">
        <v>0</v>
      </c>
      <c r="BX37" s="417">
        <v>0</v>
      </c>
      <c r="BY37" s="408">
        <v>0</v>
      </c>
      <c r="BZ37" s="408"/>
      <c r="CA37" s="408">
        <v>0</v>
      </c>
      <c r="CB37" s="408">
        <v>0</v>
      </c>
      <c r="CC37" s="417">
        <v>0</v>
      </c>
      <c r="CD37" s="408">
        <v>0</v>
      </c>
      <c r="CE37" s="409">
        <v>0</v>
      </c>
      <c r="CF37" s="408"/>
      <c r="CG37" s="408">
        <v>197936.11319999999</v>
      </c>
      <c r="CH37" s="408">
        <v>0</v>
      </c>
      <c r="CI37" s="418">
        <v>0</v>
      </c>
      <c r="CJ37" s="408">
        <v>0</v>
      </c>
      <c r="CK37" s="408">
        <v>0</v>
      </c>
      <c r="CL37" s="413">
        <v>87154</v>
      </c>
      <c r="CN37" s="422">
        <v>0</v>
      </c>
      <c r="CO37" s="422">
        <v>0</v>
      </c>
      <c r="CP37" s="422">
        <v>0</v>
      </c>
      <c r="CQ37" s="422">
        <v>0</v>
      </c>
    </row>
    <row r="38" spans="1:95">
      <c r="A38" s="404" t="s">
        <v>39</v>
      </c>
      <c r="B38" s="405" t="s">
        <v>653</v>
      </c>
      <c r="C38" s="444">
        <v>81740.439853833101</v>
      </c>
      <c r="D38" s="444">
        <v>40256.935020601355</v>
      </c>
      <c r="E38" s="444">
        <v>71280.391506394983</v>
      </c>
      <c r="F38" s="407">
        <v>20558.732100000001</v>
      </c>
      <c r="G38" s="444">
        <v>159885.65277772359</v>
      </c>
      <c r="H38" s="408">
        <v>7781.6769999999997</v>
      </c>
      <c r="I38" s="409">
        <v>0</v>
      </c>
      <c r="J38" s="410">
        <v>17476.3675</v>
      </c>
      <c r="K38" s="444">
        <v>20182.864642077249</v>
      </c>
      <c r="L38" s="410">
        <v>47381.616399999999</v>
      </c>
      <c r="M38" s="411">
        <v>13273.938</v>
      </c>
      <c r="N38" s="408">
        <v>3922.5239000000001</v>
      </c>
      <c r="O38" s="444">
        <v>57054.42029544375</v>
      </c>
      <c r="P38" s="408"/>
      <c r="Q38" s="411">
        <v>2475.4153000000001</v>
      </c>
      <c r="R38" s="412"/>
      <c r="S38" s="411">
        <v>13963.1392</v>
      </c>
      <c r="T38" s="410">
        <v>15029.164500000001</v>
      </c>
      <c r="U38" s="410">
        <v>65772.988400000002</v>
      </c>
      <c r="V38" s="410">
        <v>129843.13039999999</v>
      </c>
      <c r="W38" s="444">
        <v>9746.3143296417165</v>
      </c>
      <c r="X38" s="410">
        <v>45101.044699999999</v>
      </c>
      <c r="Y38" s="410">
        <v>72036.724700000006</v>
      </c>
      <c r="Z38" s="410">
        <v>115595.49280000001</v>
      </c>
      <c r="AA38" s="409"/>
      <c r="AB38" s="410">
        <v>18774.910100000001</v>
      </c>
      <c r="AC38" s="413"/>
      <c r="AD38" s="410">
        <v>234144.08369999999</v>
      </c>
      <c r="AE38" s="410">
        <v>21119.723600000001</v>
      </c>
      <c r="AF38" s="445">
        <v>61768.841361990795</v>
      </c>
      <c r="AG38" s="415">
        <v>32891</v>
      </c>
      <c r="AH38" s="410">
        <v>34234.086900000002</v>
      </c>
      <c r="AI38" s="444">
        <v>47805.490722263174</v>
      </c>
      <c r="AJ38" s="444">
        <v>106988.77479169964</v>
      </c>
      <c r="AK38" s="410">
        <v>34368.222000000002</v>
      </c>
      <c r="AL38" s="410">
        <v>25090.930400000001</v>
      </c>
      <c r="AM38" s="411">
        <v>207136.9161</v>
      </c>
      <c r="AN38" s="410">
        <v>35611</v>
      </c>
      <c r="AO38" s="410">
        <v>38928.532399999996</v>
      </c>
      <c r="AP38" s="410">
        <v>82631.117599999998</v>
      </c>
      <c r="AQ38" s="416">
        <v>46830.958700000003</v>
      </c>
      <c r="AR38" s="416">
        <v>72445.952399999995</v>
      </c>
      <c r="AS38" s="408"/>
      <c r="AT38" s="417">
        <v>143188.95037602732</v>
      </c>
      <c r="AU38" s="408">
        <v>32375</v>
      </c>
      <c r="AV38" s="446">
        <v>9232.1578656000002</v>
      </c>
      <c r="AW38" s="418">
        <v>87506.335800000001</v>
      </c>
      <c r="AX38" s="418">
        <v>34298.623218499459</v>
      </c>
      <c r="AY38" s="417">
        <v>185978.90767948737</v>
      </c>
      <c r="AZ38" s="408">
        <v>82835.796300000002</v>
      </c>
      <c r="BA38" s="408">
        <v>29330.749299999999</v>
      </c>
      <c r="BB38" s="408">
        <v>0</v>
      </c>
      <c r="BC38" s="418">
        <v>57532.000500000002</v>
      </c>
      <c r="BD38" s="409">
        <v>257947.5411</v>
      </c>
      <c r="BE38" s="408">
        <v>39111.179499999998</v>
      </c>
      <c r="BF38" s="418"/>
      <c r="BG38" s="408">
        <v>44816.827299999997</v>
      </c>
      <c r="BH38" s="417"/>
      <c r="BI38" s="417">
        <v>77192.084190861919</v>
      </c>
      <c r="BJ38" s="419">
        <v>51078.042099999999</v>
      </c>
      <c r="BK38" s="408">
        <v>500</v>
      </c>
      <c r="BL38" s="413">
        <v>38211.196000000004</v>
      </c>
      <c r="BM38" s="408">
        <v>47317.439200000001</v>
      </c>
      <c r="BN38" s="408">
        <v>109480.38250000001</v>
      </c>
      <c r="BO38" s="408">
        <v>20973.046999999999</v>
      </c>
      <c r="BP38" s="408">
        <v>46430.949397891323</v>
      </c>
      <c r="BQ38" s="420">
        <v>72091.076300000001</v>
      </c>
      <c r="BR38" s="417">
        <v>40075.398399999998</v>
      </c>
      <c r="BS38" s="419">
        <v>5515.9606999999996</v>
      </c>
      <c r="BT38" s="417">
        <v>19297.075366197525</v>
      </c>
      <c r="BU38" s="417">
        <v>71602.478797958436</v>
      </c>
      <c r="BV38" s="418"/>
      <c r="BW38" s="409">
        <v>0</v>
      </c>
      <c r="BX38" s="417">
        <v>36265.97730899298</v>
      </c>
      <c r="BY38" s="408">
        <v>50562.415554379673</v>
      </c>
      <c r="BZ38" s="408"/>
      <c r="CA38" s="408">
        <v>113198.08197754341</v>
      </c>
      <c r="CB38" s="408">
        <v>52339.158468728026</v>
      </c>
      <c r="CC38" s="417">
        <v>125728.81142852508</v>
      </c>
      <c r="CD38" s="408">
        <v>162914.1807</v>
      </c>
      <c r="CE38" s="409">
        <v>61677.423300000002</v>
      </c>
      <c r="CF38" s="408"/>
      <c r="CG38" s="408">
        <v>0</v>
      </c>
      <c r="CH38" s="408">
        <v>55721</v>
      </c>
      <c r="CI38" s="418">
        <v>56860.037100000001</v>
      </c>
      <c r="CJ38" s="408">
        <v>0</v>
      </c>
      <c r="CK38" s="408">
        <v>51144.992700000003</v>
      </c>
      <c r="CL38" s="413">
        <v>3000</v>
      </c>
      <c r="CN38" s="422">
        <v>0</v>
      </c>
      <c r="CO38" s="422">
        <v>0</v>
      </c>
      <c r="CP38" s="422">
        <v>0</v>
      </c>
      <c r="CQ38" s="422">
        <v>0</v>
      </c>
    </row>
    <row r="39" spans="1:95">
      <c r="A39" s="404" t="s">
        <v>41</v>
      </c>
      <c r="B39" s="405" t="s">
        <v>654</v>
      </c>
      <c r="C39" s="444">
        <v>10993.945319727489</v>
      </c>
      <c r="D39" s="444">
        <v>8466.6690970028503</v>
      </c>
      <c r="E39" s="444">
        <v>20924.987897624746</v>
      </c>
      <c r="F39" s="407">
        <v>16295.015600000001</v>
      </c>
      <c r="G39" s="444">
        <v>33394.037174889279</v>
      </c>
      <c r="H39" s="408">
        <v>6197.52</v>
      </c>
      <c r="I39" s="409">
        <v>19154.4463</v>
      </c>
      <c r="J39" s="410">
        <v>4172</v>
      </c>
      <c r="K39" s="444">
        <v>1180</v>
      </c>
      <c r="L39" s="410">
        <v>1300</v>
      </c>
      <c r="M39" s="411">
        <v>4300</v>
      </c>
      <c r="N39" s="408">
        <v>2752</v>
      </c>
      <c r="O39" s="444">
        <v>12341.055616730751</v>
      </c>
      <c r="P39" s="408"/>
      <c r="Q39" s="411">
        <v>2305</v>
      </c>
      <c r="R39" s="412"/>
      <c r="S39" s="411">
        <v>3200</v>
      </c>
      <c r="T39" s="410">
        <v>10457.830099999999</v>
      </c>
      <c r="U39" s="410">
        <v>9265.9868000000006</v>
      </c>
      <c r="V39" s="410">
        <v>14071.5088</v>
      </c>
      <c r="W39" s="444">
        <v>8760</v>
      </c>
      <c r="X39" s="410">
        <v>4350</v>
      </c>
      <c r="Y39" s="410">
        <v>6002.6008000000002</v>
      </c>
      <c r="Z39" s="410">
        <v>13306.5723</v>
      </c>
      <c r="AA39" s="409"/>
      <c r="AB39" s="410">
        <v>9428.5697999999993</v>
      </c>
      <c r="AC39" s="413"/>
      <c r="AD39" s="410">
        <v>21049.2412</v>
      </c>
      <c r="AE39" s="410">
        <v>8071.2954</v>
      </c>
      <c r="AF39" s="447">
        <v>15849.859882373927</v>
      </c>
      <c r="AG39" s="415">
        <v>16685</v>
      </c>
      <c r="AH39" s="410">
        <v>2121</v>
      </c>
      <c r="AI39" s="444">
        <v>7093.8062115088969</v>
      </c>
      <c r="AJ39" s="444">
        <v>10888.461407198087</v>
      </c>
      <c r="AK39" s="410">
        <v>8152.6025</v>
      </c>
      <c r="AL39" s="410">
        <v>13069.9941</v>
      </c>
      <c r="AM39" s="411">
        <v>10775.8369</v>
      </c>
      <c r="AN39" s="410">
        <v>1881</v>
      </c>
      <c r="AO39" s="410">
        <v>1644.44</v>
      </c>
      <c r="AP39" s="410">
        <v>10937.738300000001</v>
      </c>
      <c r="AQ39" s="416">
        <v>12300</v>
      </c>
      <c r="AR39" s="416">
        <v>14067.438</v>
      </c>
      <c r="AS39" s="408"/>
      <c r="AT39" s="417">
        <v>22421.484845784573</v>
      </c>
      <c r="AU39" s="408">
        <v>1168.08</v>
      </c>
      <c r="AV39" s="446">
        <v>49350</v>
      </c>
      <c r="AW39" s="418">
        <v>3161.6</v>
      </c>
      <c r="AX39" s="418">
        <v>0</v>
      </c>
      <c r="AY39" s="417">
        <v>12092.396671294067</v>
      </c>
      <c r="AZ39" s="408">
        <v>9460.7448000000004</v>
      </c>
      <c r="BA39" s="408">
        <v>12587</v>
      </c>
      <c r="BB39" s="408">
        <v>10200</v>
      </c>
      <c r="BC39" s="418">
        <v>6790.4492</v>
      </c>
      <c r="BD39" s="409">
        <v>32417.9964</v>
      </c>
      <c r="BE39" s="408">
        <v>3643</v>
      </c>
      <c r="BF39" s="418"/>
      <c r="BG39" s="408">
        <v>4081</v>
      </c>
      <c r="BH39" s="417"/>
      <c r="BI39" s="417">
        <v>18330.280121002368</v>
      </c>
      <c r="BJ39" s="419">
        <v>7583.76</v>
      </c>
      <c r="BK39" s="408">
        <v>13580</v>
      </c>
      <c r="BL39" s="413">
        <v>4768.68</v>
      </c>
      <c r="BM39" s="408">
        <v>530</v>
      </c>
      <c r="BN39" s="408">
        <v>7326</v>
      </c>
      <c r="BO39" s="408">
        <v>2797.2</v>
      </c>
      <c r="BP39" s="408">
        <v>5000</v>
      </c>
      <c r="BQ39" s="420">
        <v>3289.6441</v>
      </c>
      <c r="BR39" s="417">
        <v>5450</v>
      </c>
      <c r="BS39" s="419">
        <v>755</v>
      </c>
      <c r="BT39" s="417">
        <v>20588</v>
      </c>
      <c r="BU39" s="417">
        <v>7930</v>
      </c>
      <c r="BV39" s="418"/>
      <c r="BW39" s="409">
        <v>4500</v>
      </c>
      <c r="BX39" s="417">
        <v>9681.7174929490793</v>
      </c>
      <c r="BY39" s="408">
        <v>2710</v>
      </c>
      <c r="BZ39" s="408"/>
      <c r="CA39" s="408">
        <v>14434.447610157624</v>
      </c>
      <c r="CB39" s="408">
        <v>7513.2839541316698</v>
      </c>
      <c r="CC39" s="417">
        <v>14696.554968191176</v>
      </c>
      <c r="CD39" s="408">
        <v>13438.133099999999</v>
      </c>
      <c r="CE39" s="409">
        <v>4851.2777999999998</v>
      </c>
      <c r="CF39" s="408"/>
      <c r="CG39" s="408">
        <v>79617.662899999996</v>
      </c>
      <c r="CH39" s="408">
        <v>54875</v>
      </c>
      <c r="CI39" s="418">
        <v>86389.019499999995</v>
      </c>
      <c r="CJ39" s="408">
        <v>10296</v>
      </c>
      <c r="CK39" s="408">
        <v>209453.291</v>
      </c>
      <c r="CL39" s="413">
        <v>34100</v>
      </c>
      <c r="CN39" s="422">
        <v>0</v>
      </c>
      <c r="CO39" s="422">
        <v>0</v>
      </c>
      <c r="CP39" s="422">
        <v>0</v>
      </c>
      <c r="CQ39" s="422">
        <v>550.11595027181011</v>
      </c>
    </row>
    <row r="40" spans="1:95">
      <c r="A40" s="404" t="s">
        <v>43</v>
      </c>
      <c r="B40" s="405" t="s">
        <v>655</v>
      </c>
      <c r="C40" s="444">
        <v>1845</v>
      </c>
      <c r="D40" s="444">
        <v>3250</v>
      </c>
      <c r="E40" s="444">
        <v>13000</v>
      </c>
      <c r="F40" s="407">
        <v>18500</v>
      </c>
      <c r="G40" s="444">
        <v>26700</v>
      </c>
      <c r="H40" s="408">
        <v>3537.36</v>
      </c>
      <c r="I40" s="409">
        <v>8520.2000000000007</v>
      </c>
      <c r="J40" s="410">
        <v>2525</v>
      </c>
      <c r="K40" s="444">
        <v>1850</v>
      </c>
      <c r="L40" s="410">
        <v>860</v>
      </c>
      <c r="M40" s="411">
        <v>3850</v>
      </c>
      <c r="N40" s="408">
        <v>1750</v>
      </c>
      <c r="O40" s="444">
        <v>4985</v>
      </c>
      <c r="P40" s="408"/>
      <c r="Q40" s="411">
        <v>1575</v>
      </c>
      <c r="R40" s="412"/>
      <c r="S40" s="411">
        <v>12050</v>
      </c>
      <c r="T40" s="410">
        <v>3500</v>
      </c>
      <c r="U40" s="410">
        <v>2857</v>
      </c>
      <c r="V40" s="410">
        <v>5500</v>
      </c>
      <c r="W40" s="444">
        <v>2110</v>
      </c>
      <c r="X40" s="410">
        <v>5738</v>
      </c>
      <c r="Y40" s="410">
        <v>5133</v>
      </c>
      <c r="Z40" s="410">
        <v>4580</v>
      </c>
      <c r="AA40" s="409"/>
      <c r="AB40" s="410">
        <v>500</v>
      </c>
      <c r="AC40" s="413"/>
      <c r="AD40" s="410">
        <v>6650</v>
      </c>
      <c r="AE40" s="410">
        <v>500</v>
      </c>
      <c r="AF40" s="447">
        <v>11550</v>
      </c>
      <c r="AG40" s="415">
        <v>4500</v>
      </c>
      <c r="AH40" s="410">
        <v>3600</v>
      </c>
      <c r="AI40" s="444">
        <v>1275</v>
      </c>
      <c r="AJ40" s="444">
        <v>3300</v>
      </c>
      <c r="AK40" s="410">
        <v>750</v>
      </c>
      <c r="AL40" s="410">
        <v>4200</v>
      </c>
      <c r="AM40" s="411">
        <v>4221</v>
      </c>
      <c r="AN40" s="410">
        <v>2700</v>
      </c>
      <c r="AO40" s="410">
        <v>1050</v>
      </c>
      <c r="AP40" s="410">
        <v>2150</v>
      </c>
      <c r="AQ40" s="416">
        <v>4200</v>
      </c>
      <c r="AR40" s="416">
        <v>7702</v>
      </c>
      <c r="AS40" s="408"/>
      <c r="AT40" s="417">
        <v>3000</v>
      </c>
      <c r="AU40" s="408">
        <v>7741</v>
      </c>
      <c r="AV40" s="446">
        <v>24033</v>
      </c>
      <c r="AW40" s="418">
        <v>3400</v>
      </c>
      <c r="AX40" s="418">
        <v>4800</v>
      </c>
      <c r="AY40" s="417">
        <v>1200</v>
      </c>
      <c r="AZ40" s="408">
        <v>5403.9991</v>
      </c>
      <c r="BA40" s="408">
        <v>9100</v>
      </c>
      <c r="BB40" s="408">
        <v>8675</v>
      </c>
      <c r="BC40" s="418">
        <v>3000</v>
      </c>
      <c r="BD40" s="409">
        <v>8951</v>
      </c>
      <c r="BE40" s="408">
        <v>5599.96</v>
      </c>
      <c r="BF40" s="418"/>
      <c r="BG40" s="408">
        <v>2112</v>
      </c>
      <c r="BH40" s="417"/>
      <c r="BI40" s="417">
        <v>5495</v>
      </c>
      <c r="BJ40" s="419">
        <v>11704.72</v>
      </c>
      <c r="BK40" s="408">
        <v>3750</v>
      </c>
      <c r="BL40" s="413">
        <v>6121.2</v>
      </c>
      <c r="BM40" s="408">
        <v>3000</v>
      </c>
      <c r="BN40" s="408">
        <v>6552</v>
      </c>
      <c r="BO40" s="408">
        <v>1590</v>
      </c>
      <c r="BP40" s="408">
        <v>8600</v>
      </c>
      <c r="BQ40" s="420">
        <v>4874.2605999999996</v>
      </c>
      <c r="BR40" s="417">
        <v>4200</v>
      </c>
      <c r="BS40" s="419">
        <v>4600</v>
      </c>
      <c r="BT40" s="417">
        <v>5750</v>
      </c>
      <c r="BU40" s="417">
        <v>4500</v>
      </c>
      <c r="BV40" s="418"/>
      <c r="BW40" s="409">
        <v>7815.4049000000005</v>
      </c>
      <c r="BX40" s="417">
        <v>6650</v>
      </c>
      <c r="BY40" s="408">
        <v>3418</v>
      </c>
      <c r="BZ40" s="408"/>
      <c r="CA40" s="408">
        <v>7800</v>
      </c>
      <c r="CB40" s="408">
        <v>2810</v>
      </c>
      <c r="CC40" s="417">
        <v>3500</v>
      </c>
      <c r="CD40" s="408">
        <v>3901.4837000000002</v>
      </c>
      <c r="CE40" s="409">
        <v>2050</v>
      </c>
      <c r="CF40" s="408"/>
      <c r="CG40" s="408">
        <v>9800</v>
      </c>
      <c r="CH40" s="408">
        <v>11250</v>
      </c>
      <c r="CI40" s="418">
        <v>24283</v>
      </c>
      <c r="CJ40" s="408">
        <v>26000</v>
      </c>
      <c r="CK40" s="408">
        <v>19500</v>
      </c>
      <c r="CL40" s="413">
        <v>20650</v>
      </c>
      <c r="CN40" s="422">
        <v>0</v>
      </c>
      <c r="CO40" s="422">
        <v>0</v>
      </c>
      <c r="CP40" s="422">
        <v>0</v>
      </c>
      <c r="CQ40" s="422">
        <v>450</v>
      </c>
    </row>
    <row r="41" spans="1:95">
      <c r="A41" s="404" t="s">
        <v>45</v>
      </c>
      <c r="B41" s="405" t="s">
        <v>656</v>
      </c>
      <c r="C41" s="444">
        <v>0</v>
      </c>
      <c r="D41" s="444">
        <v>0</v>
      </c>
      <c r="E41" s="444">
        <v>0</v>
      </c>
      <c r="F41" s="407">
        <v>0</v>
      </c>
      <c r="G41" s="444">
        <v>0</v>
      </c>
      <c r="H41" s="408">
        <v>0</v>
      </c>
      <c r="I41" s="409">
        <v>0</v>
      </c>
      <c r="J41" s="410">
        <v>10000</v>
      </c>
      <c r="K41" s="444">
        <v>267</v>
      </c>
      <c r="L41" s="410">
        <v>7500</v>
      </c>
      <c r="M41" s="411">
        <v>269</v>
      </c>
      <c r="N41" s="408">
        <v>314.20080000000002</v>
      </c>
      <c r="O41" s="444">
        <v>689</v>
      </c>
      <c r="P41" s="408"/>
      <c r="Q41" s="411">
        <v>353.73599999999999</v>
      </c>
      <c r="R41" s="412"/>
      <c r="S41" s="411">
        <v>12817</v>
      </c>
      <c r="T41" s="410">
        <v>21035</v>
      </c>
      <c r="U41" s="410">
        <v>20162</v>
      </c>
      <c r="V41" s="410">
        <v>696</v>
      </c>
      <c r="W41" s="444">
        <v>362</v>
      </c>
      <c r="X41" s="410">
        <v>8424</v>
      </c>
      <c r="Y41" s="410">
        <v>340</v>
      </c>
      <c r="Z41" s="410">
        <v>1041</v>
      </c>
      <c r="AA41" s="409"/>
      <c r="AB41" s="410">
        <v>355.98</v>
      </c>
      <c r="AC41" s="413"/>
      <c r="AD41" s="410">
        <v>1047</v>
      </c>
      <c r="AE41" s="410">
        <v>281</v>
      </c>
      <c r="AF41" s="447">
        <v>618</v>
      </c>
      <c r="AG41" s="415">
        <v>682</v>
      </c>
      <c r="AH41" s="410">
        <v>342</v>
      </c>
      <c r="AI41" s="444">
        <v>520</v>
      </c>
      <c r="AJ41" s="444">
        <v>730</v>
      </c>
      <c r="AK41" s="410">
        <v>3364</v>
      </c>
      <c r="AL41" s="410">
        <v>6535</v>
      </c>
      <c r="AM41" s="411">
        <v>699</v>
      </c>
      <c r="AN41" s="410">
        <v>8429</v>
      </c>
      <c r="AO41" s="410">
        <v>0</v>
      </c>
      <c r="AP41" s="410">
        <v>5717</v>
      </c>
      <c r="AQ41" s="416">
        <v>335</v>
      </c>
      <c r="AR41" s="416">
        <v>345</v>
      </c>
      <c r="AS41" s="408"/>
      <c r="AT41" s="417">
        <v>11212</v>
      </c>
      <c r="AU41" s="408">
        <v>0</v>
      </c>
      <c r="AV41" s="446">
        <v>632</v>
      </c>
      <c r="AW41" s="418">
        <v>626</v>
      </c>
      <c r="AX41" s="418">
        <v>1600</v>
      </c>
      <c r="AY41" s="417">
        <v>10696</v>
      </c>
      <c r="AZ41" s="408">
        <v>600.78</v>
      </c>
      <c r="BA41" s="408">
        <v>734.4</v>
      </c>
      <c r="BB41" s="408">
        <v>344</v>
      </c>
      <c r="BC41" s="418">
        <v>349</v>
      </c>
      <c r="BD41" s="409">
        <v>1394</v>
      </c>
      <c r="BE41" s="408">
        <v>641</v>
      </c>
      <c r="BF41" s="418"/>
      <c r="BG41" s="408">
        <v>8181.9762000000001</v>
      </c>
      <c r="BH41" s="417"/>
      <c r="BI41" s="417">
        <v>15205</v>
      </c>
      <c r="BJ41" s="419">
        <v>9821</v>
      </c>
      <c r="BK41" s="408">
        <v>676</v>
      </c>
      <c r="BL41" s="413">
        <v>669</v>
      </c>
      <c r="BM41" s="408">
        <v>2138</v>
      </c>
      <c r="BN41" s="408">
        <v>17980</v>
      </c>
      <c r="BO41" s="408">
        <v>350</v>
      </c>
      <c r="BP41" s="408">
        <v>342</v>
      </c>
      <c r="BQ41" s="420">
        <v>11486.118899999999</v>
      </c>
      <c r="BR41" s="417">
        <v>681</v>
      </c>
      <c r="BS41" s="419">
        <v>347</v>
      </c>
      <c r="BT41" s="417">
        <v>8820</v>
      </c>
      <c r="BU41" s="417">
        <v>342</v>
      </c>
      <c r="BV41" s="418"/>
      <c r="BW41" s="409">
        <v>466</v>
      </c>
      <c r="BX41" s="417">
        <v>350</v>
      </c>
      <c r="BY41" s="408">
        <v>346.94</v>
      </c>
      <c r="BZ41" s="408"/>
      <c r="CA41" s="408">
        <v>755</v>
      </c>
      <c r="CB41" s="408">
        <v>435</v>
      </c>
      <c r="CC41" s="417">
        <v>694</v>
      </c>
      <c r="CD41" s="408">
        <v>651.78</v>
      </c>
      <c r="CE41" s="409">
        <v>339</v>
      </c>
      <c r="CF41" s="408"/>
      <c r="CG41" s="408">
        <v>1283</v>
      </c>
      <c r="CH41" s="408">
        <v>0</v>
      </c>
      <c r="CI41" s="418">
        <v>0</v>
      </c>
      <c r="CJ41" s="408">
        <v>452</v>
      </c>
      <c r="CK41" s="408">
        <v>1557</v>
      </c>
      <c r="CL41" s="413">
        <v>865</v>
      </c>
      <c r="CN41" s="422">
        <v>0</v>
      </c>
      <c r="CO41" s="422">
        <v>0</v>
      </c>
      <c r="CP41" s="422">
        <v>0</v>
      </c>
      <c r="CQ41" s="422">
        <v>0</v>
      </c>
    </row>
    <row r="42" spans="1:95">
      <c r="A42" s="404" t="s">
        <v>47</v>
      </c>
      <c r="B42" s="405" t="s">
        <v>657</v>
      </c>
      <c r="C42" s="444">
        <v>0</v>
      </c>
      <c r="D42" s="444">
        <v>0</v>
      </c>
      <c r="E42" s="444">
        <v>0</v>
      </c>
      <c r="F42" s="407">
        <v>0</v>
      </c>
      <c r="G42" s="444">
        <v>0</v>
      </c>
      <c r="H42" s="408">
        <v>0</v>
      </c>
      <c r="I42" s="409">
        <v>1739.9208000000001</v>
      </c>
      <c r="J42" s="410">
        <v>0</v>
      </c>
      <c r="K42" s="444">
        <v>0</v>
      </c>
      <c r="L42" s="410">
        <v>0</v>
      </c>
      <c r="M42" s="411">
        <v>0</v>
      </c>
      <c r="N42" s="408">
        <v>0</v>
      </c>
      <c r="O42" s="444">
        <v>0</v>
      </c>
      <c r="P42" s="408"/>
      <c r="Q42" s="411">
        <v>0</v>
      </c>
      <c r="R42" s="412"/>
      <c r="S42" s="411">
        <v>0</v>
      </c>
      <c r="T42" s="410">
        <v>0</v>
      </c>
      <c r="U42" s="410">
        <v>0</v>
      </c>
      <c r="V42" s="410">
        <v>0</v>
      </c>
      <c r="W42" s="444">
        <v>0</v>
      </c>
      <c r="X42" s="410">
        <v>0</v>
      </c>
      <c r="Y42" s="410">
        <v>0</v>
      </c>
      <c r="Z42" s="410">
        <v>2188.7415000000001</v>
      </c>
      <c r="AA42" s="409"/>
      <c r="AB42" s="410">
        <v>0</v>
      </c>
      <c r="AC42" s="413"/>
      <c r="AD42" s="410">
        <v>0</v>
      </c>
      <c r="AE42" s="410">
        <v>0</v>
      </c>
      <c r="AF42" s="447">
        <v>0</v>
      </c>
      <c r="AG42" s="415">
        <v>0</v>
      </c>
      <c r="AH42" s="410">
        <v>0</v>
      </c>
      <c r="AI42" s="444">
        <v>0</v>
      </c>
      <c r="AJ42" s="444">
        <v>0</v>
      </c>
      <c r="AK42" s="410">
        <v>0</v>
      </c>
      <c r="AL42" s="410">
        <v>0</v>
      </c>
      <c r="AM42" s="411">
        <v>0</v>
      </c>
      <c r="AN42" s="410">
        <v>916.52480000000003</v>
      </c>
      <c r="AO42" s="410">
        <v>0</v>
      </c>
      <c r="AP42" s="410">
        <v>3127</v>
      </c>
      <c r="AQ42" s="416">
        <v>0</v>
      </c>
      <c r="AR42" s="416">
        <v>0</v>
      </c>
      <c r="AS42" s="408"/>
      <c r="AT42" s="417">
        <v>0</v>
      </c>
      <c r="AU42" s="408">
        <v>8000</v>
      </c>
      <c r="AV42" s="408">
        <v>0</v>
      </c>
      <c r="AW42" s="418">
        <v>0</v>
      </c>
      <c r="AX42" s="418">
        <v>247</v>
      </c>
      <c r="AY42" s="417">
        <v>0</v>
      </c>
      <c r="AZ42" s="408">
        <v>0</v>
      </c>
      <c r="BA42" s="408">
        <v>0</v>
      </c>
      <c r="BB42" s="408">
        <v>0</v>
      </c>
      <c r="BC42" s="418">
        <v>0</v>
      </c>
      <c r="BD42" s="409">
        <v>0</v>
      </c>
      <c r="BE42" s="408">
        <v>0</v>
      </c>
      <c r="BF42" s="418"/>
      <c r="BG42" s="408">
        <v>0</v>
      </c>
      <c r="BH42" s="417"/>
      <c r="BI42" s="417">
        <v>14498</v>
      </c>
      <c r="BJ42" s="419">
        <v>0</v>
      </c>
      <c r="BK42" s="408">
        <v>0</v>
      </c>
      <c r="BL42" s="413">
        <v>0</v>
      </c>
      <c r="BM42" s="408">
        <v>2826</v>
      </c>
      <c r="BN42" s="408">
        <v>0</v>
      </c>
      <c r="BO42" s="408">
        <v>0</v>
      </c>
      <c r="BP42" s="408">
        <v>0</v>
      </c>
      <c r="BQ42" s="420">
        <v>4039.9137999999998</v>
      </c>
      <c r="BR42" s="417">
        <v>0</v>
      </c>
      <c r="BS42" s="419">
        <v>5200</v>
      </c>
      <c r="BT42" s="417">
        <v>0</v>
      </c>
      <c r="BU42" s="417">
        <v>0</v>
      </c>
      <c r="BV42" s="418"/>
      <c r="BW42" s="409">
        <v>0</v>
      </c>
      <c r="BX42" s="417">
        <v>0</v>
      </c>
      <c r="BY42" s="408">
        <v>918</v>
      </c>
      <c r="BZ42" s="408"/>
      <c r="CA42" s="408">
        <v>0</v>
      </c>
      <c r="CB42" s="408">
        <v>0</v>
      </c>
      <c r="CC42" s="417">
        <v>0</v>
      </c>
      <c r="CD42" s="408">
        <v>0</v>
      </c>
      <c r="CE42" s="409">
        <v>5400</v>
      </c>
      <c r="CF42" s="408"/>
      <c r="CG42" s="408">
        <v>0</v>
      </c>
      <c r="CH42" s="408">
        <v>0</v>
      </c>
      <c r="CI42" s="418">
        <v>0</v>
      </c>
      <c r="CJ42" s="408">
        <v>0</v>
      </c>
      <c r="CK42" s="408">
        <v>5000</v>
      </c>
      <c r="CL42" s="413">
        <v>0</v>
      </c>
      <c r="CN42" s="422">
        <v>0</v>
      </c>
      <c r="CO42" s="422">
        <v>0</v>
      </c>
      <c r="CP42" s="422">
        <v>0</v>
      </c>
      <c r="CQ42" s="422">
        <v>0</v>
      </c>
    </row>
    <row r="43" spans="1:95">
      <c r="A43" s="404" t="s">
        <v>49</v>
      </c>
      <c r="B43" s="405" t="s">
        <v>658</v>
      </c>
      <c r="C43" s="444">
        <v>30000</v>
      </c>
      <c r="D43" s="444">
        <v>17000</v>
      </c>
      <c r="E43" s="444">
        <v>42585</v>
      </c>
      <c r="F43" s="407">
        <v>78000</v>
      </c>
      <c r="G43" s="444">
        <v>48395.05</v>
      </c>
      <c r="H43" s="408">
        <v>2956.1232</v>
      </c>
      <c r="I43" s="409">
        <v>5561</v>
      </c>
      <c r="J43" s="410">
        <v>55990</v>
      </c>
      <c r="K43" s="444">
        <v>15000</v>
      </c>
      <c r="L43" s="410">
        <v>32148.799999999999</v>
      </c>
      <c r="M43" s="411">
        <v>15312</v>
      </c>
      <c r="N43" s="408">
        <v>6500</v>
      </c>
      <c r="O43" s="444">
        <v>27638</v>
      </c>
      <c r="P43" s="408"/>
      <c r="Q43" s="411">
        <v>35488.400000000001</v>
      </c>
      <c r="R43" s="412"/>
      <c r="S43" s="411">
        <v>20000</v>
      </c>
      <c r="T43" s="410">
        <v>14496</v>
      </c>
      <c r="U43" s="410">
        <v>41384</v>
      </c>
      <c r="V43" s="410">
        <v>17603</v>
      </c>
      <c r="W43" s="444">
        <v>17525</v>
      </c>
      <c r="X43" s="410">
        <v>20109</v>
      </c>
      <c r="Y43" s="410">
        <v>13787</v>
      </c>
      <c r="Z43" s="410">
        <v>150205.4399</v>
      </c>
      <c r="AA43" s="409"/>
      <c r="AB43" s="410">
        <v>13517.0149</v>
      </c>
      <c r="AC43" s="413"/>
      <c r="AD43" s="410">
        <v>29300</v>
      </c>
      <c r="AE43" s="410">
        <v>13123</v>
      </c>
      <c r="AF43" s="447">
        <v>30000</v>
      </c>
      <c r="AG43" s="415">
        <v>36750</v>
      </c>
      <c r="AH43" s="410">
        <v>28860.588899999999</v>
      </c>
      <c r="AI43" s="444">
        <v>10000</v>
      </c>
      <c r="AJ43" s="444">
        <v>27735</v>
      </c>
      <c r="AK43" s="410">
        <v>10270</v>
      </c>
      <c r="AL43" s="410">
        <v>14150</v>
      </c>
      <c r="AM43" s="411">
        <v>33500</v>
      </c>
      <c r="AN43" s="410">
        <v>17629.995999999999</v>
      </c>
      <c r="AO43" s="410">
        <v>9610</v>
      </c>
      <c r="AP43" s="410">
        <v>20619</v>
      </c>
      <c r="AQ43" s="416">
        <v>16000</v>
      </c>
      <c r="AR43" s="416">
        <v>26328.2</v>
      </c>
      <c r="AS43" s="408"/>
      <c r="AT43" s="417">
        <v>20100</v>
      </c>
      <c r="AU43" s="408">
        <v>15000</v>
      </c>
      <c r="AV43" s="446">
        <v>23690</v>
      </c>
      <c r="AW43" s="418">
        <v>21377</v>
      </c>
      <c r="AX43" s="418">
        <v>12250</v>
      </c>
      <c r="AY43" s="417">
        <v>12500</v>
      </c>
      <c r="AZ43" s="408">
        <v>38250.720000000001</v>
      </c>
      <c r="BA43" s="408">
        <v>77494.84</v>
      </c>
      <c r="BB43" s="408">
        <v>17443.38</v>
      </c>
      <c r="BC43" s="418">
        <v>15070.8161</v>
      </c>
      <c r="BD43" s="409">
        <v>77500</v>
      </c>
      <c r="BE43" s="408">
        <v>72932</v>
      </c>
      <c r="BF43" s="418"/>
      <c r="BG43" s="408">
        <v>28228</v>
      </c>
      <c r="BH43" s="417"/>
      <c r="BI43" s="417">
        <v>43443</v>
      </c>
      <c r="BJ43" s="419">
        <v>28724.48</v>
      </c>
      <c r="BK43" s="408">
        <v>66500</v>
      </c>
      <c r="BL43" s="413">
        <v>32007.5</v>
      </c>
      <c r="BM43" s="408">
        <v>27868</v>
      </c>
      <c r="BN43" s="408">
        <v>39753</v>
      </c>
      <c r="BO43" s="408">
        <v>58452.5</v>
      </c>
      <c r="BP43" s="408">
        <v>35000</v>
      </c>
      <c r="BQ43" s="420">
        <v>21930.961899999998</v>
      </c>
      <c r="BR43" s="417">
        <v>38000</v>
      </c>
      <c r="BS43" s="419">
        <v>9355</v>
      </c>
      <c r="BT43" s="417">
        <v>16500</v>
      </c>
      <c r="BU43" s="417">
        <v>12745</v>
      </c>
      <c r="BV43" s="418"/>
      <c r="BW43" s="409">
        <v>15630</v>
      </c>
      <c r="BX43" s="417">
        <v>23435</v>
      </c>
      <c r="BY43" s="408">
        <v>4896</v>
      </c>
      <c r="BZ43" s="408"/>
      <c r="CA43" s="408">
        <v>35197</v>
      </c>
      <c r="CB43" s="408">
        <v>20795</v>
      </c>
      <c r="CC43" s="417">
        <v>75170</v>
      </c>
      <c r="CD43" s="408">
        <v>18911.059799999999</v>
      </c>
      <c r="CE43" s="409">
        <v>25608</v>
      </c>
      <c r="CF43" s="408"/>
      <c r="CG43" s="408">
        <v>86300</v>
      </c>
      <c r="CH43" s="408">
        <v>79332</v>
      </c>
      <c r="CI43" s="418">
        <v>229999</v>
      </c>
      <c r="CJ43" s="408">
        <v>48790</v>
      </c>
      <c r="CK43" s="408">
        <v>63760</v>
      </c>
      <c r="CL43" s="413">
        <v>100000</v>
      </c>
      <c r="CN43" s="422">
        <v>0</v>
      </c>
      <c r="CO43" s="422">
        <v>0</v>
      </c>
      <c r="CP43" s="422">
        <v>0</v>
      </c>
      <c r="CQ43" s="422">
        <v>4573</v>
      </c>
    </row>
    <row r="44" spans="1:95">
      <c r="A44" s="404" t="s">
        <v>51</v>
      </c>
      <c r="B44" s="405" t="s">
        <v>659</v>
      </c>
      <c r="C44" s="444">
        <v>4500</v>
      </c>
      <c r="D44" s="444">
        <v>17000</v>
      </c>
      <c r="E44" s="444">
        <v>14175</v>
      </c>
      <c r="F44" s="407">
        <v>4360</v>
      </c>
      <c r="G44" s="444">
        <v>3000</v>
      </c>
      <c r="H44" s="408">
        <v>208.08</v>
      </c>
      <c r="I44" s="409">
        <v>1020</v>
      </c>
      <c r="J44" s="410">
        <v>1500</v>
      </c>
      <c r="K44" s="444">
        <v>11218</v>
      </c>
      <c r="L44" s="410">
        <v>3000</v>
      </c>
      <c r="M44" s="411">
        <v>260</v>
      </c>
      <c r="N44" s="408">
        <v>3600</v>
      </c>
      <c r="O44" s="444">
        <v>0</v>
      </c>
      <c r="P44" s="408"/>
      <c r="Q44" s="411">
        <v>3000</v>
      </c>
      <c r="R44" s="412"/>
      <c r="S44" s="411">
        <v>6000</v>
      </c>
      <c r="T44" s="410">
        <v>5419</v>
      </c>
      <c r="U44" s="410">
        <v>5919</v>
      </c>
      <c r="V44" s="410">
        <v>5186</v>
      </c>
      <c r="W44" s="444">
        <v>8000</v>
      </c>
      <c r="X44" s="410">
        <v>3000</v>
      </c>
      <c r="Y44" s="410">
        <v>4303.9957999999997</v>
      </c>
      <c r="Z44" s="410">
        <v>16207.49</v>
      </c>
      <c r="AA44" s="409"/>
      <c r="AB44" s="410">
        <v>5081.8</v>
      </c>
      <c r="AC44" s="413"/>
      <c r="AD44" s="410">
        <v>16106</v>
      </c>
      <c r="AE44" s="410">
        <v>5300</v>
      </c>
      <c r="AF44" s="447">
        <v>11500</v>
      </c>
      <c r="AG44" s="415">
        <v>7200</v>
      </c>
      <c r="AH44" s="410">
        <v>3060.3</v>
      </c>
      <c r="AI44" s="444">
        <v>0</v>
      </c>
      <c r="AJ44" s="444">
        <v>4940</v>
      </c>
      <c r="AK44" s="410">
        <v>2570</v>
      </c>
      <c r="AL44" s="410">
        <v>2500</v>
      </c>
      <c r="AM44" s="411">
        <v>1000</v>
      </c>
      <c r="AN44" s="410">
        <v>1200</v>
      </c>
      <c r="AO44" s="410">
        <v>4800</v>
      </c>
      <c r="AP44" s="410">
        <v>2633</v>
      </c>
      <c r="AQ44" s="416">
        <v>1000</v>
      </c>
      <c r="AR44" s="416">
        <v>16136.04</v>
      </c>
      <c r="AS44" s="408"/>
      <c r="AT44" s="417">
        <v>2000</v>
      </c>
      <c r="AU44" s="408">
        <v>0</v>
      </c>
      <c r="AV44" s="408">
        <v>0</v>
      </c>
      <c r="AW44" s="418">
        <v>150</v>
      </c>
      <c r="AX44" s="418">
        <v>0</v>
      </c>
      <c r="AY44" s="417">
        <v>8500</v>
      </c>
      <c r="AZ44" s="408">
        <v>3600</v>
      </c>
      <c r="BA44" s="408">
        <v>9253</v>
      </c>
      <c r="BB44" s="408">
        <v>4000</v>
      </c>
      <c r="BC44" s="418">
        <v>3850</v>
      </c>
      <c r="BD44" s="409">
        <v>28000</v>
      </c>
      <c r="BE44" s="408">
        <v>53191.38</v>
      </c>
      <c r="BF44" s="418"/>
      <c r="BG44" s="408">
        <v>0</v>
      </c>
      <c r="BH44" s="417"/>
      <c r="BI44" s="417">
        <v>33360</v>
      </c>
      <c r="BJ44" s="419">
        <v>500</v>
      </c>
      <c r="BK44" s="408">
        <v>3375</v>
      </c>
      <c r="BL44" s="413">
        <v>1000</v>
      </c>
      <c r="BM44" s="408">
        <v>0</v>
      </c>
      <c r="BN44" s="408">
        <v>18910</v>
      </c>
      <c r="BO44" s="408">
        <v>3280</v>
      </c>
      <c r="BP44" s="408">
        <v>4740</v>
      </c>
      <c r="BQ44" s="420">
        <v>1574.8541</v>
      </c>
      <c r="BR44" s="417">
        <v>4500</v>
      </c>
      <c r="BS44" s="419">
        <v>1700</v>
      </c>
      <c r="BT44" s="417">
        <v>2000</v>
      </c>
      <c r="BU44" s="417">
        <v>100</v>
      </c>
      <c r="BV44" s="418"/>
      <c r="BW44" s="409">
        <v>7300</v>
      </c>
      <c r="BX44" s="417">
        <v>4000</v>
      </c>
      <c r="BY44" s="408">
        <v>200</v>
      </c>
      <c r="BZ44" s="408"/>
      <c r="CA44" s="408">
        <v>10990</v>
      </c>
      <c r="CB44" s="408">
        <v>800</v>
      </c>
      <c r="CC44" s="417">
        <v>8378</v>
      </c>
      <c r="CD44" s="408">
        <v>4218</v>
      </c>
      <c r="CE44" s="409">
        <v>2160</v>
      </c>
      <c r="CF44" s="408"/>
      <c r="CG44" s="408">
        <v>48500</v>
      </c>
      <c r="CH44" s="408">
        <v>10250</v>
      </c>
      <c r="CI44" s="418">
        <v>30000</v>
      </c>
      <c r="CJ44" s="408">
        <v>0</v>
      </c>
      <c r="CK44" s="408">
        <v>9680</v>
      </c>
      <c r="CL44" s="413">
        <v>6000</v>
      </c>
      <c r="CN44" s="422">
        <v>0</v>
      </c>
      <c r="CO44" s="422">
        <v>0</v>
      </c>
      <c r="CP44" s="422">
        <v>0</v>
      </c>
      <c r="CQ44" s="422">
        <v>0</v>
      </c>
    </row>
    <row r="45" spans="1:95">
      <c r="A45" s="404" t="s">
        <v>53</v>
      </c>
      <c r="B45" s="405" t="s">
        <v>660</v>
      </c>
      <c r="C45" s="444">
        <v>6750</v>
      </c>
      <c r="D45" s="444">
        <v>2500</v>
      </c>
      <c r="E45" s="444">
        <v>6000</v>
      </c>
      <c r="F45" s="407">
        <v>57280</v>
      </c>
      <c r="G45" s="444">
        <v>35600</v>
      </c>
      <c r="H45" s="408">
        <v>208.08</v>
      </c>
      <c r="I45" s="409">
        <v>39650.400000000001</v>
      </c>
      <c r="J45" s="410">
        <v>55989.05</v>
      </c>
      <c r="K45" s="444">
        <v>29008</v>
      </c>
      <c r="L45" s="410">
        <v>42600</v>
      </c>
      <c r="M45" s="411">
        <v>12300</v>
      </c>
      <c r="N45" s="408">
        <v>13500</v>
      </c>
      <c r="O45" s="444">
        <v>74425</v>
      </c>
      <c r="P45" s="408"/>
      <c r="Q45" s="411">
        <v>36125.620000000003</v>
      </c>
      <c r="R45" s="412"/>
      <c r="S45" s="411">
        <v>62564</v>
      </c>
      <c r="T45" s="410">
        <v>45247.172100000003</v>
      </c>
      <c r="U45" s="410">
        <v>56131</v>
      </c>
      <c r="V45" s="410">
        <v>54493</v>
      </c>
      <c r="W45" s="444">
        <v>40000</v>
      </c>
      <c r="X45" s="410">
        <v>28250</v>
      </c>
      <c r="Y45" s="410">
        <v>27406</v>
      </c>
      <c r="Z45" s="410">
        <v>13822.22</v>
      </c>
      <c r="AA45" s="409"/>
      <c r="AB45" s="410">
        <v>26146</v>
      </c>
      <c r="AC45" s="413"/>
      <c r="AD45" s="410">
        <v>5000</v>
      </c>
      <c r="AE45" s="410">
        <v>1725</v>
      </c>
      <c r="AF45" s="447">
        <v>65500</v>
      </c>
      <c r="AG45" s="415">
        <v>75178</v>
      </c>
      <c r="AH45" s="410">
        <v>36573.918599999997</v>
      </c>
      <c r="AI45" s="444">
        <v>3350</v>
      </c>
      <c r="AJ45" s="444">
        <v>65372</v>
      </c>
      <c r="AK45" s="410">
        <v>21830</v>
      </c>
      <c r="AL45" s="410">
        <v>29200</v>
      </c>
      <c r="AM45" s="411">
        <v>3700</v>
      </c>
      <c r="AN45" s="410">
        <v>1546.4994999999999</v>
      </c>
      <c r="AO45" s="410">
        <v>27787.439999999999</v>
      </c>
      <c r="AP45" s="410">
        <v>66950</v>
      </c>
      <c r="AQ45" s="416">
        <v>28300</v>
      </c>
      <c r="AR45" s="416">
        <v>7057.06</v>
      </c>
      <c r="AS45" s="408"/>
      <c r="AT45" s="417">
        <v>11175</v>
      </c>
      <c r="AU45" s="408">
        <v>53244</v>
      </c>
      <c r="AV45" s="446">
        <v>77000</v>
      </c>
      <c r="AW45" s="418">
        <v>43000</v>
      </c>
      <c r="AX45" s="418">
        <v>1100</v>
      </c>
      <c r="AY45" s="417">
        <v>48307.100000000006</v>
      </c>
      <c r="AZ45" s="408">
        <v>51315</v>
      </c>
      <c r="BA45" s="408">
        <v>74353</v>
      </c>
      <c r="BB45" s="408">
        <v>40022</v>
      </c>
      <c r="BC45" s="418">
        <v>1000</v>
      </c>
      <c r="BD45" s="409">
        <v>10400</v>
      </c>
      <c r="BE45" s="408">
        <v>45644</v>
      </c>
      <c r="BF45" s="418"/>
      <c r="BG45" s="408">
        <v>42750</v>
      </c>
      <c r="BH45" s="417"/>
      <c r="BI45" s="417">
        <v>86390</v>
      </c>
      <c r="BJ45" s="419">
        <v>53500</v>
      </c>
      <c r="BK45" s="408">
        <v>37000</v>
      </c>
      <c r="BL45" s="413">
        <v>5561.1</v>
      </c>
      <c r="BM45" s="408">
        <v>2200</v>
      </c>
      <c r="BN45" s="408">
        <v>8240</v>
      </c>
      <c r="BO45" s="408">
        <v>14620</v>
      </c>
      <c r="BP45" s="408">
        <v>25900.000000000004</v>
      </c>
      <c r="BQ45" s="420">
        <v>3520.4964</v>
      </c>
      <c r="BR45" s="417">
        <v>57600</v>
      </c>
      <c r="BS45" s="419">
        <v>25525</v>
      </c>
      <c r="BT45" s="417">
        <v>24105</v>
      </c>
      <c r="BU45" s="417">
        <v>39600</v>
      </c>
      <c r="BV45" s="418"/>
      <c r="BW45" s="409">
        <v>5680</v>
      </c>
      <c r="BX45" s="417">
        <v>3250</v>
      </c>
      <c r="BY45" s="408">
        <v>12106</v>
      </c>
      <c r="BZ45" s="408"/>
      <c r="CA45" s="408">
        <v>29764</v>
      </c>
      <c r="CB45" s="408">
        <v>52666</v>
      </c>
      <c r="CC45" s="417">
        <v>46540</v>
      </c>
      <c r="CD45" s="408">
        <v>58470.48</v>
      </c>
      <c r="CE45" s="409">
        <v>19300</v>
      </c>
      <c r="CF45" s="408"/>
      <c r="CG45" s="408">
        <v>155385</v>
      </c>
      <c r="CH45" s="408">
        <v>101650</v>
      </c>
      <c r="CI45" s="418">
        <v>184700</v>
      </c>
      <c r="CJ45" s="408">
        <v>65500</v>
      </c>
      <c r="CK45" s="408">
        <v>203500</v>
      </c>
      <c r="CL45" s="413">
        <v>82068</v>
      </c>
      <c r="CN45" s="422">
        <v>0</v>
      </c>
      <c r="CO45" s="422">
        <v>0</v>
      </c>
      <c r="CP45" s="422">
        <v>0</v>
      </c>
      <c r="CQ45" s="422">
        <v>5633</v>
      </c>
    </row>
    <row r="46" spans="1:95">
      <c r="A46" s="404" t="s">
        <v>55</v>
      </c>
      <c r="B46" s="405" t="s">
        <v>661</v>
      </c>
      <c r="C46" s="444">
        <v>5700</v>
      </c>
      <c r="D46" s="444">
        <v>1750</v>
      </c>
      <c r="E46" s="444">
        <v>5000</v>
      </c>
      <c r="F46" s="407">
        <v>10500</v>
      </c>
      <c r="G46" s="444">
        <v>9000</v>
      </c>
      <c r="H46" s="408">
        <v>0</v>
      </c>
      <c r="I46" s="409">
        <v>5100</v>
      </c>
      <c r="J46" s="410">
        <v>13199</v>
      </c>
      <c r="K46" s="444">
        <v>6000</v>
      </c>
      <c r="L46" s="410">
        <v>4500</v>
      </c>
      <c r="M46" s="411">
        <v>3000</v>
      </c>
      <c r="N46" s="408">
        <v>4500</v>
      </c>
      <c r="O46" s="444">
        <v>7120</v>
      </c>
      <c r="P46" s="408"/>
      <c r="Q46" s="411">
        <v>3774</v>
      </c>
      <c r="R46" s="412"/>
      <c r="S46" s="411">
        <v>2700</v>
      </c>
      <c r="T46" s="410">
        <v>6732</v>
      </c>
      <c r="U46" s="410">
        <v>11052</v>
      </c>
      <c r="V46" s="410">
        <v>9500</v>
      </c>
      <c r="W46" s="444">
        <v>3000</v>
      </c>
      <c r="X46" s="410">
        <v>3000</v>
      </c>
      <c r="Y46" s="410">
        <v>2300</v>
      </c>
      <c r="Z46" s="410">
        <v>13000</v>
      </c>
      <c r="AA46" s="409"/>
      <c r="AB46" s="410">
        <v>6630</v>
      </c>
      <c r="AC46" s="413"/>
      <c r="AD46" s="410">
        <v>7300</v>
      </c>
      <c r="AE46" s="410">
        <v>7000</v>
      </c>
      <c r="AF46" s="447">
        <v>15000</v>
      </c>
      <c r="AG46" s="415">
        <v>17000</v>
      </c>
      <c r="AH46" s="410">
        <v>3000</v>
      </c>
      <c r="AI46" s="444">
        <v>3500</v>
      </c>
      <c r="AJ46" s="444">
        <v>3500</v>
      </c>
      <c r="AK46" s="410">
        <v>2750</v>
      </c>
      <c r="AL46" s="410">
        <v>4125</v>
      </c>
      <c r="AM46" s="411">
        <v>3500</v>
      </c>
      <c r="AN46" s="410">
        <v>3814.96</v>
      </c>
      <c r="AO46" s="410">
        <v>4080</v>
      </c>
      <c r="AP46" s="410">
        <v>5950</v>
      </c>
      <c r="AQ46" s="416">
        <v>3400</v>
      </c>
      <c r="AR46" s="416">
        <v>4681.8</v>
      </c>
      <c r="AS46" s="408"/>
      <c r="AT46" s="417">
        <v>10000</v>
      </c>
      <c r="AU46" s="408">
        <v>8600</v>
      </c>
      <c r="AV46" s="446">
        <v>3500</v>
      </c>
      <c r="AW46" s="418">
        <v>6240</v>
      </c>
      <c r="AX46" s="418">
        <v>1500</v>
      </c>
      <c r="AY46" s="417">
        <v>4000</v>
      </c>
      <c r="AZ46" s="408">
        <v>13836</v>
      </c>
      <c r="BA46" s="408">
        <v>6372</v>
      </c>
      <c r="BB46" s="408">
        <v>3060</v>
      </c>
      <c r="BC46" s="418">
        <v>3200</v>
      </c>
      <c r="BD46" s="409">
        <v>35000</v>
      </c>
      <c r="BE46" s="408">
        <v>8000</v>
      </c>
      <c r="BF46" s="418"/>
      <c r="BG46" s="408">
        <v>6000</v>
      </c>
      <c r="BH46" s="417"/>
      <c r="BI46" s="417">
        <v>17915</v>
      </c>
      <c r="BJ46" s="419">
        <v>5000</v>
      </c>
      <c r="BK46" s="408">
        <v>4000</v>
      </c>
      <c r="BL46" s="413">
        <v>7992.4</v>
      </c>
      <c r="BM46" s="408">
        <v>2000</v>
      </c>
      <c r="BN46" s="408">
        <v>4850</v>
      </c>
      <c r="BO46" s="408">
        <v>8115.12</v>
      </c>
      <c r="BP46" s="408">
        <v>5000</v>
      </c>
      <c r="BQ46" s="420">
        <v>7728.5654000000004</v>
      </c>
      <c r="BR46" s="417">
        <v>8800</v>
      </c>
      <c r="BS46" s="419">
        <v>5304</v>
      </c>
      <c r="BT46" s="417">
        <v>4000</v>
      </c>
      <c r="BU46" s="417">
        <v>3550</v>
      </c>
      <c r="BV46" s="418"/>
      <c r="BW46" s="409">
        <v>3000</v>
      </c>
      <c r="BX46" s="417">
        <v>6750</v>
      </c>
      <c r="BY46" s="408">
        <v>2500</v>
      </c>
      <c r="BZ46" s="408"/>
      <c r="CA46" s="408">
        <v>13400</v>
      </c>
      <c r="CB46" s="408">
        <v>13500</v>
      </c>
      <c r="CC46" s="417">
        <v>10700</v>
      </c>
      <c r="CD46" s="408">
        <v>5000</v>
      </c>
      <c r="CE46" s="409">
        <v>5000</v>
      </c>
      <c r="CF46" s="408"/>
      <c r="CG46" s="408">
        <v>8500</v>
      </c>
      <c r="CH46" s="408">
        <v>5585</v>
      </c>
      <c r="CI46" s="418">
        <v>21000</v>
      </c>
      <c r="CJ46" s="408">
        <v>600</v>
      </c>
      <c r="CK46" s="408">
        <v>15951</v>
      </c>
      <c r="CL46" s="413">
        <v>25000</v>
      </c>
      <c r="CN46" s="422">
        <v>0</v>
      </c>
      <c r="CO46" s="422">
        <v>0</v>
      </c>
      <c r="CP46" s="422">
        <v>0</v>
      </c>
      <c r="CQ46" s="422">
        <v>3220</v>
      </c>
    </row>
    <row r="47" spans="1:95">
      <c r="A47" s="404" t="s">
        <v>57</v>
      </c>
      <c r="B47" s="405" t="s">
        <v>56</v>
      </c>
      <c r="C47" s="444">
        <v>38000</v>
      </c>
      <c r="D47" s="444">
        <v>22908</v>
      </c>
      <c r="E47" s="444">
        <v>83000</v>
      </c>
      <c r="F47" s="407">
        <v>108922</v>
      </c>
      <c r="G47" s="444">
        <v>77213.850000000006</v>
      </c>
      <c r="H47" s="408">
        <v>0</v>
      </c>
      <c r="I47" s="409">
        <v>51250</v>
      </c>
      <c r="J47" s="410">
        <v>32653</v>
      </c>
      <c r="K47" s="444">
        <v>34000</v>
      </c>
      <c r="L47" s="410">
        <v>51500</v>
      </c>
      <c r="M47" s="411">
        <v>18000</v>
      </c>
      <c r="N47" s="408">
        <v>18475</v>
      </c>
      <c r="O47" s="444">
        <v>108950</v>
      </c>
      <c r="P47" s="408"/>
      <c r="Q47" s="411">
        <v>49144</v>
      </c>
      <c r="R47" s="412"/>
      <c r="S47" s="411">
        <v>54840</v>
      </c>
      <c r="T47" s="410">
        <v>45000</v>
      </c>
      <c r="U47" s="410">
        <v>73440</v>
      </c>
      <c r="V47" s="410">
        <v>43330</v>
      </c>
      <c r="W47" s="444">
        <v>35000</v>
      </c>
      <c r="X47" s="410">
        <v>29000</v>
      </c>
      <c r="Y47" s="410">
        <v>44402</v>
      </c>
      <c r="Z47" s="410">
        <v>165000</v>
      </c>
      <c r="AA47" s="409"/>
      <c r="AB47" s="410">
        <v>34340</v>
      </c>
      <c r="AC47" s="413"/>
      <c r="AD47" s="410">
        <v>109850</v>
      </c>
      <c r="AE47" s="410">
        <v>27000</v>
      </c>
      <c r="AF47" s="447">
        <v>120000</v>
      </c>
      <c r="AG47" s="415">
        <v>91500</v>
      </c>
      <c r="AH47" s="410">
        <v>45497</v>
      </c>
      <c r="AI47" s="444">
        <v>47000</v>
      </c>
      <c r="AJ47" s="444">
        <v>119800</v>
      </c>
      <c r="AK47" s="410">
        <v>33000</v>
      </c>
      <c r="AL47" s="410">
        <v>49500</v>
      </c>
      <c r="AM47" s="411">
        <v>67500</v>
      </c>
      <c r="AN47" s="410">
        <v>21500</v>
      </c>
      <c r="AO47" s="410">
        <v>30399.62</v>
      </c>
      <c r="AP47" s="410">
        <v>61015</v>
      </c>
      <c r="AQ47" s="416">
        <v>26500</v>
      </c>
      <c r="AR47" s="416">
        <v>58262.400000000001</v>
      </c>
      <c r="AS47" s="408"/>
      <c r="AT47" s="417">
        <v>69000</v>
      </c>
      <c r="AU47" s="408">
        <v>30070</v>
      </c>
      <c r="AV47" s="446">
        <v>56000</v>
      </c>
      <c r="AW47" s="418">
        <v>88000</v>
      </c>
      <c r="AX47" s="418">
        <v>18000</v>
      </c>
      <c r="AY47" s="417">
        <v>46000</v>
      </c>
      <c r="AZ47" s="408">
        <v>61568.105499999998</v>
      </c>
      <c r="BA47" s="408">
        <v>65416</v>
      </c>
      <c r="BB47" s="408">
        <v>31560</v>
      </c>
      <c r="BC47" s="418">
        <v>45000</v>
      </c>
      <c r="BD47" s="409">
        <v>183000</v>
      </c>
      <c r="BE47" s="408">
        <v>85000</v>
      </c>
      <c r="BF47" s="418"/>
      <c r="BG47" s="408">
        <v>55000</v>
      </c>
      <c r="BH47" s="417"/>
      <c r="BI47" s="417">
        <v>75688</v>
      </c>
      <c r="BJ47" s="419">
        <v>65000</v>
      </c>
      <c r="BK47" s="408">
        <v>53000</v>
      </c>
      <c r="BL47" s="413">
        <v>72828</v>
      </c>
      <c r="BM47" s="408">
        <v>29000</v>
      </c>
      <c r="BN47" s="408">
        <v>36000</v>
      </c>
      <c r="BO47" s="408">
        <v>59670</v>
      </c>
      <c r="BP47" s="408">
        <v>36000</v>
      </c>
      <c r="BQ47" s="420">
        <v>46369.967600000004</v>
      </c>
      <c r="BR47" s="417">
        <v>49000</v>
      </c>
      <c r="BS47" s="419">
        <v>21220</v>
      </c>
      <c r="BT47" s="417">
        <v>35500</v>
      </c>
      <c r="BU47" s="417">
        <v>49100</v>
      </c>
      <c r="BV47" s="418"/>
      <c r="BW47" s="409">
        <v>44000</v>
      </c>
      <c r="BX47" s="417">
        <v>36630</v>
      </c>
      <c r="BY47" s="408">
        <v>23500</v>
      </c>
      <c r="BZ47" s="408"/>
      <c r="CA47" s="408">
        <v>101500</v>
      </c>
      <c r="CB47" s="408">
        <v>97982</v>
      </c>
      <c r="CC47" s="417">
        <v>200000</v>
      </c>
      <c r="CD47" s="408">
        <v>63000</v>
      </c>
      <c r="CE47" s="409">
        <v>26000</v>
      </c>
      <c r="CF47" s="408"/>
      <c r="CG47" s="408">
        <v>185000</v>
      </c>
      <c r="CH47" s="408">
        <v>141000</v>
      </c>
      <c r="CI47" s="418">
        <v>193200</v>
      </c>
      <c r="CJ47" s="408">
        <v>38000</v>
      </c>
      <c r="CK47" s="408">
        <v>356420</v>
      </c>
      <c r="CL47" s="413">
        <v>150000</v>
      </c>
      <c r="CN47" s="422">
        <v>0</v>
      </c>
      <c r="CO47" s="422">
        <v>0</v>
      </c>
      <c r="CP47" s="422">
        <v>0</v>
      </c>
      <c r="CQ47" s="422">
        <v>19530</v>
      </c>
    </row>
    <row r="48" spans="1:95">
      <c r="A48" s="404" t="s">
        <v>59</v>
      </c>
      <c r="B48" s="405" t="s">
        <v>58</v>
      </c>
      <c r="C48" s="444">
        <v>98052</v>
      </c>
      <c r="D48" s="444">
        <v>0</v>
      </c>
      <c r="E48" s="444">
        <v>0</v>
      </c>
      <c r="F48" s="407">
        <v>0</v>
      </c>
      <c r="G48" s="444">
        <v>0</v>
      </c>
      <c r="H48" s="408">
        <v>0</v>
      </c>
      <c r="I48" s="409">
        <v>0</v>
      </c>
      <c r="J48" s="410">
        <v>14601.6</v>
      </c>
      <c r="K48" s="444">
        <v>3682</v>
      </c>
      <c r="L48" s="410">
        <v>4680</v>
      </c>
      <c r="M48" s="411">
        <v>3001</v>
      </c>
      <c r="N48" s="408">
        <v>5315</v>
      </c>
      <c r="O48" s="444">
        <v>36300</v>
      </c>
      <c r="P48" s="408"/>
      <c r="Q48" s="411">
        <v>9592</v>
      </c>
      <c r="R48" s="412"/>
      <c r="S48" s="411">
        <v>5023</v>
      </c>
      <c r="T48" s="410">
        <v>24100</v>
      </c>
      <c r="U48" s="410">
        <v>24100</v>
      </c>
      <c r="V48" s="410">
        <v>47880</v>
      </c>
      <c r="W48" s="444">
        <v>35743</v>
      </c>
      <c r="X48" s="410">
        <v>5652</v>
      </c>
      <c r="Y48" s="410">
        <v>25244</v>
      </c>
      <c r="Z48" s="410">
        <v>134207.76</v>
      </c>
      <c r="AA48" s="409"/>
      <c r="AB48" s="410">
        <v>25000</v>
      </c>
      <c r="AC48" s="413"/>
      <c r="AD48" s="410">
        <v>62600</v>
      </c>
      <c r="AE48" s="410">
        <v>21150</v>
      </c>
      <c r="AF48" s="447">
        <v>69734</v>
      </c>
      <c r="AG48" s="415">
        <v>28742</v>
      </c>
      <c r="AH48" s="410">
        <v>60857.78</v>
      </c>
      <c r="AI48" s="444">
        <v>40858</v>
      </c>
      <c r="AJ48" s="444">
        <v>51597</v>
      </c>
      <c r="AK48" s="410">
        <v>23451</v>
      </c>
      <c r="AL48" s="410">
        <v>23451</v>
      </c>
      <c r="AM48" s="411">
        <v>30600</v>
      </c>
      <c r="AN48" s="410">
        <v>21000</v>
      </c>
      <c r="AO48" s="410">
        <v>23550</v>
      </c>
      <c r="AP48" s="410">
        <v>31500</v>
      </c>
      <c r="AQ48" s="416">
        <v>4337</v>
      </c>
      <c r="AR48" s="416">
        <v>28200</v>
      </c>
      <c r="AS48" s="408"/>
      <c r="AT48" s="417">
        <v>68309</v>
      </c>
      <c r="AU48" s="408">
        <v>16972</v>
      </c>
      <c r="AV48" s="446">
        <v>38376</v>
      </c>
      <c r="AW48" s="418">
        <v>5772</v>
      </c>
      <c r="AX48" s="418">
        <v>1905</v>
      </c>
      <c r="AY48" s="417">
        <v>36600</v>
      </c>
      <c r="AZ48" s="408">
        <v>19200</v>
      </c>
      <c r="BA48" s="408">
        <v>19200</v>
      </c>
      <c r="BB48" s="408">
        <v>5406</v>
      </c>
      <c r="BC48" s="418">
        <v>36557</v>
      </c>
      <c r="BD48" s="409">
        <v>43299</v>
      </c>
      <c r="BE48" s="408">
        <v>8417</v>
      </c>
      <c r="BF48" s="418"/>
      <c r="BG48" s="408">
        <v>0</v>
      </c>
      <c r="BH48" s="417"/>
      <c r="BI48" s="417">
        <v>56190</v>
      </c>
      <c r="BJ48" s="419">
        <v>14000</v>
      </c>
      <c r="BK48" s="408">
        <v>5834</v>
      </c>
      <c r="BL48" s="413">
        <v>7426</v>
      </c>
      <c r="BM48" s="408">
        <v>3484</v>
      </c>
      <c r="BN48" s="408">
        <v>8095</v>
      </c>
      <c r="BO48" s="408">
        <v>5024.87</v>
      </c>
      <c r="BP48" s="408">
        <v>5694</v>
      </c>
      <c r="BQ48" s="420">
        <v>14477</v>
      </c>
      <c r="BR48" s="417">
        <v>29111</v>
      </c>
      <c r="BS48" s="419">
        <v>4336</v>
      </c>
      <c r="BT48" s="417">
        <v>3994</v>
      </c>
      <c r="BU48" s="417">
        <v>3682</v>
      </c>
      <c r="BV48" s="418"/>
      <c r="BW48" s="409">
        <v>4243</v>
      </c>
      <c r="BX48" s="417">
        <v>30239</v>
      </c>
      <c r="BY48" s="408">
        <v>4992</v>
      </c>
      <c r="BZ48" s="408"/>
      <c r="CA48" s="408">
        <v>63600</v>
      </c>
      <c r="CB48" s="408">
        <v>37500</v>
      </c>
      <c r="CC48" s="417">
        <v>111720</v>
      </c>
      <c r="CD48" s="408">
        <v>41400</v>
      </c>
      <c r="CE48" s="409">
        <v>22904</v>
      </c>
      <c r="CF48" s="408"/>
      <c r="CG48" s="408">
        <v>31090</v>
      </c>
      <c r="CH48" s="408">
        <v>72778</v>
      </c>
      <c r="CI48" s="418">
        <v>64272</v>
      </c>
      <c r="CJ48" s="408">
        <v>14510</v>
      </c>
      <c r="CK48" s="408">
        <v>43730</v>
      </c>
      <c r="CL48" s="413">
        <v>22000</v>
      </c>
      <c r="CN48" s="422">
        <v>0</v>
      </c>
      <c r="CO48" s="422">
        <v>0</v>
      </c>
      <c r="CP48" s="422">
        <v>0</v>
      </c>
      <c r="CQ48" s="422">
        <v>0</v>
      </c>
    </row>
    <row r="49" spans="1:95" ht="15" thickBot="1">
      <c r="A49" s="404" t="s">
        <v>61</v>
      </c>
      <c r="B49" s="405" t="s">
        <v>662</v>
      </c>
      <c r="C49" s="444">
        <v>17550</v>
      </c>
      <c r="D49" s="444">
        <v>4278</v>
      </c>
      <c r="E49" s="444">
        <v>20993</v>
      </c>
      <c r="F49" s="407">
        <v>18632</v>
      </c>
      <c r="G49" s="444">
        <v>30786.6</v>
      </c>
      <c r="H49" s="408">
        <v>100670</v>
      </c>
      <c r="I49" s="409">
        <v>12255</v>
      </c>
      <c r="J49" s="410">
        <v>124244</v>
      </c>
      <c r="K49" s="444">
        <v>8022</v>
      </c>
      <c r="L49" s="410">
        <v>10256.683999999999</v>
      </c>
      <c r="M49" s="411">
        <v>3636</v>
      </c>
      <c r="N49" s="408">
        <v>6656.6220000000003</v>
      </c>
      <c r="O49" s="444">
        <v>18456</v>
      </c>
      <c r="P49" s="408"/>
      <c r="Q49" s="411">
        <v>66700</v>
      </c>
      <c r="R49" s="412"/>
      <c r="S49" s="411">
        <v>15430</v>
      </c>
      <c r="T49" s="410">
        <v>11007</v>
      </c>
      <c r="U49" s="410">
        <v>10401</v>
      </c>
      <c r="V49" s="410">
        <v>19764.9997</v>
      </c>
      <c r="W49" s="444">
        <v>11936</v>
      </c>
      <c r="X49" s="410">
        <v>2886</v>
      </c>
      <c r="Y49" s="410">
        <v>8342</v>
      </c>
      <c r="Z49" s="410">
        <v>34175.263800000001</v>
      </c>
      <c r="AA49" s="409"/>
      <c r="AB49" s="410">
        <v>7959</v>
      </c>
      <c r="AC49" s="413"/>
      <c r="AD49" s="410">
        <v>38880</v>
      </c>
      <c r="AE49" s="410">
        <v>6820</v>
      </c>
      <c r="AF49" s="447">
        <v>24410</v>
      </c>
      <c r="AG49" s="415">
        <v>7450</v>
      </c>
      <c r="AH49" s="410">
        <v>14144.5</v>
      </c>
      <c r="AI49" s="444">
        <v>6204</v>
      </c>
      <c r="AJ49" s="444">
        <v>15988</v>
      </c>
      <c r="AK49" s="410">
        <v>11645</v>
      </c>
      <c r="AL49" s="410">
        <v>14485</v>
      </c>
      <c r="AM49" s="411">
        <v>20732</v>
      </c>
      <c r="AN49" s="410">
        <v>70052.67</v>
      </c>
      <c r="AO49" s="410">
        <v>14707.4</v>
      </c>
      <c r="AP49" s="410">
        <v>9875</v>
      </c>
      <c r="AQ49" s="416">
        <v>13265</v>
      </c>
      <c r="AR49" s="416">
        <v>16630.0157</v>
      </c>
      <c r="AS49" s="408"/>
      <c r="AT49" s="417">
        <v>16360</v>
      </c>
      <c r="AU49" s="408">
        <v>76895</v>
      </c>
      <c r="AV49" s="446">
        <v>10950</v>
      </c>
      <c r="AW49" s="418">
        <v>92245</v>
      </c>
      <c r="AX49" s="418">
        <v>6077.62</v>
      </c>
      <c r="AY49" s="417">
        <v>13050</v>
      </c>
      <c r="AZ49" s="408">
        <v>19499</v>
      </c>
      <c r="BA49" s="408">
        <v>17699</v>
      </c>
      <c r="BB49" s="408">
        <v>67685</v>
      </c>
      <c r="BC49" s="418">
        <v>10837.3</v>
      </c>
      <c r="BD49" s="409">
        <v>55862</v>
      </c>
      <c r="BE49" s="408">
        <v>12170</v>
      </c>
      <c r="BF49" s="418"/>
      <c r="BG49" s="408">
        <v>72759.223599999998</v>
      </c>
      <c r="BH49" s="417"/>
      <c r="BI49" s="417">
        <v>21097.75</v>
      </c>
      <c r="BJ49" s="419">
        <v>10663</v>
      </c>
      <c r="BK49" s="408">
        <v>14475</v>
      </c>
      <c r="BL49" s="413">
        <v>12850</v>
      </c>
      <c r="BM49" s="408">
        <v>6712.0079999999998</v>
      </c>
      <c r="BN49" s="408">
        <v>22494</v>
      </c>
      <c r="BO49" s="408">
        <v>12594.8112</v>
      </c>
      <c r="BP49" s="408">
        <v>10414</v>
      </c>
      <c r="BQ49" s="420">
        <v>17575.934399999998</v>
      </c>
      <c r="BR49" s="417">
        <v>20530</v>
      </c>
      <c r="BS49" s="419">
        <v>10974.2</v>
      </c>
      <c r="BT49" s="417">
        <v>9427</v>
      </c>
      <c r="BU49" s="417">
        <v>10087</v>
      </c>
      <c r="BV49" s="418"/>
      <c r="BW49" s="409">
        <v>13295</v>
      </c>
      <c r="BX49" s="417">
        <v>12488</v>
      </c>
      <c r="BY49" s="408">
        <v>9370</v>
      </c>
      <c r="BZ49" s="408"/>
      <c r="CA49" s="408">
        <v>20179</v>
      </c>
      <c r="CB49" s="408">
        <v>11451</v>
      </c>
      <c r="CC49" s="417">
        <v>17465</v>
      </c>
      <c r="CD49" s="408">
        <v>10664.1</v>
      </c>
      <c r="CE49" s="409">
        <v>12090.1</v>
      </c>
      <c r="CF49" s="408"/>
      <c r="CG49" s="408">
        <v>50284.2</v>
      </c>
      <c r="CH49" s="408">
        <v>38445</v>
      </c>
      <c r="CI49" s="418">
        <v>142500</v>
      </c>
      <c r="CJ49" s="408">
        <v>88415</v>
      </c>
      <c r="CK49" s="408">
        <v>103898</v>
      </c>
      <c r="CL49" s="413">
        <v>50495</v>
      </c>
      <c r="CN49" s="422">
        <v>0</v>
      </c>
      <c r="CO49" s="422">
        <v>0</v>
      </c>
      <c r="CP49" s="422">
        <v>0</v>
      </c>
      <c r="CQ49" s="422">
        <v>3638</v>
      </c>
    </row>
    <row r="50" spans="1:95">
      <c r="A50" s="404" t="s">
        <v>63</v>
      </c>
      <c r="B50" s="405" t="s">
        <v>663</v>
      </c>
      <c r="C50" s="448">
        <v>39250</v>
      </c>
      <c r="D50" s="448">
        <v>18181</v>
      </c>
      <c r="E50" s="448">
        <v>58833</v>
      </c>
      <c r="F50" s="407">
        <v>105090</v>
      </c>
      <c r="G50" s="448">
        <v>93255.25</v>
      </c>
      <c r="H50" s="408">
        <v>18697.060000000001</v>
      </c>
      <c r="I50" s="409">
        <v>48172.980499999998</v>
      </c>
      <c r="J50" s="410">
        <v>205318.71</v>
      </c>
      <c r="K50" s="448">
        <v>69921</v>
      </c>
      <c r="L50" s="410">
        <v>47396.4617</v>
      </c>
      <c r="M50" s="411">
        <v>16479</v>
      </c>
      <c r="N50" s="408">
        <v>38663.199999999997</v>
      </c>
      <c r="O50" s="448">
        <v>72852</v>
      </c>
      <c r="P50" s="408"/>
      <c r="Q50" s="411">
        <v>99632</v>
      </c>
      <c r="R50" s="412"/>
      <c r="S50" s="411">
        <v>93276</v>
      </c>
      <c r="T50" s="410">
        <v>49505</v>
      </c>
      <c r="U50" s="410">
        <v>89234</v>
      </c>
      <c r="V50" s="410">
        <v>103038</v>
      </c>
      <c r="W50" s="448">
        <v>61000</v>
      </c>
      <c r="X50" s="410">
        <v>80536</v>
      </c>
      <c r="Y50" s="410">
        <v>56715</v>
      </c>
      <c r="Z50" s="410">
        <v>107110.65760000001</v>
      </c>
      <c r="AA50" s="409"/>
      <c r="AB50" s="410">
        <v>77884</v>
      </c>
      <c r="AC50" s="413"/>
      <c r="AD50" s="410">
        <v>79470</v>
      </c>
      <c r="AE50" s="410">
        <v>23769.5</v>
      </c>
      <c r="AF50" s="447">
        <v>59360</v>
      </c>
      <c r="AG50" s="415">
        <v>95960</v>
      </c>
      <c r="AH50" s="410">
        <v>26116.301800000001</v>
      </c>
      <c r="AI50" s="448">
        <v>84162</v>
      </c>
      <c r="AJ50" s="448">
        <v>87896</v>
      </c>
      <c r="AK50" s="410">
        <v>16385</v>
      </c>
      <c r="AL50" s="410">
        <v>61037</v>
      </c>
      <c r="AM50" s="411">
        <v>72793</v>
      </c>
      <c r="AN50" s="410">
        <v>73048.66</v>
      </c>
      <c r="AO50" s="410">
        <v>34180.464</v>
      </c>
      <c r="AP50" s="410">
        <v>62600</v>
      </c>
      <c r="AQ50" s="416">
        <v>47750.78</v>
      </c>
      <c r="AR50" s="416">
        <v>97738.909899999999</v>
      </c>
      <c r="AS50" s="408"/>
      <c r="AT50" s="417">
        <v>163580</v>
      </c>
      <c r="AU50" s="408">
        <v>77506.960000000006</v>
      </c>
      <c r="AV50" s="446">
        <v>127000</v>
      </c>
      <c r="AW50" s="418">
        <v>107648.84600000001</v>
      </c>
      <c r="AX50" s="418">
        <v>60871</v>
      </c>
      <c r="AY50" s="417">
        <v>126922.65</v>
      </c>
      <c r="AZ50" s="408">
        <v>74082.34</v>
      </c>
      <c r="BA50" s="408">
        <v>131532.26439999999</v>
      </c>
      <c r="BB50" s="408">
        <v>64151</v>
      </c>
      <c r="BC50" s="418">
        <v>96157.072499999995</v>
      </c>
      <c r="BD50" s="409">
        <v>163360</v>
      </c>
      <c r="BE50" s="408">
        <v>107642.84</v>
      </c>
      <c r="BF50" s="418"/>
      <c r="BG50" s="408">
        <v>106215.3132</v>
      </c>
      <c r="BH50" s="417"/>
      <c r="BI50" s="417">
        <v>95878</v>
      </c>
      <c r="BJ50" s="419">
        <v>112175</v>
      </c>
      <c r="BK50" s="408">
        <v>120200</v>
      </c>
      <c r="BL50" s="413">
        <v>103291.0016</v>
      </c>
      <c r="BM50" s="408">
        <v>50735</v>
      </c>
      <c r="BN50" s="408">
        <v>108779.9994</v>
      </c>
      <c r="BO50" s="408">
        <v>83129.136599999998</v>
      </c>
      <c r="BP50" s="408">
        <v>100347.78571428571</v>
      </c>
      <c r="BQ50" s="420">
        <v>112652.6143</v>
      </c>
      <c r="BR50" s="417">
        <v>110835.5</v>
      </c>
      <c r="BS50" s="419">
        <v>65338.936500000003</v>
      </c>
      <c r="BT50" s="417">
        <v>49960</v>
      </c>
      <c r="BU50" s="417">
        <v>54787</v>
      </c>
      <c r="BV50" s="418"/>
      <c r="BW50" s="409">
        <v>63607.835200000001</v>
      </c>
      <c r="BX50" s="417">
        <v>65280</v>
      </c>
      <c r="BY50" s="408">
        <v>43456</v>
      </c>
      <c r="BZ50" s="408"/>
      <c r="CA50" s="408">
        <v>87223</v>
      </c>
      <c r="CB50" s="408">
        <v>55483</v>
      </c>
      <c r="CC50" s="417">
        <v>92921</v>
      </c>
      <c r="CD50" s="408">
        <v>31110.4035</v>
      </c>
      <c r="CE50" s="409">
        <v>59363.628700000001</v>
      </c>
      <c r="CF50" s="408"/>
      <c r="CG50" s="408">
        <v>282245.42359999998</v>
      </c>
      <c r="CH50" s="408">
        <v>160000</v>
      </c>
      <c r="CI50" s="418">
        <v>225554.64</v>
      </c>
      <c r="CJ50" s="408">
        <v>71413</v>
      </c>
      <c r="CK50" s="408">
        <v>210295.54519999999</v>
      </c>
      <c r="CL50" s="413">
        <v>182626.03649999999</v>
      </c>
      <c r="CN50" s="422">
        <v>0</v>
      </c>
      <c r="CO50" s="422">
        <v>0</v>
      </c>
      <c r="CP50" s="422">
        <v>0</v>
      </c>
      <c r="CQ50" s="422">
        <v>3500</v>
      </c>
    </row>
    <row r="51" spans="1:95">
      <c r="A51" s="404" t="s">
        <v>64</v>
      </c>
      <c r="B51" s="405" t="s">
        <v>664</v>
      </c>
      <c r="C51" s="449">
        <v>14468.666666666668</v>
      </c>
      <c r="D51" s="449">
        <v>6350</v>
      </c>
      <c r="E51" s="449">
        <v>14000</v>
      </c>
      <c r="F51" s="407">
        <v>36995</v>
      </c>
      <c r="G51" s="449">
        <v>27000</v>
      </c>
      <c r="H51" s="408">
        <v>10979.28</v>
      </c>
      <c r="I51" s="409">
        <v>22530</v>
      </c>
      <c r="J51" s="410">
        <v>17615</v>
      </c>
      <c r="K51" s="449">
        <v>13466</v>
      </c>
      <c r="L51" s="410">
        <v>13058.578</v>
      </c>
      <c r="M51" s="411">
        <v>16637</v>
      </c>
      <c r="N51" s="408">
        <v>11016</v>
      </c>
      <c r="O51" s="449">
        <v>9845</v>
      </c>
      <c r="P51" s="408"/>
      <c r="Q51" s="411">
        <v>18632.599999999999</v>
      </c>
      <c r="R51" s="412"/>
      <c r="S51" s="411">
        <v>28400</v>
      </c>
      <c r="T51" s="410">
        <v>15136</v>
      </c>
      <c r="U51" s="410">
        <v>14364</v>
      </c>
      <c r="V51" s="410">
        <v>9219</v>
      </c>
      <c r="W51" s="449">
        <v>23745</v>
      </c>
      <c r="X51" s="410">
        <v>12836</v>
      </c>
      <c r="Y51" s="410">
        <v>8365</v>
      </c>
      <c r="Z51" s="410">
        <v>35385.644</v>
      </c>
      <c r="AA51" s="409"/>
      <c r="AB51" s="410">
        <v>9039.2888000000003</v>
      </c>
      <c r="AC51" s="413"/>
      <c r="AD51" s="410">
        <v>25818</v>
      </c>
      <c r="AE51" s="410">
        <v>15464</v>
      </c>
      <c r="AF51" s="447">
        <v>8341</v>
      </c>
      <c r="AG51" s="415">
        <v>19447</v>
      </c>
      <c r="AH51" s="410">
        <v>20988.4401</v>
      </c>
      <c r="AI51" s="449">
        <v>6580</v>
      </c>
      <c r="AJ51" s="449">
        <v>24630</v>
      </c>
      <c r="AK51" s="410">
        <v>6706</v>
      </c>
      <c r="AL51" s="410">
        <v>15691</v>
      </c>
      <c r="AM51" s="411">
        <v>16400</v>
      </c>
      <c r="AN51" s="410">
        <v>17004</v>
      </c>
      <c r="AO51" s="410">
        <v>9219.9336000000003</v>
      </c>
      <c r="AP51" s="410">
        <v>16500</v>
      </c>
      <c r="AQ51" s="416">
        <v>12855</v>
      </c>
      <c r="AR51" s="416">
        <v>38180</v>
      </c>
      <c r="AS51" s="408"/>
      <c r="AT51" s="417">
        <v>14995</v>
      </c>
      <c r="AU51" s="408">
        <v>18264</v>
      </c>
      <c r="AV51" s="446">
        <v>34220</v>
      </c>
      <c r="AW51" s="418">
        <v>12450</v>
      </c>
      <c r="AX51" s="418">
        <v>9307</v>
      </c>
      <c r="AY51" s="417">
        <v>10125</v>
      </c>
      <c r="AZ51" s="408">
        <v>8600.6995999999999</v>
      </c>
      <c r="BA51" s="408">
        <v>22912.838400000001</v>
      </c>
      <c r="BB51" s="408">
        <v>10080</v>
      </c>
      <c r="BC51" s="418">
        <v>11282</v>
      </c>
      <c r="BD51" s="409">
        <v>20560.099999999999</v>
      </c>
      <c r="BE51" s="408">
        <v>19989.439999999999</v>
      </c>
      <c r="BF51" s="418"/>
      <c r="BG51" s="408">
        <v>5742</v>
      </c>
      <c r="BH51" s="417"/>
      <c r="BI51" s="417">
        <v>15690</v>
      </c>
      <c r="BJ51" s="419">
        <v>15528.080099999999</v>
      </c>
      <c r="BK51" s="408">
        <v>14050</v>
      </c>
      <c r="BL51" s="413">
        <v>21884.1</v>
      </c>
      <c r="BM51" s="408">
        <v>8965</v>
      </c>
      <c r="BN51" s="408">
        <v>19694.817999999999</v>
      </c>
      <c r="BO51" s="408">
        <v>15781</v>
      </c>
      <c r="BP51" s="408">
        <v>12595</v>
      </c>
      <c r="BQ51" s="420">
        <v>19737.150099999999</v>
      </c>
      <c r="BR51" s="417">
        <v>24200</v>
      </c>
      <c r="BS51" s="419">
        <v>9619.2816000000003</v>
      </c>
      <c r="BT51" s="417">
        <v>10048</v>
      </c>
      <c r="BU51" s="417">
        <v>13949</v>
      </c>
      <c r="BV51" s="418"/>
      <c r="BW51" s="409">
        <v>13144.2606</v>
      </c>
      <c r="BX51" s="417">
        <v>21907</v>
      </c>
      <c r="BY51" s="408">
        <v>8000</v>
      </c>
      <c r="BZ51" s="408"/>
      <c r="CA51" s="408">
        <v>13434</v>
      </c>
      <c r="CB51" s="408">
        <v>17910</v>
      </c>
      <c r="CC51" s="417">
        <v>15895</v>
      </c>
      <c r="CD51" s="408">
        <v>21078.504000000001</v>
      </c>
      <c r="CE51" s="409">
        <v>15046.420400000001</v>
      </c>
      <c r="CF51" s="408"/>
      <c r="CG51" s="408">
        <v>78788</v>
      </c>
      <c r="CH51" s="408">
        <v>94471</v>
      </c>
      <c r="CI51" s="418">
        <v>175500</v>
      </c>
      <c r="CJ51" s="408">
        <v>10415</v>
      </c>
      <c r="CK51" s="408">
        <v>86642</v>
      </c>
      <c r="CL51" s="413">
        <v>81050</v>
      </c>
      <c r="CN51" s="422">
        <v>0</v>
      </c>
      <c r="CO51" s="422">
        <v>0</v>
      </c>
      <c r="CP51" s="422">
        <v>0</v>
      </c>
      <c r="CQ51" s="422">
        <v>798</v>
      </c>
    </row>
    <row r="52" spans="1:95">
      <c r="A52" s="404" t="s">
        <v>66</v>
      </c>
      <c r="B52" s="405" t="s">
        <v>665</v>
      </c>
      <c r="C52" s="449">
        <v>0</v>
      </c>
      <c r="D52" s="449">
        <v>0</v>
      </c>
      <c r="E52" s="449">
        <v>1200</v>
      </c>
      <c r="F52" s="407">
        <v>0</v>
      </c>
      <c r="G52" s="449">
        <v>0</v>
      </c>
      <c r="H52" s="408">
        <v>4000</v>
      </c>
      <c r="I52" s="409">
        <v>11000</v>
      </c>
      <c r="J52" s="410">
        <v>0</v>
      </c>
      <c r="K52" s="449">
        <v>0</v>
      </c>
      <c r="L52" s="410">
        <v>0</v>
      </c>
      <c r="M52" s="411">
        <v>0</v>
      </c>
      <c r="N52" s="408">
        <v>0</v>
      </c>
      <c r="O52" s="449">
        <v>0</v>
      </c>
      <c r="P52" s="408"/>
      <c r="Q52" s="411">
        <v>0</v>
      </c>
      <c r="R52" s="412"/>
      <c r="S52" s="411">
        <v>0</v>
      </c>
      <c r="T52" s="410">
        <v>0</v>
      </c>
      <c r="U52" s="410">
        <v>0</v>
      </c>
      <c r="V52" s="410">
        <v>0</v>
      </c>
      <c r="W52" s="449">
        <v>0</v>
      </c>
      <c r="X52" s="410">
        <v>0</v>
      </c>
      <c r="Y52" s="410">
        <v>0</v>
      </c>
      <c r="Z52" s="410">
        <v>0</v>
      </c>
      <c r="AA52" s="409"/>
      <c r="AB52" s="410">
        <v>0</v>
      </c>
      <c r="AC52" s="413"/>
      <c r="AD52" s="410">
        <v>0</v>
      </c>
      <c r="AE52" s="410">
        <v>0</v>
      </c>
      <c r="AF52" s="447">
        <v>0</v>
      </c>
      <c r="AG52" s="415">
        <v>0</v>
      </c>
      <c r="AH52" s="410">
        <v>0</v>
      </c>
      <c r="AI52" s="449">
        <v>0</v>
      </c>
      <c r="AJ52" s="449">
        <v>0</v>
      </c>
      <c r="AK52" s="410">
        <v>0</v>
      </c>
      <c r="AL52" s="410">
        <v>0</v>
      </c>
      <c r="AM52" s="411">
        <v>0</v>
      </c>
      <c r="AN52" s="410">
        <v>0</v>
      </c>
      <c r="AO52" s="410">
        <v>0</v>
      </c>
      <c r="AP52" s="410">
        <v>0</v>
      </c>
      <c r="AQ52" s="416">
        <v>0</v>
      </c>
      <c r="AR52" s="416">
        <v>0</v>
      </c>
      <c r="AS52" s="408"/>
      <c r="AT52" s="417">
        <v>0</v>
      </c>
      <c r="AU52" s="408">
        <v>0</v>
      </c>
      <c r="AV52" s="413">
        <v>0</v>
      </c>
      <c r="AW52" s="418">
        <v>0</v>
      </c>
      <c r="AX52" s="418">
        <v>0</v>
      </c>
      <c r="AY52" s="417">
        <v>0</v>
      </c>
      <c r="AZ52" s="408">
        <v>0</v>
      </c>
      <c r="BA52" s="408">
        <v>0</v>
      </c>
      <c r="BB52" s="408">
        <v>0</v>
      </c>
      <c r="BC52" s="418">
        <v>0</v>
      </c>
      <c r="BD52" s="409">
        <v>0</v>
      </c>
      <c r="BE52" s="408">
        <v>0</v>
      </c>
      <c r="BF52" s="418"/>
      <c r="BG52" s="408">
        <v>0</v>
      </c>
      <c r="BH52" s="417"/>
      <c r="BI52" s="417">
        <v>0</v>
      </c>
      <c r="BJ52" s="419">
        <v>0</v>
      </c>
      <c r="BK52" s="408">
        <v>0</v>
      </c>
      <c r="BL52" s="413">
        <v>0</v>
      </c>
      <c r="BM52" s="408">
        <v>0</v>
      </c>
      <c r="BN52" s="408">
        <v>0</v>
      </c>
      <c r="BO52" s="408">
        <v>0</v>
      </c>
      <c r="BP52" s="408">
        <v>0</v>
      </c>
      <c r="BQ52" s="420">
        <v>0</v>
      </c>
      <c r="BR52" s="417">
        <v>0</v>
      </c>
      <c r="BS52" s="419">
        <v>0</v>
      </c>
      <c r="BT52" s="417">
        <v>0</v>
      </c>
      <c r="BU52" s="417">
        <v>0</v>
      </c>
      <c r="BV52" s="418"/>
      <c r="BW52" s="409">
        <v>0</v>
      </c>
      <c r="BX52" s="417">
        <v>0</v>
      </c>
      <c r="BY52" s="408">
        <v>0</v>
      </c>
      <c r="BZ52" s="408"/>
      <c r="CA52" s="408">
        <v>0</v>
      </c>
      <c r="CB52" s="408">
        <v>0</v>
      </c>
      <c r="CC52" s="417">
        <v>0</v>
      </c>
      <c r="CD52" s="408">
        <v>0</v>
      </c>
      <c r="CE52" s="409">
        <v>0</v>
      </c>
      <c r="CF52" s="408"/>
      <c r="CG52" s="408">
        <v>143663</v>
      </c>
      <c r="CH52" s="408">
        <v>70000</v>
      </c>
      <c r="CI52" s="418">
        <v>248000</v>
      </c>
      <c r="CJ52" s="408">
        <v>38000</v>
      </c>
      <c r="CK52" s="408">
        <v>160000</v>
      </c>
      <c r="CL52" s="413">
        <v>90000</v>
      </c>
      <c r="CN52" s="422">
        <v>0</v>
      </c>
      <c r="CO52" s="422">
        <v>0</v>
      </c>
      <c r="CP52" s="422">
        <v>0</v>
      </c>
      <c r="CQ52" s="422">
        <v>0</v>
      </c>
    </row>
    <row r="53" spans="1:95">
      <c r="A53" s="404" t="s">
        <v>68</v>
      </c>
      <c r="B53" s="405" t="s">
        <v>666</v>
      </c>
      <c r="C53" s="449">
        <v>36749.666666666664</v>
      </c>
      <c r="D53" s="449">
        <v>11000</v>
      </c>
      <c r="E53" s="449">
        <v>10655</v>
      </c>
      <c r="F53" s="407">
        <v>17142.84</v>
      </c>
      <c r="G53" s="449">
        <v>27668</v>
      </c>
      <c r="H53" s="408">
        <v>9648.36</v>
      </c>
      <c r="I53" s="409">
        <v>31220</v>
      </c>
      <c r="J53" s="410">
        <v>12169.5</v>
      </c>
      <c r="K53" s="449">
        <v>10266</v>
      </c>
      <c r="L53" s="410">
        <v>10288.060100000001</v>
      </c>
      <c r="M53" s="411">
        <v>15712</v>
      </c>
      <c r="N53" s="408">
        <v>10184.904</v>
      </c>
      <c r="O53" s="449">
        <v>24110</v>
      </c>
      <c r="P53" s="408"/>
      <c r="Q53" s="411">
        <v>9144</v>
      </c>
      <c r="R53" s="412"/>
      <c r="S53" s="411">
        <v>30479</v>
      </c>
      <c r="T53" s="410">
        <v>11926</v>
      </c>
      <c r="U53" s="410">
        <v>26477</v>
      </c>
      <c r="V53" s="410">
        <v>27756</v>
      </c>
      <c r="W53" s="449">
        <v>10096</v>
      </c>
      <c r="X53" s="410">
        <v>7964</v>
      </c>
      <c r="Y53" s="410">
        <v>10764.86</v>
      </c>
      <c r="Z53" s="410">
        <v>62886.946300000003</v>
      </c>
      <c r="AA53" s="409"/>
      <c r="AB53" s="410">
        <v>9576.2800000000007</v>
      </c>
      <c r="AC53" s="413"/>
      <c r="AD53" s="410">
        <v>32640</v>
      </c>
      <c r="AE53" s="410">
        <v>18855</v>
      </c>
      <c r="AF53" s="447">
        <v>19050</v>
      </c>
      <c r="AG53" s="415">
        <v>18647</v>
      </c>
      <c r="AH53" s="410">
        <v>15364.19</v>
      </c>
      <c r="AI53" s="449">
        <v>11048</v>
      </c>
      <c r="AJ53" s="449">
        <v>17491</v>
      </c>
      <c r="AK53" s="410">
        <v>11052</v>
      </c>
      <c r="AL53" s="410">
        <v>14600</v>
      </c>
      <c r="AM53" s="411">
        <v>23806</v>
      </c>
      <c r="AN53" s="410">
        <v>16945.7</v>
      </c>
      <c r="AO53" s="410">
        <v>7468.7</v>
      </c>
      <c r="AP53" s="410">
        <v>16160</v>
      </c>
      <c r="AQ53" s="416">
        <v>10050</v>
      </c>
      <c r="AR53" s="416">
        <v>26679.101999999999</v>
      </c>
      <c r="AS53" s="408"/>
      <c r="AT53" s="417">
        <v>16200</v>
      </c>
      <c r="AU53" s="408">
        <v>17980</v>
      </c>
      <c r="AV53" s="446">
        <v>3196</v>
      </c>
      <c r="AW53" s="418">
        <v>14825</v>
      </c>
      <c r="AX53" s="418">
        <v>12205.3</v>
      </c>
      <c r="AY53" s="417">
        <v>13585</v>
      </c>
      <c r="AZ53" s="408">
        <v>20416.6001</v>
      </c>
      <c r="BA53" s="408">
        <v>15288.3007</v>
      </c>
      <c r="BB53" s="408">
        <v>19641</v>
      </c>
      <c r="BC53" s="418">
        <v>10967.2</v>
      </c>
      <c r="BD53" s="409">
        <v>64684.6</v>
      </c>
      <c r="BE53" s="408">
        <v>17079.6891</v>
      </c>
      <c r="BF53" s="418"/>
      <c r="BG53" s="408">
        <v>11182</v>
      </c>
      <c r="BH53" s="417"/>
      <c r="BI53" s="417">
        <v>25420</v>
      </c>
      <c r="BJ53" s="419">
        <v>16450</v>
      </c>
      <c r="BK53" s="408">
        <v>12700</v>
      </c>
      <c r="BL53" s="413">
        <v>27772.701300000001</v>
      </c>
      <c r="BM53" s="408">
        <v>6384</v>
      </c>
      <c r="BN53" s="408">
        <v>14900</v>
      </c>
      <c r="BO53" s="408">
        <v>12219</v>
      </c>
      <c r="BP53" s="408">
        <v>14551</v>
      </c>
      <c r="BQ53" s="420">
        <v>15562.281000000001</v>
      </c>
      <c r="BR53" s="417">
        <v>15350</v>
      </c>
      <c r="BS53" s="419">
        <v>10249.040000000001</v>
      </c>
      <c r="BT53" s="417">
        <v>12080</v>
      </c>
      <c r="BU53" s="417">
        <v>12109</v>
      </c>
      <c r="BV53" s="418"/>
      <c r="BW53" s="409">
        <v>12921.321400000001</v>
      </c>
      <c r="BX53" s="417">
        <v>14930</v>
      </c>
      <c r="BY53" s="408">
        <v>12007</v>
      </c>
      <c r="BZ53" s="408"/>
      <c r="CA53" s="408">
        <v>21271</v>
      </c>
      <c r="CB53" s="408">
        <v>12701</v>
      </c>
      <c r="CC53" s="417">
        <v>15354</v>
      </c>
      <c r="CD53" s="408">
        <v>26314.04</v>
      </c>
      <c r="CE53" s="409">
        <v>16559.242999999999</v>
      </c>
      <c r="CF53" s="408"/>
      <c r="CG53" s="408">
        <v>43229</v>
      </c>
      <c r="CH53" s="408">
        <v>32572</v>
      </c>
      <c r="CI53" s="418">
        <v>41400</v>
      </c>
      <c r="CJ53" s="408">
        <v>49426</v>
      </c>
      <c r="CK53" s="408">
        <v>132733.0404</v>
      </c>
      <c r="CL53" s="413">
        <v>69988</v>
      </c>
      <c r="CN53" s="422">
        <v>0</v>
      </c>
      <c r="CO53" s="422">
        <v>0</v>
      </c>
      <c r="CP53" s="422">
        <v>0</v>
      </c>
      <c r="CQ53" s="422">
        <v>8010</v>
      </c>
    </row>
    <row r="54" spans="1:95">
      <c r="A54" s="404" t="s">
        <v>70</v>
      </c>
      <c r="B54" s="405" t="s">
        <v>667</v>
      </c>
      <c r="C54" s="449">
        <v>9000</v>
      </c>
      <c r="D54" s="449">
        <v>2100</v>
      </c>
      <c r="E54" s="449">
        <v>6090</v>
      </c>
      <c r="F54" s="407">
        <v>9511.5</v>
      </c>
      <c r="G54" s="449">
        <v>13300</v>
      </c>
      <c r="H54" s="408">
        <v>400</v>
      </c>
      <c r="I54" s="409">
        <v>4266.6804000000002</v>
      </c>
      <c r="J54" s="410">
        <v>18229.05</v>
      </c>
      <c r="K54" s="449">
        <v>6470.3</v>
      </c>
      <c r="L54" s="410">
        <v>9398.4359999999997</v>
      </c>
      <c r="M54" s="411">
        <v>7424</v>
      </c>
      <c r="N54" s="408">
        <v>7007.0940000000001</v>
      </c>
      <c r="O54" s="449">
        <v>17794</v>
      </c>
      <c r="P54" s="408"/>
      <c r="Q54" s="411">
        <v>16544</v>
      </c>
      <c r="R54" s="412"/>
      <c r="S54" s="411">
        <v>17853</v>
      </c>
      <c r="T54" s="410">
        <v>10823</v>
      </c>
      <c r="U54" s="410">
        <v>14196</v>
      </c>
      <c r="V54" s="410">
        <v>19423</v>
      </c>
      <c r="W54" s="449">
        <v>8914</v>
      </c>
      <c r="X54" s="410">
        <v>12451</v>
      </c>
      <c r="Y54" s="410">
        <v>10427.4</v>
      </c>
      <c r="Z54" s="410">
        <v>29204.314600000002</v>
      </c>
      <c r="AA54" s="409"/>
      <c r="AB54" s="410">
        <v>8403.74</v>
      </c>
      <c r="AC54" s="413"/>
      <c r="AD54" s="410">
        <v>27101</v>
      </c>
      <c r="AE54" s="410">
        <v>7685</v>
      </c>
      <c r="AF54" s="447">
        <v>16011</v>
      </c>
      <c r="AG54" s="415">
        <v>17531</v>
      </c>
      <c r="AH54" s="410">
        <v>8473</v>
      </c>
      <c r="AI54" s="449">
        <v>11974</v>
      </c>
      <c r="AJ54" s="449">
        <v>18902</v>
      </c>
      <c r="AK54" s="410">
        <v>9155</v>
      </c>
      <c r="AL54" s="410">
        <v>13388</v>
      </c>
      <c r="AM54" s="411">
        <v>16380</v>
      </c>
      <c r="AN54" s="410">
        <v>8403</v>
      </c>
      <c r="AO54" s="410">
        <v>4692</v>
      </c>
      <c r="AP54" s="410">
        <v>13261.4064</v>
      </c>
      <c r="AQ54" s="416">
        <v>8310</v>
      </c>
      <c r="AR54" s="416">
        <v>13709</v>
      </c>
      <c r="AS54" s="408"/>
      <c r="AT54" s="417">
        <v>25393</v>
      </c>
      <c r="AU54" s="408">
        <v>5083</v>
      </c>
      <c r="AV54" s="446">
        <v>10206.25</v>
      </c>
      <c r="AW54" s="418">
        <v>5991</v>
      </c>
      <c r="AX54" s="418">
        <v>6093</v>
      </c>
      <c r="AY54" s="417">
        <v>17133</v>
      </c>
      <c r="AZ54" s="408">
        <v>13704</v>
      </c>
      <c r="BA54" s="408">
        <v>18186</v>
      </c>
      <c r="BB54" s="408">
        <v>22065.29</v>
      </c>
      <c r="BC54" s="418">
        <v>9579.4</v>
      </c>
      <c r="BD54" s="409">
        <v>35148</v>
      </c>
      <c r="BE54" s="408">
        <v>17184</v>
      </c>
      <c r="BF54" s="418"/>
      <c r="BG54" s="408">
        <v>5770.14</v>
      </c>
      <c r="BH54" s="417"/>
      <c r="BI54" s="417">
        <v>17769</v>
      </c>
      <c r="BJ54" s="419">
        <v>13720</v>
      </c>
      <c r="BK54" s="408">
        <v>16642</v>
      </c>
      <c r="BL54" s="413">
        <v>17588.3</v>
      </c>
      <c r="BM54" s="408">
        <v>3210</v>
      </c>
      <c r="BN54" s="408">
        <v>18785</v>
      </c>
      <c r="BO54" s="408">
        <v>12277.88</v>
      </c>
      <c r="BP54" s="408">
        <v>9073</v>
      </c>
      <c r="BQ54" s="420">
        <v>23588.507799999999</v>
      </c>
      <c r="BR54" s="417">
        <v>17015</v>
      </c>
      <c r="BS54" s="419">
        <v>8621</v>
      </c>
      <c r="BT54" s="417">
        <v>9406</v>
      </c>
      <c r="BU54" s="417">
        <v>8683</v>
      </c>
      <c r="BV54" s="418"/>
      <c r="BW54" s="409">
        <v>10965</v>
      </c>
      <c r="BX54" s="417">
        <v>10303</v>
      </c>
      <c r="BY54" s="408">
        <v>8105</v>
      </c>
      <c r="BZ54" s="408"/>
      <c r="CA54" s="408">
        <v>16545</v>
      </c>
      <c r="CB54" s="408">
        <v>12229</v>
      </c>
      <c r="CC54" s="417">
        <v>19122</v>
      </c>
      <c r="CD54" s="408">
        <v>14647.2</v>
      </c>
      <c r="CE54" s="409">
        <v>5742</v>
      </c>
      <c r="CF54" s="408"/>
      <c r="CG54" s="408">
        <v>46035</v>
      </c>
      <c r="CH54" s="408">
        <v>20450</v>
      </c>
      <c r="CI54" s="418">
        <v>39650</v>
      </c>
      <c r="CJ54" s="408">
        <v>15021</v>
      </c>
      <c r="CK54" s="408">
        <v>41501</v>
      </c>
      <c r="CL54" s="413">
        <v>34485</v>
      </c>
      <c r="CN54" s="422">
        <v>0</v>
      </c>
      <c r="CO54" s="422">
        <v>0</v>
      </c>
      <c r="CP54" s="422">
        <v>0</v>
      </c>
      <c r="CQ54" s="422">
        <v>1730</v>
      </c>
    </row>
    <row r="55" spans="1:95">
      <c r="A55" s="404" t="s">
        <v>72</v>
      </c>
      <c r="B55" s="405" t="s">
        <v>668</v>
      </c>
      <c r="C55" s="449">
        <v>0</v>
      </c>
      <c r="D55" s="449">
        <v>2650</v>
      </c>
      <c r="E55" s="449">
        <v>67700</v>
      </c>
      <c r="F55" s="407">
        <v>0</v>
      </c>
      <c r="G55" s="449">
        <v>79799</v>
      </c>
      <c r="H55" s="408">
        <v>171.36</v>
      </c>
      <c r="I55" s="409">
        <v>3500</v>
      </c>
      <c r="J55" s="410">
        <v>2000</v>
      </c>
      <c r="K55" s="449">
        <v>3620</v>
      </c>
      <c r="L55" s="410">
        <v>7710</v>
      </c>
      <c r="M55" s="411">
        <v>4275</v>
      </c>
      <c r="N55" s="408">
        <v>9300</v>
      </c>
      <c r="O55" s="449">
        <v>14713</v>
      </c>
      <c r="P55" s="408"/>
      <c r="Q55" s="411">
        <v>0</v>
      </c>
      <c r="R55" s="412"/>
      <c r="S55" s="411">
        <v>55000</v>
      </c>
      <c r="T55" s="410">
        <v>8964</v>
      </c>
      <c r="U55" s="410">
        <v>7518</v>
      </c>
      <c r="V55" s="410">
        <v>19937</v>
      </c>
      <c r="W55" s="449">
        <v>7000</v>
      </c>
      <c r="X55" s="410">
        <v>5269</v>
      </c>
      <c r="Y55" s="410">
        <v>18281</v>
      </c>
      <c r="Z55" s="410">
        <v>30715.9935</v>
      </c>
      <c r="AA55" s="409"/>
      <c r="AB55" s="410">
        <v>1800</v>
      </c>
      <c r="AC55" s="413"/>
      <c r="AD55" s="410">
        <v>16627.400000000001</v>
      </c>
      <c r="AE55" s="410">
        <v>1552</v>
      </c>
      <c r="AF55" s="447">
        <v>6500</v>
      </c>
      <c r="AG55" s="415">
        <v>8050</v>
      </c>
      <c r="AH55" s="410">
        <v>2300</v>
      </c>
      <c r="AI55" s="449">
        <v>4500</v>
      </c>
      <c r="AJ55" s="449">
        <v>0</v>
      </c>
      <c r="AK55" s="410">
        <v>0</v>
      </c>
      <c r="AL55" s="410">
        <v>11088</v>
      </c>
      <c r="AM55" s="411">
        <v>18523.55</v>
      </c>
      <c r="AN55" s="410">
        <v>1292.1199999999999</v>
      </c>
      <c r="AO55" s="410">
        <v>2400</v>
      </c>
      <c r="AP55" s="410">
        <v>1800</v>
      </c>
      <c r="AQ55" s="416">
        <v>10400</v>
      </c>
      <c r="AR55" s="416">
        <v>11674.2</v>
      </c>
      <c r="AS55" s="408"/>
      <c r="AT55" s="417">
        <v>750</v>
      </c>
      <c r="AU55" s="408">
        <v>2499.96</v>
      </c>
      <c r="AV55" s="446">
        <v>2500</v>
      </c>
      <c r="AW55" s="418">
        <v>42774</v>
      </c>
      <c r="AX55" s="418">
        <v>3645.85</v>
      </c>
      <c r="AY55" s="417">
        <v>15150</v>
      </c>
      <c r="AZ55" s="408">
        <v>1020</v>
      </c>
      <c r="BA55" s="408">
        <v>0</v>
      </c>
      <c r="BB55" s="408">
        <v>393</v>
      </c>
      <c r="BC55" s="418">
        <v>25600</v>
      </c>
      <c r="BD55" s="409">
        <v>47284</v>
      </c>
      <c r="BE55" s="408">
        <v>8800</v>
      </c>
      <c r="BF55" s="418"/>
      <c r="BG55" s="408">
        <v>7110</v>
      </c>
      <c r="BH55" s="417"/>
      <c r="BI55" s="417">
        <v>10000</v>
      </c>
      <c r="BJ55" s="419">
        <v>13837</v>
      </c>
      <c r="BK55" s="408">
        <v>700</v>
      </c>
      <c r="BL55" s="413">
        <v>12340.5</v>
      </c>
      <c r="BM55" s="408">
        <v>9020</v>
      </c>
      <c r="BN55" s="408">
        <v>40959</v>
      </c>
      <c r="BO55" s="408">
        <v>11267</v>
      </c>
      <c r="BP55" s="408">
        <v>5050</v>
      </c>
      <c r="BQ55" s="420">
        <v>40520.063399999999</v>
      </c>
      <c r="BR55" s="417">
        <v>1050</v>
      </c>
      <c r="BS55" s="419">
        <v>80</v>
      </c>
      <c r="BT55" s="417">
        <v>4150</v>
      </c>
      <c r="BU55" s="417">
        <v>17675</v>
      </c>
      <c r="BV55" s="418"/>
      <c r="BW55" s="409">
        <v>15700</v>
      </c>
      <c r="BX55" s="417">
        <v>5785</v>
      </c>
      <c r="BY55" s="408">
        <v>14000</v>
      </c>
      <c r="BZ55" s="408"/>
      <c r="CA55" s="408">
        <v>21116</v>
      </c>
      <c r="CB55" s="408">
        <v>12600</v>
      </c>
      <c r="CC55" s="417">
        <v>8800</v>
      </c>
      <c r="CD55" s="408">
        <v>15700.5</v>
      </c>
      <c r="CE55" s="409">
        <v>18290</v>
      </c>
      <c r="CF55" s="408"/>
      <c r="CG55" s="408">
        <v>0</v>
      </c>
      <c r="CH55" s="408">
        <v>0</v>
      </c>
      <c r="CI55" s="418">
        <v>0</v>
      </c>
      <c r="CJ55" s="408">
        <v>0</v>
      </c>
      <c r="CK55" s="408">
        <v>1101</v>
      </c>
      <c r="CL55" s="413">
        <v>7000</v>
      </c>
      <c r="CN55" s="422">
        <v>0</v>
      </c>
      <c r="CO55" s="422">
        <v>0</v>
      </c>
      <c r="CP55" s="422">
        <v>0</v>
      </c>
      <c r="CQ55" s="422">
        <v>0</v>
      </c>
    </row>
    <row r="56" spans="1:95">
      <c r="A56" s="404" t="s">
        <v>74</v>
      </c>
      <c r="B56" s="405" t="s">
        <v>669</v>
      </c>
      <c r="C56" s="449">
        <v>6000</v>
      </c>
      <c r="D56" s="449">
        <v>22166</v>
      </c>
      <c r="E56" s="449">
        <v>30800</v>
      </c>
      <c r="F56" s="407">
        <v>56614.400000000001</v>
      </c>
      <c r="G56" s="449">
        <v>42505.678571428522</v>
      </c>
      <c r="H56" s="408">
        <v>1910.1744000000001</v>
      </c>
      <c r="I56" s="409">
        <v>35000</v>
      </c>
      <c r="J56" s="410">
        <v>252362.1</v>
      </c>
      <c r="K56" s="449">
        <v>70963.67857142858</v>
      </c>
      <c r="L56" s="410">
        <v>76200</v>
      </c>
      <c r="M56" s="411">
        <v>61810</v>
      </c>
      <c r="N56" s="408">
        <v>48620</v>
      </c>
      <c r="O56" s="449">
        <v>149308</v>
      </c>
      <c r="P56" s="408"/>
      <c r="Q56" s="411">
        <v>31792</v>
      </c>
      <c r="R56" s="412"/>
      <c r="S56" s="411">
        <v>157982</v>
      </c>
      <c r="T56" s="410">
        <v>105539</v>
      </c>
      <c r="U56" s="410">
        <v>140025</v>
      </c>
      <c r="V56" s="410">
        <v>164902</v>
      </c>
      <c r="W56" s="449">
        <v>81824.5</v>
      </c>
      <c r="X56" s="410">
        <v>82394</v>
      </c>
      <c r="Y56" s="410">
        <v>78566</v>
      </c>
      <c r="Z56" s="410">
        <v>256444.33199999999</v>
      </c>
      <c r="AA56" s="409"/>
      <c r="AB56" s="410">
        <v>69243.375</v>
      </c>
      <c r="AC56" s="413"/>
      <c r="AD56" s="410">
        <v>278500</v>
      </c>
      <c r="AE56" s="410">
        <v>63422</v>
      </c>
      <c r="AF56" s="447">
        <v>149168</v>
      </c>
      <c r="AG56" s="415">
        <v>166938</v>
      </c>
      <c r="AH56" s="410">
        <v>84402.75</v>
      </c>
      <c r="AI56" s="449">
        <v>152812</v>
      </c>
      <c r="AJ56" s="449">
        <v>152000</v>
      </c>
      <c r="AK56" s="410">
        <v>72575.3</v>
      </c>
      <c r="AL56" s="410">
        <v>117247</v>
      </c>
      <c r="AM56" s="411">
        <v>90850</v>
      </c>
      <c r="AN56" s="410">
        <v>75430</v>
      </c>
      <c r="AO56" s="410">
        <v>76320</v>
      </c>
      <c r="AP56" s="410">
        <v>157696.74</v>
      </c>
      <c r="AQ56" s="416">
        <v>110830</v>
      </c>
      <c r="AR56" s="416">
        <v>82707.399999999994</v>
      </c>
      <c r="AS56" s="408"/>
      <c r="AT56" s="417">
        <v>181331</v>
      </c>
      <c r="AU56" s="408">
        <v>113868</v>
      </c>
      <c r="AV56" s="446">
        <v>35000</v>
      </c>
      <c r="AW56" s="418">
        <v>205170</v>
      </c>
      <c r="AX56" s="418">
        <v>59943</v>
      </c>
      <c r="AY56" s="417">
        <v>160520</v>
      </c>
      <c r="AZ56" s="408">
        <v>135241.68</v>
      </c>
      <c r="BA56" s="408">
        <v>105295.5496</v>
      </c>
      <c r="BB56" s="413">
        <v>95156</v>
      </c>
      <c r="BC56" s="418">
        <v>70690</v>
      </c>
      <c r="BD56" s="409">
        <v>206000</v>
      </c>
      <c r="BE56" s="408">
        <v>168683.95199999999</v>
      </c>
      <c r="BF56" s="418"/>
      <c r="BG56" s="408">
        <v>114310</v>
      </c>
      <c r="BH56" s="417"/>
      <c r="BI56" s="417">
        <v>146176.16752800002</v>
      </c>
      <c r="BJ56" s="419">
        <v>272331</v>
      </c>
      <c r="BK56" s="408">
        <v>169522</v>
      </c>
      <c r="BL56" s="413">
        <v>110158.8</v>
      </c>
      <c r="BM56" s="408">
        <v>73861</v>
      </c>
      <c r="BN56" s="408">
        <v>181053.98</v>
      </c>
      <c r="BO56" s="408">
        <v>114317</v>
      </c>
      <c r="BP56" s="408">
        <v>101299.71428571432</v>
      </c>
      <c r="BQ56" s="420">
        <v>106959.7294</v>
      </c>
      <c r="BR56" s="417">
        <v>178986.4</v>
      </c>
      <c r="BS56" s="419">
        <v>103448.302</v>
      </c>
      <c r="BT56" s="417">
        <v>79521</v>
      </c>
      <c r="BU56" s="417">
        <v>81954</v>
      </c>
      <c r="BV56" s="418"/>
      <c r="BW56" s="409">
        <v>128550.84390000001</v>
      </c>
      <c r="BX56" s="417">
        <v>95664</v>
      </c>
      <c r="BY56" s="408">
        <v>80000</v>
      </c>
      <c r="BZ56" s="408"/>
      <c r="CA56" s="408">
        <v>160408</v>
      </c>
      <c r="CB56" s="408">
        <v>99000</v>
      </c>
      <c r="CC56" s="417">
        <v>168150</v>
      </c>
      <c r="CD56" s="408">
        <v>165519.6</v>
      </c>
      <c r="CE56" s="409">
        <v>88011</v>
      </c>
      <c r="CF56" s="408"/>
      <c r="CG56" s="408">
        <v>316335</v>
      </c>
      <c r="CH56" s="408">
        <v>229230</v>
      </c>
      <c r="CI56" s="418">
        <v>26300</v>
      </c>
      <c r="CJ56" s="408">
        <v>5035</v>
      </c>
      <c r="CK56" s="408">
        <v>104391</v>
      </c>
      <c r="CL56" s="413">
        <v>113750</v>
      </c>
      <c r="CN56" s="422">
        <v>0</v>
      </c>
      <c r="CO56" s="422">
        <v>0</v>
      </c>
      <c r="CP56" s="422">
        <v>0</v>
      </c>
      <c r="CQ56" s="422">
        <v>0</v>
      </c>
    </row>
    <row r="57" spans="1:95">
      <c r="A57" s="404" t="s">
        <v>76</v>
      </c>
      <c r="B57" s="405" t="s">
        <v>670</v>
      </c>
      <c r="C57" s="444">
        <v>0</v>
      </c>
      <c r="D57" s="444">
        <v>2750</v>
      </c>
      <c r="E57" s="444">
        <v>0</v>
      </c>
      <c r="F57" s="407">
        <v>50000</v>
      </c>
      <c r="G57" s="444">
        <v>0</v>
      </c>
      <c r="H57" s="408">
        <v>7393.7687999999998</v>
      </c>
      <c r="I57" s="409">
        <v>50360</v>
      </c>
      <c r="J57" s="410">
        <v>30850</v>
      </c>
      <c r="K57" s="444">
        <v>17940</v>
      </c>
      <c r="L57" s="410">
        <v>34160</v>
      </c>
      <c r="M57" s="411">
        <v>113301</v>
      </c>
      <c r="N57" s="408">
        <v>25500</v>
      </c>
      <c r="O57" s="444">
        <v>33180</v>
      </c>
      <c r="P57" s="408"/>
      <c r="Q57" s="411">
        <v>1000</v>
      </c>
      <c r="R57" s="412"/>
      <c r="S57" s="411">
        <v>214017</v>
      </c>
      <c r="T57" s="410">
        <v>34180</v>
      </c>
      <c r="U57" s="410">
        <v>17399</v>
      </c>
      <c r="V57" s="410">
        <v>14793</v>
      </c>
      <c r="W57" s="444">
        <v>21255</v>
      </c>
      <c r="X57" s="410">
        <v>1000</v>
      </c>
      <c r="Y57" s="410">
        <v>1000</v>
      </c>
      <c r="Z57" s="410">
        <v>0</v>
      </c>
      <c r="AA57" s="409"/>
      <c r="AB57" s="410">
        <v>17340</v>
      </c>
      <c r="AC57" s="413"/>
      <c r="AD57" s="410">
        <v>9600</v>
      </c>
      <c r="AE57" s="410">
        <v>0</v>
      </c>
      <c r="AF57" s="450">
        <v>63090</v>
      </c>
      <c r="AG57" s="415">
        <v>88216</v>
      </c>
      <c r="AH57" s="410">
        <v>14215</v>
      </c>
      <c r="AI57" s="444">
        <v>10000</v>
      </c>
      <c r="AJ57" s="444">
        <v>27600</v>
      </c>
      <c r="AK57" s="410">
        <v>54630</v>
      </c>
      <c r="AL57" s="410">
        <v>20000</v>
      </c>
      <c r="AM57" s="411">
        <v>30600</v>
      </c>
      <c r="AN57" s="410">
        <v>9999.94</v>
      </c>
      <c r="AO57" s="410">
        <v>83580</v>
      </c>
      <c r="AP57" s="410">
        <v>100414</v>
      </c>
      <c r="AQ57" s="416">
        <v>72137.795400000003</v>
      </c>
      <c r="AR57" s="416">
        <v>54625</v>
      </c>
      <c r="AS57" s="408"/>
      <c r="AT57" s="417">
        <v>40577</v>
      </c>
      <c r="AU57" s="408">
        <v>0</v>
      </c>
      <c r="AV57" s="446">
        <v>20100</v>
      </c>
      <c r="AW57" s="418">
        <v>0</v>
      </c>
      <c r="AX57" s="418">
        <v>8250</v>
      </c>
      <c r="AY57" s="417">
        <v>12000</v>
      </c>
      <c r="AZ57" s="408">
        <v>30000.3999</v>
      </c>
      <c r="BA57" s="408">
        <v>56707</v>
      </c>
      <c r="BB57" s="413">
        <v>0</v>
      </c>
      <c r="BC57" s="418">
        <v>31500</v>
      </c>
      <c r="BD57" s="409">
        <v>111735</v>
      </c>
      <c r="BE57" s="408">
        <v>11050</v>
      </c>
      <c r="BF57" s="418"/>
      <c r="BG57" s="408">
        <v>21607</v>
      </c>
      <c r="BH57" s="417"/>
      <c r="BI57" s="417">
        <v>144349</v>
      </c>
      <c r="BJ57" s="419">
        <v>65240</v>
      </c>
      <c r="BK57" s="408">
        <v>20200</v>
      </c>
      <c r="BL57" s="413">
        <v>77908</v>
      </c>
      <c r="BM57" s="408">
        <v>3000</v>
      </c>
      <c r="BN57" s="408">
        <v>19093</v>
      </c>
      <c r="BO57" s="408">
        <v>87544</v>
      </c>
      <c r="BP57" s="408">
        <v>8050</v>
      </c>
      <c r="BQ57" s="420">
        <v>43700</v>
      </c>
      <c r="BR57" s="413">
        <v>30000</v>
      </c>
      <c r="BS57" s="419">
        <v>0</v>
      </c>
      <c r="BT57" s="417">
        <v>7680</v>
      </c>
      <c r="BU57" s="417">
        <v>9750</v>
      </c>
      <c r="BV57" s="418"/>
      <c r="BW57" s="409">
        <v>12000</v>
      </c>
      <c r="BX57" s="417">
        <v>8930</v>
      </c>
      <c r="BY57" s="408">
        <v>1000</v>
      </c>
      <c r="BZ57" s="408"/>
      <c r="CA57" s="408">
        <v>103806</v>
      </c>
      <c r="CB57" s="408">
        <v>0</v>
      </c>
      <c r="CC57" s="417">
        <v>31725</v>
      </c>
      <c r="CD57" s="408">
        <v>52387.199999999997</v>
      </c>
      <c r="CE57" s="409">
        <v>38025</v>
      </c>
      <c r="CF57" s="408"/>
      <c r="CG57" s="408">
        <v>50000</v>
      </c>
      <c r="CH57" s="408">
        <v>92000</v>
      </c>
      <c r="CI57" s="418">
        <v>35000</v>
      </c>
      <c r="CJ57" s="408">
        <v>0</v>
      </c>
      <c r="CK57" s="408">
        <v>145167.99290000001</v>
      </c>
      <c r="CL57" s="413">
        <v>10500</v>
      </c>
      <c r="CN57" s="422">
        <v>0</v>
      </c>
      <c r="CO57" s="422">
        <v>0</v>
      </c>
      <c r="CP57" s="422">
        <v>0</v>
      </c>
      <c r="CQ57" s="422">
        <v>0</v>
      </c>
    </row>
    <row r="58" spans="1:95">
      <c r="A58" s="404" t="s">
        <v>78</v>
      </c>
      <c r="B58" s="405" t="s">
        <v>671</v>
      </c>
      <c r="C58" s="444">
        <v>8360</v>
      </c>
      <c r="D58" s="444">
        <v>23460</v>
      </c>
      <c r="E58" s="444">
        <v>276668</v>
      </c>
      <c r="F58" s="407">
        <v>800553.49289999995</v>
      </c>
      <c r="G58" s="444">
        <v>466474.75</v>
      </c>
      <c r="H58" s="408">
        <v>11905.927600000001</v>
      </c>
      <c r="I58" s="409">
        <v>81635.08</v>
      </c>
      <c r="J58" s="410">
        <v>146524.9</v>
      </c>
      <c r="K58" s="444">
        <v>246698</v>
      </c>
      <c r="L58" s="410">
        <v>55582.305099999998</v>
      </c>
      <c r="M58" s="411">
        <v>188211</v>
      </c>
      <c r="N58" s="408">
        <v>94820</v>
      </c>
      <c r="O58" s="444">
        <v>329551</v>
      </c>
      <c r="P58" s="408"/>
      <c r="Q58" s="411">
        <v>18961</v>
      </c>
      <c r="R58" s="412"/>
      <c r="S58" s="411">
        <v>278725.26</v>
      </c>
      <c r="T58" s="410">
        <v>172277</v>
      </c>
      <c r="U58" s="410">
        <v>178898</v>
      </c>
      <c r="V58" s="410">
        <v>297662.71000000002</v>
      </c>
      <c r="W58" s="444">
        <v>85474</v>
      </c>
      <c r="X58" s="410">
        <v>20736.96</v>
      </c>
      <c r="Y58" s="410">
        <v>44694.34</v>
      </c>
      <c r="Z58" s="410">
        <v>80638.5959</v>
      </c>
      <c r="AA58" s="409"/>
      <c r="AB58" s="410">
        <v>119805.2224</v>
      </c>
      <c r="AC58" s="413"/>
      <c r="AD58" s="410">
        <v>165931</v>
      </c>
      <c r="AE58" s="410">
        <v>38356.699999999997</v>
      </c>
      <c r="AF58" s="450">
        <v>139271</v>
      </c>
      <c r="AG58" s="415">
        <v>211215</v>
      </c>
      <c r="AH58" s="410">
        <v>67327.576400000005</v>
      </c>
      <c r="AI58" s="444">
        <v>65621.850000000006</v>
      </c>
      <c r="AJ58" s="444">
        <v>108483</v>
      </c>
      <c r="AK58" s="410">
        <v>159500</v>
      </c>
      <c r="AL58" s="410">
        <v>264175</v>
      </c>
      <c r="AM58" s="411">
        <v>157111.07999999999</v>
      </c>
      <c r="AN58" s="410">
        <v>42917.984900000003</v>
      </c>
      <c r="AO58" s="410">
        <v>73492</v>
      </c>
      <c r="AP58" s="410">
        <v>46522</v>
      </c>
      <c r="AQ58" s="416">
        <v>57240.84</v>
      </c>
      <c r="AR58" s="416">
        <v>126837.876</v>
      </c>
      <c r="AS58" s="408"/>
      <c r="AT58" s="417">
        <v>378516</v>
      </c>
      <c r="AU58" s="408">
        <v>13343.16</v>
      </c>
      <c r="AV58" s="446">
        <v>34900</v>
      </c>
      <c r="AW58" s="418">
        <v>302543</v>
      </c>
      <c r="AX58" s="418">
        <v>28124</v>
      </c>
      <c r="AY58" s="417">
        <v>105702.235</v>
      </c>
      <c r="AZ58" s="408">
        <v>211757.90059999999</v>
      </c>
      <c r="BA58" s="408">
        <v>275375.54399999999</v>
      </c>
      <c r="BB58" s="413">
        <v>36272.5</v>
      </c>
      <c r="BC58" s="418">
        <v>29958.196</v>
      </c>
      <c r="BD58" s="409">
        <v>245906.6</v>
      </c>
      <c r="BE58" s="408">
        <v>120961</v>
      </c>
      <c r="BF58" s="418"/>
      <c r="BG58" s="408">
        <v>69809.119999999995</v>
      </c>
      <c r="BH58" s="417"/>
      <c r="BI58" s="417">
        <v>424721</v>
      </c>
      <c r="BJ58" s="419">
        <v>204891.67970000001</v>
      </c>
      <c r="BK58" s="408">
        <v>123057.52</v>
      </c>
      <c r="BL58" s="413">
        <v>183292.57</v>
      </c>
      <c r="BM58" s="408">
        <v>27654.959999999999</v>
      </c>
      <c r="BN58" s="408">
        <v>97807.999200000006</v>
      </c>
      <c r="BO58" s="408">
        <v>120705.91800000001</v>
      </c>
      <c r="BP58" s="408">
        <v>138073.04999999999</v>
      </c>
      <c r="BQ58" s="420">
        <v>201744.10810000001</v>
      </c>
      <c r="BR58" s="413">
        <v>88250.9</v>
      </c>
      <c r="BS58" s="419">
        <v>29852.74</v>
      </c>
      <c r="BT58" s="417">
        <v>128598</v>
      </c>
      <c r="BU58" s="417">
        <v>48809</v>
      </c>
      <c r="BV58" s="418"/>
      <c r="BW58" s="409">
        <v>65842.704899999997</v>
      </c>
      <c r="BX58" s="417">
        <v>35252</v>
      </c>
      <c r="BY58" s="408">
        <v>25529</v>
      </c>
      <c r="BZ58" s="408"/>
      <c r="CA58" s="408">
        <v>303314</v>
      </c>
      <c r="CB58" s="408">
        <v>186733</v>
      </c>
      <c r="CC58" s="417">
        <v>168253</v>
      </c>
      <c r="CD58" s="408">
        <v>103504.5952</v>
      </c>
      <c r="CE58" s="409">
        <v>119819.83199999999</v>
      </c>
      <c r="CF58" s="408"/>
      <c r="CG58" s="408">
        <v>141148.16</v>
      </c>
      <c r="CH58" s="408">
        <v>115912</v>
      </c>
      <c r="CI58" s="418">
        <v>453168</v>
      </c>
      <c r="CJ58" s="408">
        <v>20641</v>
      </c>
      <c r="CK58" s="408">
        <v>384477.08189999999</v>
      </c>
      <c r="CL58" s="413">
        <v>98338</v>
      </c>
      <c r="CN58" s="422">
        <v>0</v>
      </c>
      <c r="CO58" s="422">
        <v>0</v>
      </c>
      <c r="CP58" s="422">
        <v>0</v>
      </c>
      <c r="CQ58" s="422">
        <v>0</v>
      </c>
    </row>
    <row r="59" spans="1:95">
      <c r="A59" s="404" t="s">
        <v>229</v>
      </c>
      <c r="B59" s="405" t="s">
        <v>672</v>
      </c>
      <c r="C59" s="444">
        <v>51914.666666666664</v>
      </c>
      <c r="D59" s="444">
        <v>12737.77</v>
      </c>
      <c r="E59" s="444">
        <v>37171</v>
      </c>
      <c r="F59" s="407">
        <v>56072.425499999998</v>
      </c>
      <c r="G59" s="444">
        <v>50829</v>
      </c>
      <c r="H59" s="408">
        <v>35104.566099999996</v>
      </c>
      <c r="I59" s="409">
        <v>59489.111199999999</v>
      </c>
      <c r="J59" s="410">
        <v>48896</v>
      </c>
      <c r="K59" s="444">
        <v>34179.340000000004</v>
      </c>
      <c r="L59" s="410">
        <v>26680.62</v>
      </c>
      <c r="M59" s="411">
        <v>20256</v>
      </c>
      <c r="N59" s="408">
        <v>35453.43</v>
      </c>
      <c r="O59" s="444">
        <v>69764.149999999994</v>
      </c>
      <c r="P59" s="408"/>
      <c r="Q59" s="411">
        <v>47301.05</v>
      </c>
      <c r="R59" s="412"/>
      <c r="S59" s="411">
        <v>44460.800000000003</v>
      </c>
      <c r="T59" s="410">
        <v>40437</v>
      </c>
      <c r="U59" s="410">
        <v>26686</v>
      </c>
      <c r="V59" s="410">
        <v>39209.980000000003</v>
      </c>
      <c r="W59" s="444">
        <v>26504.931000000004</v>
      </c>
      <c r="X59" s="410">
        <v>28020</v>
      </c>
      <c r="Y59" s="410">
        <v>24870</v>
      </c>
      <c r="Z59" s="410">
        <v>71072.5</v>
      </c>
      <c r="AA59" s="409"/>
      <c r="AB59" s="410">
        <v>22652</v>
      </c>
      <c r="AC59" s="413"/>
      <c r="AD59" s="410">
        <v>49053.25</v>
      </c>
      <c r="AE59" s="410">
        <v>31345</v>
      </c>
      <c r="AF59" s="450">
        <v>36932</v>
      </c>
      <c r="AG59" s="415">
        <v>37415</v>
      </c>
      <c r="AH59" s="410">
        <v>56214.982499999998</v>
      </c>
      <c r="AI59" s="444">
        <v>32634</v>
      </c>
      <c r="AJ59" s="444">
        <v>51323</v>
      </c>
      <c r="AK59" s="410">
        <v>33708.5</v>
      </c>
      <c r="AL59" s="410">
        <v>35453</v>
      </c>
      <c r="AM59" s="411">
        <v>48003.62</v>
      </c>
      <c r="AN59" s="410">
        <v>24455.172200000001</v>
      </c>
      <c r="AO59" s="410">
        <v>21616.400000000001</v>
      </c>
      <c r="AP59" s="410">
        <v>56801</v>
      </c>
      <c r="AQ59" s="416">
        <v>39055</v>
      </c>
      <c r="AR59" s="416">
        <v>52934.170400000003</v>
      </c>
      <c r="AS59" s="408"/>
      <c r="AT59" s="417">
        <v>56069</v>
      </c>
      <c r="AU59" s="408">
        <v>41019</v>
      </c>
      <c r="AV59" s="408">
        <v>130587.47333333333</v>
      </c>
      <c r="AW59" s="418">
        <v>27060.400000000001</v>
      </c>
      <c r="AX59" s="418">
        <v>28799.185200000004</v>
      </c>
      <c r="AY59" s="417">
        <v>14438.2273</v>
      </c>
      <c r="AZ59" s="408">
        <v>21663.09</v>
      </c>
      <c r="BA59" s="408">
        <v>26389.105</v>
      </c>
      <c r="BB59" s="413">
        <v>30609</v>
      </c>
      <c r="BC59" s="418">
        <v>35624</v>
      </c>
      <c r="BD59" s="409">
        <v>86755.14</v>
      </c>
      <c r="BE59" s="408">
        <v>60705.991399999999</v>
      </c>
      <c r="BF59" s="418"/>
      <c r="BG59" s="408">
        <v>18427.400000000001</v>
      </c>
      <c r="BH59" s="417"/>
      <c r="BI59" s="417">
        <v>24622.55</v>
      </c>
      <c r="BJ59" s="419">
        <v>55475.239699999998</v>
      </c>
      <c r="BK59" s="408">
        <v>40734</v>
      </c>
      <c r="BL59" s="413">
        <v>51351.581200000001</v>
      </c>
      <c r="BM59" s="408">
        <v>37944.977599999998</v>
      </c>
      <c r="BN59" s="408">
        <v>69541</v>
      </c>
      <c r="BO59" s="408">
        <v>47436.7736</v>
      </c>
      <c r="BP59" s="408">
        <v>32984.75</v>
      </c>
      <c r="BQ59" s="420">
        <v>31238.707299999998</v>
      </c>
      <c r="BR59" s="413">
        <v>42809.165000000001</v>
      </c>
      <c r="BS59" s="419">
        <v>34174</v>
      </c>
      <c r="BT59" s="417">
        <v>36790.337</v>
      </c>
      <c r="BU59" s="417">
        <v>39833</v>
      </c>
      <c r="BV59" s="418"/>
      <c r="BW59" s="409">
        <v>55865.893100000001</v>
      </c>
      <c r="BX59" s="417">
        <v>28071</v>
      </c>
      <c r="BY59" s="408">
        <v>65058</v>
      </c>
      <c r="BZ59" s="408"/>
      <c r="CA59" s="408">
        <v>37877</v>
      </c>
      <c r="CB59" s="408">
        <v>31037</v>
      </c>
      <c r="CC59" s="417">
        <v>59724</v>
      </c>
      <c r="CD59" s="408">
        <v>66218.163400000005</v>
      </c>
      <c r="CE59" s="409">
        <v>24702.526600000001</v>
      </c>
      <c r="CF59" s="408"/>
      <c r="CG59" s="408">
        <v>62191</v>
      </c>
      <c r="CH59" s="408">
        <v>11784</v>
      </c>
      <c r="CI59" s="418">
        <v>42978</v>
      </c>
      <c r="CJ59" s="408">
        <v>66685</v>
      </c>
      <c r="CK59" s="408">
        <v>135122.34</v>
      </c>
      <c r="CL59" s="413">
        <v>121394</v>
      </c>
      <c r="CN59" s="422">
        <v>0</v>
      </c>
      <c r="CO59" s="422">
        <v>0</v>
      </c>
      <c r="CP59" s="422">
        <v>0</v>
      </c>
      <c r="CQ59" s="422">
        <v>11003</v>
      </c>
    </row>
    <row r="60" spans="1:95">
      <c r="A60" s="404" t="s">
        <v>230</v>
      </c>
      <c r="B60" s="405" t="s">
        <v>673</v>
      </c>
      <c r="C60" s="444">
        <v>0</v>
      </c>
      <c r="D60" s="444">
        <v>0</v>
      </c>
      <c r="E60" s="444">
        <v>0</v>
      </c>
      <c r="F60" s="407">
        <v>0</v>
      </c>
      <c r="G60" s="444">
        <v>0</v>
      </c>
      <c r="H60" s="408">
        <v>0</v>
      </c>
      <c r="I60" s="409">
        <v>0</v>
      </c>
      <c r="J60" s="410">
        <v>0</v>
      </c>
      <c r="K60" s="444">
        <v>0</v>
      </c>
      <c r="L60" s="410">
        <v>0</v>
      </c>
      <c r="M60" s="411">
        <v>0</v>
      </c>
      <c r="N60" s="408">
        <v>0</v>
      </c>
      <c r="O60" s="444">
        <v>0</v>
      </c>
      <c r="P60" s="408"/>
      <c r="Q60" s="411">
        <v>0</v>
      </c>
      <c r="R60" s="412"/>
      <c r="S60" s="411">
        <v>0</v>
      </c>
      <c r="T60" s="410">
        <v>0</v>
      </c>
      <c r="U60" s="410">
        <v>0</v>
      </c>
      <c r="V60" s="410">
        <v>0</v>
      </c>
      <c r="W60" s="444">
        <v>0</v>
      </c>
      <c r="X60" s="410">
        <v>0</v>
      </c>
      <c r="Y60" s="410">
        <v>0</v>
      </c>
      <c r="Z60" s="410">
        <v>0</v>
      </c>
      <c r="AA60" s="409"/>
      <c r="AB60" s="410">
        <v>0</v>
      </c>
      <c r="AC60" s="413"/>
      <c r="AD60" s="410">
        <v>0</v>
      </c>
      <c r="AE60" s="410">
        <v>0</v>
      </c>
      <c r="AF60" s="451">
        <v>0</v>
      </c>
      <c r="AG60" s="413"/>
      <c r="AH60" s="410">
        <v>0</v>
      </c>
      <c r="AI60" s="444">
        <v>0</v>
      </c>
      <c r="AJ60" s="444">
        <v>0</v>
      </c>
      <c r="AK60" s="410">
        <v>0</v>
      </c>
      <c r="AL60" s="410">
        <v>0</v>
      </c>
      <c r="AM60" s="411">
        <v>0</v>
      </c>
      <c r="AN60" s="410">
        <v>0</v>
      </c>
      <c r="AO60" s="410">
        <v>0</v>
      </c>
      <c r="AP60" s="410">
        <v>0</v>
      </c>
      <c r="AQ60" s="416">
        <v>0</v>
      </c>
      <c r="AR60" s="416">
        <v>0</v>
      </c>
      <c r="AS60" s="408"/>
      <c r="AT60" s="413">
        <v>0</v>
      </c>
      <c r="AU60" s="408">
        <v>0</v>
      </c>
      <c r="AV60" s="408">
        <v>0</v>
      </c>
      <c r="AW60" s="418">
        <v>0</v>
      </c>
      <c r="AX60" s="418">
        <v>0</v>
      </c>
      <c r="AY60" s="413">
        <v>0</v>
      </c>
      <c r="AZ60" s="408">
        <v>0</v>
      </c>
      <c r="BA60" s="408">
        <v>0</v>
      </c>
      <c r="BB60" s="413">
        <v>0</v>
      </c>
      <c r="BC60" s="418">
        <v>0</v>
      </c>
      <c r="BD60" s="409">
        <v>0</v>
      </c>
      <c r="BE60" s="408">
        <v>0</v>
      </c>
      <c r="BF60" s="418"/>
      <c r="BG60" s="408">
        <v>0</v>
      </c>
      <c r="BH60" s="417"/>
      <c r="BI60" s="413">
        <v>0</v>
      </c>
      <c r="BJ60" s="419">
        <v>0</v>
      </c>
      <c r="BK60" s="408">
        <v>0</v>
      </c>
      <c r="BL60" s="413">
        <v>0</v>
      </c>
      <c r="BM60" s="408">
        <v>0</v>
      </c>
      <c r="BN60" s="408">
        <v>0</v>
      </c>
      <c r="BO60" s="408">
        <v>0</v>
      </c>
      <c r="BP60" s="408">
        <v>0</v>
      </c>
      <c r="BQ60" s="420">
        <v>0</v>
      </c>
      <c r="BR60" s="413">
        <v>0</v>
      </c>
      <c r="BS60" s="419">
        <v>1122</v>
      </c>
      <c r="BT60" s="413">
        <v>0</v>
      </c>
      <c r="BU60" s="417">
        <v>0</v>
      </c>
      <c r="BV60" s="418"/>
      <c r="BW60" s="409">
        <v>0</v>
      </c>
      <c r="BX60" s="413">
        <v>0</v>
      </c>
      <c r="BY60" s="408">
        <v>0</v>
      </c>
      <c r="BZ60" s="408"/>
      <c r="CA60" s="408">
        <v>0</v>
      </c>
      <c r="CB60" s="408">
        <v>0</v>
      </c>
      <c r="CC60" s="417">
        <v>0</v>
      </c>
      <c r="CD60" s="408">
        <v>0</v>
      </c>
      <c r="CE60" s="409">
        <v>0</v>
      </c>
      <c r="CF60" s="408"/>
      <c r="CG60" s="408">
        <v>0</v>
      </c>
      <c r="CH60" s="408">
        <v>0</v>
      </c>
      <c r="CI60" s="418">
        <v>0</v>
      </c>
      <c r="CJ60" s="408">
        <v>0</v>
      </c>
      <c r="CK60" s="408">
        <v>0</v>
      </c>
      <c r="CL60" s="413">
        <v>0</v>
      </c>
      <c r="CN60" s="422">
        <v>0</v>
      </c>
      <c r="CO60" s="422">
        <v>0</v>
      </c>
      <c r="CP60" s="422">
        <v>0</v>
      </c>
      <c r="CQ60" s="422">
        <v>0</v>
      </c>
    </row>
    <row r="61" spans="1:95">
      <c r="A61" s="404" t="s">
        <v>82</v>
      </c>
      <c r="B61" s="405" t="s">
        <v>674</v>
      </c>
      <c r="C61" s="449">
        <v>0</v>
      </c>
      <c r="D61" s="449">
        <v>0</v>
      </c>
      <c r="E61" s="444">
        <v>0</v>
      </c>
      <c r="F61" s="407">
        <v>0</v>
      </c>
      <c r="G61" s="444">
        <v>0</v>
      </c>
      <c r="H61" s="408">
        <v>0</v>
      </c>
      <c r="I61" s="409">
        <v>0</v>
      </c>
      <c r="J61" s="410">
        <v>0</v>
      </c>
      <c r="K61" s="444">
        <v>0</v>
      </c>
      <c r="L61" s="410">
        <v>0</v>
      </c>
      <c r="M61" s="411">
        <v>0</v>
      </c>
      <c r="N61" s="413">
        <v>0</v>
      </c>
      <c r="O61" s="444">
        <v>0</v>
      </c>
      <c r="P61" s="408"/>
      <c r="Q61" s="411">
        <v>0</v>
      </c>
      <c r="R61" s="452"/>
      <c r="S61" s="411">
        <v>0</v>
      </c>
      <c r="T61" s="410">
        <v>0</v>
      </c>
      <c r="U61" s="410">
        <v>0</v>
      </c>
      <c r="V61" s="410">
        <v>0</v>
      </c>
      <c r="W61" s="444">
        <v>0</v>
      </c>
      <c r="X61" s="410">
        <v>0</v>
      </c>
      <c r="Y61" s="410">
        <v>0</v>
      </c>
      <c r="Z61" s="410">
        <v>0</v>
      </c>
      <c r="AA61" s="409"/>
      <c r="AB61" s="410">
        <v>0</v>
      </c>
      <c r="AC61" s="413"/>
      <c r="AD61" s="410">
        <v>0</v>
      </c>
      <c r="AE61" s="410">
        <v>0</v>
      </c>
      <c r="AF61" s="451">
        <v>0</v>
      </c>
      <c r="AG61" s="415">
        <v>0</v>
      </c>
      <c r="AH61" s="410">
        <v>0</v>
      </c>
      <c r="AI61" s="444">
        <v>0</v>
      </c>
      <c r="AJ61" s="444">
        <v>0</v>
      </c>
      <c r="AK61" s="410">
        <v>0</v>
      </c>
      <c r="AL61" s="410">
        <v>0</v>
      </c>
      <c r="AM61" s="411">
        <v>0</v>
      </c>
      <c r="AN61" s="410">
        <v>0</v>
      </c>
      <c r="AO61" s="410">
        <v>0</v>
      </c>
      <c r="AP61" s="410">
        <v>0</v>
      </c>
      <c r="AQ61" s="416">
        <v>0</v>
      </c>
      <c r="AR61" s="416">
        <v>0</v>
      </c>
      <c r="AS61" s="408"/>
      <c r="AT61" s="413">
        <v>0</v>
      </c>
      <c r="AU61" s="408">
        <v>0</v>
      </c>
      <c r="AV61" s="408">
        <v>0</v>
      </c>
      <c r="AW61" s="418">
        <v>0</v>
      </c>
      <c r="AX61" s="418">
        <v>0</v>
      </c>
      <c r="AY61" s="413">
        <v>0</v>
      </c>
      <c r="AZ61" s="408">
        <v>0</v>
      </c>
      <c r="BA61" s="408">
        <v>80000</v>
      </c>
      <c r="BB61" s="413">
        <v>0</v>
      </c>
      <c r="BC61" s="418">
        <v>0</v>
      </c>
      <c r="BD61" s="409">
        <v>0</v>
      </c>
      <c r="BE61" s="408">
        <v>0</v>
      </c>
      <c r="BF61" s="418"/>
      <c r="BG61" s="408">
        <v>0</v>
      </c>
      <c r="BH61" s="417"/>
      <c r="BI61" s="413">
        <v>0</v>
      </c>
      <c r="BJ61" s="419">
        <v>0</v>
      </c>
      <c r="BK61" s="408">
        <v>0</v>
      </c>
      <c r="BL61" s="413">
        <v>0</v>
      </c>
      <c r="BM61" s="408">
        <v>0</v>
      </c>
      <c r="BN61" s="408">
        <v>0</v>
      </c>
      <c r="BO61" s="408">
        <v>0</v>
      </c>
      <c r="BP61" s="408">
        <v>0</v>
      </c>
      <c r="BQ61" s="420">
        <v>0</v>
      </c>
      <c r="BR61" s="413">
        <v>0</v>
      </c>
      <c r="BS61" s="419">
        <v>0</v>
      </c>
      <c r="BT61" s="413">
        <v>0</v>
      </c>
      <c r="BU61" s="417">
        <v>0</v>
      </c>
      <c r="BV61" s="418"/>
      <c r="BW61" s="409">
        <v>0</v>
      </c>
      <c r="BX61" s="413">
        <v>0</v>
      </c>
      <c r="BY61" s="408">
        <v>0</v>
      </c>
      <c r="BZ61" s="408"/>
      <c r="CA61" s="408">
        <v>0</v>
      </c>
      <c r="CB61" s="408"/>
      <c r="CC61" s="417"/>
      <c r="CD61" s="408">
        <v>0</v>
      </c>
      <c r="CE61" s="409">
        <v>0</v>
      </c>
      <c r="CF61" s="408"/>
      <c r="CG61" s="413">
        <v>0</v>
      </c>
      <c r="CH61" s="408">
        <v>0</v>
      </c>
      <c r="CI61" s="418">
        <v>0</v>
      </c>
      <c r="CJ61" s="408">
        <v>0</v>
      </c>
      <c r="CK61" s="408">
        <v>1.1040000000000001</v>
      </c>
      <c r="CL61" s="413">
        <v>0</v>
      </c>
      <c r="CN61" s="422">
        <v>0</v>
      </c>
      <c r="CO61" s="422">
        <v>0</v>
      </c>
      <c r="CP61" s="422">
        <v>0</v>
      </c>
      <c r="CQ61" s="422">
        <v>0</v>
      </c>
    </row>
    <row r="62" spans="1:95" ht="15" thickBot="1">
      <c r="A62" s="404" t="s">
        <v>84</v>
      </c>
      <c r="B62" s="405" t="s">
        <v>675</v>
      </c>
      <c r="C62" s="444">
        <v>0</v>
      </c>
      <c r="D62" s="453">
        <v>0</v>
      </c>
      <c r="E62" s="444">
        <v>0</v>
      </c>
      <c r="F62" s="407">
        <v>0</v>
      </c>
      <c r="G62" s="444">
        <v>0</v>
      </c>
      <c r="H62" s="408">
        <v>0</v>
      </c>
      <c r="I62" s="409">
        <v>0</v>
      </c>
      <c r="J62" s="410">
        <v>0</v>
      </c>
      <c r="K62" s="444">
        <v>0</v>
      </c>
      <c r="L62" s="410">
        <v>0</v>
      </c>
      <c r="M62" s="411">
        <v>0</v>
      </c>
      <c r="N62" s="413">
        <v>0</v>
      </c>
      <c r="O62" s="444">
        <v>0</v>
      </c>
      <c r="P62" s="408"/>
      <c r="Q62" s="411">
        <v>0</v>
      </c>
      <c r="R62" s="452"/>
      <c r="S62" s="411">
        <v>0</v>
      </c>
      <c r="T62" s="410">
        <v>0</v>
      </c>
      <c r="U62" s="410">
        <v>0</v>
      </c>
      <c r="V62" s="410">
        <v>0</v>
      </c>
      <c r="W62" s="444">
        <v>0</v>
      </c>
      <c r="X62" s="410">
        <v>0</v>
      </c>
      <c r="Y62" s="410">
        <v>0</v>
      </c>
      <c r="Z62" s="410">
        <v>75000</v>
      </c>
      <c r="AA62" s="409"/>
      <c r="AB62" s="410">
        <v>0</v>
      </c>
      <c r="AC62" s="413"/>
      <c r="AD62" s="410">
        <v>0</v>
      </c>
      <c r="AE62" s="410">
        <v>0</v>
      </c>
      <c r="AF62" s="451">
        <v>0</v>
      </c>
      <c r="AG62" s="415">
        <v>0</v>
      </c>
      <c r="AH62" s="410">
        <v>0</v>
      </c>
      <c r="AI62" s="444">
        <v>0</v>
      </c>
      <c r="AJ62" s="444">
        <v>0</v>
      </c>
      <c r="AK62" s="410">
        <v>0</v>
      </c>
      <c r="AL62" s="410">
        <v>0</v>
      </c>
      <c r="AM62" s="411">
        <v>0</v>
      </c>
      <c r="AN62" s="410">
        <v>0</v>
      </c>
      <c r="AO62" s="410">
        <v>0</v>
      </c>
      <c r="AP62" s="410">
        <v>0</v>
      </c>
      <c r="AQ62" s="416">
        <v>0</v>
      </c>
      <c r="AR62" s="416">
        <v>50000</v>
      </c>
      <c r="AS62" s="408"/>
      <c r="AT62" s="413">
        <v>0</v>
      </c>
      <c r="AU62" s="408">
        <v>0</v>
      </c>
      <c r="AV62" s="408">
        <v>0</v>
      </c>
      <c r="AW62" s="418">
        <v>0</v>
      </c>
      <c r="AX62" s="418">
        <v>0</v>
      </c>
      <c r="AY62" s="413">
        <v>0</v>
      </c>
      <c r="AZ62" s="408">
        <v>0</v>
      </c>
      <c r="BA62" s="408">
        <v>0</v>
      </c>
      <c r="BB62" s="413">
        <v>0</v>
      </c>
      <c r="BC62" s="418">
        <v>0</v>
      </c>
      <c r="BD62" s="409">
        <v>0</v>
      </c>
      <c r="BE62" s="408">
        <v>21814</v>
      </c>
      <c r="BF62" s="418"/>
      <c r="BG62" s="408">
        <v>0</v>
      </c>
      <c r="BH62" s="417"/>
      <c r="BI62" s="413">
        <v>0</v>
      </c>
      <c r="BJ62" s="419">
        <v>6500</v>
      </c>
      <c r="BK62" s="408">
        <v>0</v>
      </c>
      <c r="BL62" s="413">
        <v>132000</v>
      </c>
      <c r="BM62" s="408">
        <v>0</v>
      </c>
      <c r="BN62" s="408">
        <v>0</v>
      </c>
      <c r="BO62" s="408">
        <v>0</v>
      </c>
      <c r="BP62" s="408">
        <v>0</v>
      </c>
      <c r="BQ62" s="420">
        <v>0</v>
      </c>
      <c r="BR62" s="413">
        <v>0</v>
      </c>
      <c r="BS62" s="419">
        <v>0</v>
      </c>
      <c r="BT62" s="413">
        <v>0</v>
      </c>
      <c r="BU62" s="417">
        <v>0</v>
      </c>
      <c r="BV62" s="418"/>
      <c r="BW62" s="409">
        <v>0</v>
      </c>
      <c r="BX62" s="413">
        <v>0</v>
      </c>
      <c r="BY62" s="408">
        <v>0</v>
      </c>
      <c r="BZ62" s="408"/>
      <c r="CA62" s="408">
        <v>0</v>
      </c>
      <c r="CB62" s="408">
        <v>12230</v>
      </c>
      <c r="CC62" s="417">
        <v>23861</v>
      </c>
      <c r="CD62" s="408">
        <v>0</v>
      </c>
      <c r="CE62" s="409">
        <v>0</v>
      </c>
      <c r="CF62" s="408"/>
      <c r="CG62" s="413">
        <v>11450</v>
      </c>
      <c r="CH62" s="408">
        <v>0</v>
      </c>
      <c r="CI62" s="418">
        <v>0</v>
      </c>
      <c r="CJ62" s="408">
        <v>20000</v>
      </c>
      <c r="CK62" s="408">
        <v>0</v>
      </c>
      <c r="CL62" s="413">
        <v>0</v>
      </c>
      <c r="CN62" s="422">
        <v>0</v>
      </c>
      <c r="CO62" s="422">
        <v>0</v>
      </c>
      <c r="CP62" s="422">
        <v>0</v>
      </c>
      <c r="CQ62" s="422">
        <v>0</v>
      </c>
    </row>
    <row r="63" spans="1:95" ht="15" thickBot="1">
      <c r="A63" s="404" t="s">
        <v>106</v>
      </c>
      <c r="B63" s="405" t="s">
        <v>676</v>
      </c>
      <c r="C63" s="444">
        <v>142046.14334960043</v>
      </c>
      <c r="D63" s="453">
        <v>0</v>
      </c>
      <c r="E63" s="444">
        <v>0</v>
      </c>
      <c r="F63" s="407">
        <v>0</v>
      </c>
      <c r="G63" s="444">
        <v>0</v>
      </c>
      <c r="H63" s="408">
        <v>0</v>
      </c>
      <c r="I63" s="409">
        <v>0</v>
      </c>
      <c r="J63" s="410">
        <v>0</v>
      </c>
      <c r="K63" s="444">
        <v>0</v>
      </c>
      <c r="L63" s="410">
        <v>0</v>
      </c>
      <c r="M63" s="411">
        <v>0</v>
      </c>
      <c r="N63" s="413">
        <v>0</v>
      </c>
      <c r="O63" s="444">
        <v>0</v>
      </c>
      <c r="P63" s="408"/>
      <c r="Q63" s="411">
        <v>0</v>
      </c>
      <c r="R63" s="452"/>
      <c r="S63" s="411">
        <v>0</v>
      </c>
      <c r="T63" s="410">
        <v>0</v>
      </c>
      <c r="U63" s="410">
        <v>0</v>
      </c>
      <c r="V63" s="410">
        <v>0</v>
      </c>
      <c r="W63" s="444">
        <v>0</v>
      </c>
      <c r="X63" s="410">
        <v>0</v>
      </c>
      <c r="Y63" s="410">
        <v>0</v>
      </c>
      <c r="Z63" s="410">
        <v>0</v>
      </c>
      <c r="AA63" s="409"/>
      <c r="AB63" s="410">
        <v>0</v>
      </c>
      <c r="AC63" s="413"/>
      <c r="AD63" s="410">
        <v>0</v>
      </c>
      <c r="AE63" s="410">
        <v>0</v>
      </c>
      <c r="AF63" s="451">
        <v>0</v>
      </c>
      <c r="AG63" s="415">
        <v>0</v>
      </c>
      <c r="AH63" s="410">
        <v>140705.7862</v>
      </c>
      <c r="AI63" s="444">
        <v>0</v>
      </c>
      <c r="AJ63" s="444">
        <v>0</v>
      </c>
      <c r="AK63" s="410">
        <v>0</v>
      </c>
      <c r="AL63" s="410">
        <v>0</v>
      </c>
      <c r="AM63" s="411">
        <v>0</v>
      </c>
      <c r="AN63" s="410">
        <v>0</v>
      </c>
      <c r="AO63" s="410">
        <v>0</v>
      </c>
      <c r="AP63" s="410">
        <v>0</v>
      </c>
      <c r="AQ63" s="416">
        <v>0</v>
      </c>
      <c r="AR63" s="416">
        <v>0</v>
      </c>
      <c r="AS63" s="408"/>
      <c r="AT63" s="413">
        <v>0</v>
      </c>
      <c r="AU63" s="408">
        <v>0</v>
      </c>
      <c r="AV63" s="408">
        <v>0</v>
      </c>
      <c r="AW63" s="418">
        <v>0</v>
      </c>
      <c r="AX63" s="418">
        <v>0</v>
      </c>
      <c r="AY63" s="413">
        <v>0</v>
      </c>
      <c r="AZ63" s="408">
        <v>0</v>
      </c>
      <c r="BA63" s="408">
        <v>0</v>
      </c>
      <c r="BB63" s="413">
        <v>0</v>
      </c>
      <c r="BC63" s="418">
        <v>0</v>
      </c>
      <c r="BD63" s="409">
        <v>0</v>
      </c>
      <c r="BE63" s="408">
        <v>0</v>
      </c>
      <c r="BF63" s="418"/>
      <c r="BG63" s="408">
        <v>0</v>
      </c>
      <c r="BH63" s="417"/>
      <c r="BI63" s="413">
        <v>0</v>
      </c>
      <c r="BJ63" s="419">
        <v>0</v>
      </c>
      <c r="BK63" s="408">
        <v>0</v>
      </c>
      <c r="BL63" s="413">
        <v>0</v>
      </c>
      <c r="BM63" s="408">
        <v>0</v>
      </c>
      <c r="BN63" s="408">
        <v>0</v>
      </c>
      <c r="BO63" s="408">
        <v>0</v>
      </c>
      <c r="BP63" s="408">
        <v>0</v>
      </c>
      <c r="BQ63" s="420">
        <v>0</v>
      </c>
      <c r="BR63" s="413">
        <v>0</v>
      </c>
      <c r="BS63" s="419">
        <v>0</v>
      </c>
      <c r="BT63" s="413">
        <v>0</v>
      </c>
      <c r="BU63" s="417">
        <v>0</v>
      </c>
      <c r="BV63" s="418"/>
      <c r="BW63" s="409">
        <v>0</v>
      </c>
      <c r="BX63" s="413">
        <v>0</v>
      </c>
      <c r="BY63" s="408">
        <v>0</v>
      </c>
      <c r="BZ63" s="408"/>
      <c r="CA63" s="408"/>
      <c r="CB63" s="408"/>
      <c r="CC63" s="417"/>
      <c r="CD63" s="408">
        <v>0</v>
      </c>
      <c r="CE63" s="409">
        <v>0</v>
      </c>
      <c r="CF63" s="408"/>
      <c r="CG63" s="413">
        <v>0</v>
      </c>
      <c r="CH63" s="408">
        <v>0</v>
      </c>
      <c r="CI63" s="418">
        <v>0</v>
      </c>
      <c r="CJ63" s="408">
        <v>0</v>
      </c>
      <c r="CK63" s="408">
        <v>1.1372</v>
      </c>
      <c r="CL63" s="413">
        <v>0</v>
      </c>
      <c r="CN63" s="422"/>
      <c r="CO63" s="422"/>
      <c r="CP63" s="422"/>
      <c r="CQ63" s="422">
        <v>2500</v>
      </c>
    </row>
    <row r="64" spans="1:95" ht="15" thickBot="1">
      <c r="A64" s="404" t="s">
        <v>107</v>
      </c>
      <c r="B64" s="405" t="s">
        <v>677</v>
      </c>
      <c r="C64" s="453">
        <v>25000</v>
      </c>
      <c r="D64" s="453">
        <v>0</v>
      </c>
      <c r="E64" s="444">
        <v>0</v>
      </c>
      <c r="F64" s="407">
        <v>0</v>
      </c>
      <c r="G64" s="444">
        <v>0</v>
      </c>
      <c r="H64" s="408">
        <v>0</v>
      </c>
      <c r="I64" s="409">
        <v>0</v>
      </c>
      <c r="J64" s="410">
        <v>0</v>
      </c>
      <c r="K64" s="444">
        <v>0</v>
      </c>
      <c r="L64" s="410">
        <v>0</v>
      </c>
      <c r="M64" s="411">
        <v>0</v>
      </c>
      <c r="N64" s="413">
        <v>0</v>
      </c>
      <c r="O64" s="444">
        <v>0</v>
      </c>
      <c r="P64" s="408"/>
      <c r="Q64" s="411">
        <v>0</v>
      </c>
      <c r="R64" s="452"/>
      <c r="S64" s="411">
        <v>0</v>
      </c>
      <c r="T64" s="410">
        <v>0</v>
      </c>
      <c r="U64" s="410">
        <v>0</v>
      </c>
      <c r="V64" s="410">
        <v>0</v>
      </c>
      <c r="W64" s="444">
        <v>0</v>
      </c>
      <c r="X64" s="410">
        <v>0</v>
      </c>
      <c r="Y64" s="410">
        <v>0</v>
      </c>
      <c r="Z64" s="410">
        <v>0</v>
      </c>
      <c r="AA64" s="409"/>
      <c r="AB64" s="410">
        <v>0</v>
      </c>
      <c r="AC64" s="413"/>
      <c r="AD64" s="410">
        <v>0</v>
      </c>
      <c r="AE64" s="410">
        <v>0</v>
      </c>
      <c r="AF64" s="451">
        <v>0</v>
      </c>
      <c r="AG64" s="415">
        <v>0</v>
      </c>
      <c r="AH64" s="410">
        <v>47049</v>
      </c>
      <c r="AI64" s="444">
        <v>0</v>
      </c>
      <c r="AJ64" s="444">
        <v>0</v>
      </c>
      <c r="AK64" s="410">
        <v>0</v>
      </c>
      <c r="AL64" s="410">
        <v>0</v>
      </c>
      <c r="AM64" s="411">
        <v>0</v>
      </c>
      <c r="AN64" s="410">
        <v>0</v>
      </c>
      <c r="AO64" s="410">
        <v>0</v>
      </c>
      <c r="AP64" s="410">
        <v>0</v>
      </c>
      <c r="AQ64" s="416">
        <v>0</v>
      </c>
      <c r="AR64" s="416">
        <v>0</v>
      </c>
      <c r="AS64" s="408"/>
      <c r="AT64" s="413">
        <v>0</v>
      </c>
      <c r="AU64" s="408">
        <v>0</v>
      </c>
      <c r="AV64" s="408">
        <v>0</v>
      </c>
      <c r="AW64" s="418">
        <v>0</v>
      </c>
      <c r="AX64" s="418">
        <v>0</v>
      </c>
      <c r="AY64" s="413">
        <v>0</v>
      </c>
      <c r="AZ64" s="408">
        <v>0</v>
      </c>
      <c r="BA64" s="408">
        <v>0</v>
      </c>
      <c r="BB64" s="413">
        <v>0</v>
      </c>
      <c r="BC64" s="418">
        <v>0</v>
      </c>
      <c r="BD64" s="409">
        <v>0</v>
      </c>
      <c r="BE64" s="408">
        <v>0</v>
      </c>
      <c r="BF64" s="418"/>
      <c r="BG64" s="408">
        <v>0</v>
      </c>
      <c r="BH64" s="417"/>
      <c r="BI64" s="413">
        <v>0</v>
      </c>
      <c r="BJ64" s="419">
        <v>0</v>
      </c>
      <c r="BK64" s="408">
        <v>0</v>
      </c>
      <c r="BL64" s="413">
        <v>0</v>
      </c>
      <c r="BM64" s="408">
        <v>0</v>
      </c>
      <c r="BN64" s="408">
        <v>0</v>
      </c>
      <c r="BO64" s="408">
        <v>0</v>
      </c>
      <c r="BP64" s="408">
        <v>0</v>
      </c>
      <c r="BQ64" s="420">
        <v>0</v>
      </c>
      <c r="BR64" s="413">
        <v>0</v>
      </c>
      <c r="BS64" s="419">
        <v>0</v>
      </c>
      <c r="BT64" s="413">
        <v>0</v>
      </c>
      <c r="BU64" s="417">
        <v>0</v>
      </c>
      <c r="BV64" s="418"/>
      <c r="BW64" s="409">
        <v>0</v>
      </c>
      <c r="BX64" s="413">
        <v>0</v>
      </c>
      <c r="BY64" s="408">
        <v>0</v>
      </c>
      <c r="BZ64" s="408"/>
      <c r="CA64" s="408"/>
      <c r="CB64" s="408"/>
      <c r="CC64" s="417"/>
      <c r="CD64" s="408">
        <v>0</v>
      </c>
      <c r="CE64" s="409">
        <v>0</v>
      </c>
      <c r="CF64" s="408"/>
      <c r="CG64" s="413">
        <v>0</v>
      </c>
      <c r="CH64" s="408">
        <v>0</v>
      </c>
      <c r="CI64" s="418">
        <v>0</v>
      </c>
      <c r="CJ64" s="408">
        <v>0</v>
      </c>
      <c r="CK64" s="408">
        <v>1.1040000000000001</v>
      </c>
      <c r="CL64" s="413">
        <v>0</v>
      </c>
      <c r="CN64" s="422"/>
      <c r="CO64" s="422"/>
      <c r="CP64" s="422"/>
      <c r="CQ64" s="422"/>
    </row>
    <row r="65" spans="1:95">
      <c r="A65" s="400" t="s">
        <v>678</v>
      </c>
      <c r="B65" s="429"/>
      <c r="C65" s="430">
        <f>SUM(C32:C64)</f>
        <v>2791566.4401302473</v>
      </c>
      <c r="D65" s="431">
        <f t="shared" ref="D65:BO65" si="3">SUM(D32:D64)</f>
        <v>1012302.3001884923</v>
      </c>
      <c r="E65" s="430">
        <f t="shared" si="3"/>
        <v>4461086.7004991677</v>
      </c>
      <c r="F65" s="432">
        <f t="shared" si="3"/>
        <v>4757046.0656000003</v>
      </c>
      <c r="G65" s="431">
        <f t="shared" si="3"/>
        <v>5910857.2103370009</v>
      </c>
      <c r="H65" s="430">
        <f t="shared" si="3"/>
        <v>890222.46629999997</v>
      </c>
      <c r="I65" s="431">
        <f t="shared" si="3"/>
        <v>3514879.9858000008</v>
      </c>
      <c r="J65" s="430">
        <f t="shared" si="3"/>
        <v>3191492.2536999998</v>
      </c>
      <c r="K65" s="432">
        <f t="shared" si="3"/>
        <v>1525670.6842396914</v>
      </c>
      <c r="L65" s="432">
        <f t="shared" si="3"/>
        <v>1768556.1695000001</v>
      </c>
      <c r="M65" s="432">
        <f t="shared" si="3"/>
        <v>1295988.338</v>
      </c>
      <c r="N65" s="432">
        <f t="shared" si="3"/>
        <v>1245381.5034</v>
      </c>
      <c r="O65" s="432">
        <f t="shared" si="3"/>
        <v>3247762.3578601177</v>
      </c>
      <c r="P65" s="432">
        <f t="shared" si="3"/>
        <v>0</v>
      </c>
      <c r="Q65" s="432">
        <f>SUM(Q32:Q64)</f>
        <v>2093160.1149000002</v>
      </c>
      <c r="R65" s="433">
        <f t="shared" si="3"/>
        <v>0</v>
      </c>
      <c r="S65" s="432">
        <f t="shared" si="3"/>
        <v>3249100.5977999996</v>
      </c>
      <c r="T65" s="432">
        <f t="shared" si="3"/>
        <v>2250852.6146</v>
      </c>
      <c r="U65" s="432">
        <f t="shared" si="3"/>
        <v>2679603.9534999998</v>
      </c>
      <c r="V65" s="432">
        <f t="shared" si="3"/>
        <v>3493986.8424</v>
      </c>
      <c r="W65" s="432">
        <f t="shared" si="3"/>
        <v>2018152.7983072461</v>
      </c>
      <c r="X65" s="432">
        <f t="shared" si="3"/>
        <v>1667719.4027</v>
      </c>
      <c r="Y65" s="432">
        <f t="shared" si="3"/>
        <v>1642196.9150999999</v>
      </c>
      <c r="Z65" s="432">
        <f t="shared" si="3"/>
        <v>5027100.0117000015</v>
      </c>
      <c r="AA65" s="432">
        <f t="shared" si="3"/>
        <v>0</v>
      </c>
      <c r="AB65" s="432">
        <f t="shared" si="3"/>
        <v>1534823.9889000002</v>
      </c>
      <c r="AC65" s="432">
        <f t="shared" si="3"/>
        <v>0</v>
      </c>
      <c r="AD65" s="434">
        <f t="shared" si="3"/>
        <v>4558320.9638999999</v>
      </c>
      <c r="AE65" s="435">
        <f t="shared" si="3"/>
        <v>1719421.3140999998</v>
      </c>
      <c r="AF65" s="436">
        <f t="shared" si="3"/>
        <v>3127192.5076781702</v>
      </c>
      <c r="AG65" s="432">
        <f t="shared" si="3"/>
        <v>3466226</v>
      </c>
      <c r="AH65" s="432">
        <f t="shared" si="3"/>
        <v>2191142.0578000001</v>
      </c>
      <c r="AI65" s="432">
        <f t="shared" si="3"/>
        <v>2107073.0075787259</v>
      </c>
      <c r="AJ65" s="432">
        <f t="shared" si="3"/>
        <v>3273869.4559964645</v>
      </c>
      <c r="AK65" s="432">
        <f t="shared" si="3"/>
        <v>1722528.1324</v>
      </c>
      <c r="AL65" s="432">
        <f t="shared" si="3"/>
        <v>2459537.8723999998</v>
      </c>
      <c r="AM65" s="432">
        <f t="shared" si="3"/>
        <v>3375194.3821</v>
      </c>
      <c r="AN65" s="432">
        <f t="shared" si="3"/>
        <v>1999239.8188999998</v>
      </c>
      <c r="AO65" s="432">
        <f t="shared" si="3"/>
        <v>1874743.3564999998</v>
      </c>
      <c r="AP65" s="432">
        <f t="shared" si="3"/>
        <v>3114179.3588000005</v>
      </c>
      <c r="AQ65" s="432">
        <f t="shared" si="3"/>
        <v>1682308.6460000002</v>
      </c>
      <c r="AR65" s="432">
        <f t="shared" si="3"/>
        <v>2695345.2533000004</v>
      </c>
      <c r="AS65" s="432">
        <f t="shared" si="3"/>
        <v>0</v>
      </c>
      <c r="AT65" s="432">
        <f t="shared" si="3"/>
        <v>4808515.1433286769</v>
      </c>
      <c r="AU65" s="432">
        <f t="shared" si="3"/>
        <v>1790111.3099999998</v>
      </c>
      <c r="AV65" s="432">
        <f t="shared" si="3"/>
        <v>3034393.8885219102</v>
      </c>
      <c r="AW65" s="432">
        <f t="shared" si="3"/>
        <v>3056215.8249999997</v>
      </c>
      <c r="AX65" s="432">
        <f t="shared" si="3"/>
        <v>1115594.6878193242</v>
      </c>
      <c r="AY65" s="432">
        <f t="shared" si="3"/>
        <v>2861121.1318348558</v>
      </c>
      <c r="AZ65" s="432">
        <f t="shared" si="3"/>
        <v>2425101.4047999997</v>
      </c>
      <c r="BA65" s="432">
        <f t="shared" si="3"/>
        <v>3062014.4323999998</v>
      </c>
      <c r="BB65" s="432">
        <f t="shared" si="3"/>
        <v>2196879.4857999999</v>
      </c>
      <c r="BC65" s="432">
        <f t="shared" si="3"/>
        <v>1890229.1782</v>
      </c>
      <c r="BD65" s="432">
        <f t="shared" si="3"/>
        <v>8014105.3342999974</v>
      </c>
      <c r="BE65" s="432">
        <f t="shared" si="3"/>
        <v>3121100.2602000004</v>
      </c>
      <c r="BF65" s="432">
        <f t="shared" si="3"/>
        <v>0</v>
      </c>
      <c r="BG65" s="432">
        <f t="shared" si="3"/>
        <v>2283008.5694999998</v>
      </c>
      <c r="BH65" s="432">
        <f t="shared" si="3"/>
        <v>0</v>
      </c>
      <c r="BI65" s="432">
        <f t="shared" si="3"/>
        <v>4549743.2610031804</v>
      </c>
      <c r="BJ65" s="432">
        <f t="shared" si="3"/>
        <v>3101664.0367000001</v>
      </c>
      <c r="BK65" s="432">
        <f t="shared" si="3"/>
        <v>2607773.1175000002</v>
      </c>
      <c r="BL65" s="432">
        <f t="shared" si="3"/>
        <v>3234159.6066999999</v>
      </c>
      <c r="BM65" s="432">
        <f t="shared" si="3"/>
        <v>1406309.8565999998</v>
      </c>
      <c r="BN65" s="432">
        <f t="shared" si="3"/>
        <v>3152158.2770999996</v>
      </c>
      <c r="BO65" s="432">
        <f t="shared" si="3"/>
        <v>1770681.8989000001</v>
      </c>
      <c r="BP65" s="432">
        <f t="shared" ref="BP65:CG65" si="4">SUM(BP32:BP64)</f>
        <v>1799326.305939551</v>
      </c>
      <c r="BQ65" s="432">
        <f t="shared" si="4"/>
        <v>3143125.2307000007</v>
      </c>
      <c r="BR65" s="432">
        <f t="shared" si="4"/>
        <v>2977666.5859999997</v>
      </c>
      <c r="BS65" s="432">
        <f t="shared" si="4"/>
        <v>1520797.9763</v>
      </c>
      <c r="BT65" s="432">
        <f t="shared" si="4"/>
        <v>1737813.988850761</v>
      </c>
      <c r="BU65" s="432">
        <f t="shared" si="4"/>
        <v>1555004.7894876688</v>
      </c>
      <c r="BV65" s="432">
        <f t="shared" si="4"/>
        <v>0</v>
      </c>
      <c r="BW65" s="432">
        <f t="shared" si="4"/>
        <v>2073521.5899</v>
      </c>
      <c r="BX65" s="432">
        <f t="shared" si="4"/>
        <v>1911247.2679143979</v>
      </c>
      <c r="BY65" s="432">
        <f t="shared" si="4"/>
        <v>1396302.6620551851</v>
      </c>
      <c r="BZ65" s="432">
        <f t="shared" si="4"/>
        <v>0</v>
      </c>
      <c r="CA65" s="432">
        <f t="shared" si="4"/>
        <v>3886219.0656978432</v>
      </c>
      <c r="CB65" s="432">
        <f t="shared" si="4"/>
        <v>2343803.4203986996</v>
      </c>
      <c r="CC65" s="432">
        <f t="shared" si="4"/>
        <v>3900561.1084132162</v>
      </c>
      <c r="CD65" s="432">
        <f t="shared" si="4"/>
        <v>3142985.5963000008</v>
      </c>
      <c r="CE65" s="431">
        <f t="shared" si="4"/>
        <v>1493591.0634999999</v>
      </c>
      <c r="CF65" s="437">
        <f t="shared" si="4"/>
        <v>0</v>
      </c>
      <c r="CG65" s="430">
        <f t="shared" si="4"/>
        <v>9552525.8090999983</v>
      </c>
      <c r="CH65" s="432">
        <f>SUM(CH32:CH64)</f>
        <v>7512254</v>
      </c>
      <c r="CI65" s="432">
        <f>SUM(CI32:CI64)</f>
        <v>13685965.761700002</v>
      </c>
      <c r="CJ65" s="432">
        <f>SUM(CJ32:CJ64)</f>
        <v>3744252.4493000004</v>
      </c>
      <c r="CK65" s="432">
        <f>SUM(CK32:CK64)</f>
        <v>10288012.972700002</v>
      </c>
      <c r="CL65" s="431">
        <f>SUM(CL32:CL64)</f>
        <v>6796519.0365000004</v>
      </c>
      <c r="CN65" s="431">
        <f>SUM(CN32:CN64)</f>
        <v>0</v>
      </c>
      <c r="CO65" s="431">
        <f>SUM(CO32:CO64)</f>
        <v>0</v>
      </c>
      <c r="CP65" s="431">
        <f>SUM(CP32:CP64)</f>
        <v>0</v>
      </c>
      <c r="CQ65" s="431">
        <f>SUM(CQ32:CQ64)</f>
        <v>207385.63517708224</v>
      </c>
    </row>
    <row r="66" spans="1:95">
      <c r="A66" s="372"/>
      <c r="B66" s="372"/>
      <c r="C66" s="372"/>
      <c r="D66" s="372"/>
      <c r="E66" s="372"/>
      <c r="F66" s="372"/>
      <c r="G66" s="372"/>
      <c r="H66" s="372"/>
      <c r="I66" s="372"/>
      <c r="J66" s="372"/>
      <c r="K66" s="372"/>
      <c r="L66" s="372"/>
      <c r="M66" s="372"/>
      <c r="N66" s="372"/>
      <c r="O66" s="372"/>
      <c r="P66" s="372"/>
      <c r="Q66" s="372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372"/>
      <c r="AC66" s="372"/>
      <c r="AD66" s="372"/>
      <c r="AE66" s="372"/>
      <c r="AF66" s="372"/>
      <c r="AG66" s="372"/>
      <c r="AH66" s="372"/>
      <c r="AI66" s="372"/>
      <c r="AJ66" s="372"/>
      <c r="AK66" s="372"/>
      <c r="AL66" s="372"/>
      <c r="AM66" s="372"/>
      <c r="AN66" s="372"/>
      <c r="AO66" s="372"/>
      <c r="AP66" s="372"/>
      <c r="AQ66" s="372"/>
      <c r="AR66" s="372"/>
      <c r="AS66" s="372"/>
      <c r="AT66" s="372"/>
      <c r="AU66" s="372"/>
      <c r="AV66" s="372"/>
      <c r="AW66" s="372"/>
      <c r="AX66" s="372"/>
      <c r="AY66" s="372"/>
      <c r="AZ66" s="372"/>
      <c r="BA66" s="372"/>
      <c r="BB66" s="372"/>
      <c r="BC66" s="372"/>
      <c r="BD66" s="372"/>
      <c r="BE66" s="372"/>
      <c r="BF66" s="372"/>
      <c r="BG66" s="372"/>
      <c r="BH66" s="372"/>
      <c r="BI66" s="372"/>
      <c r="BJ66" s="372"/>
      <c r="BK66" s="372"/>
      <c r="BL66" s="372"/>
      <c r="BM66" s="372"/>
      <c r="BN66" s="372"/>
      <c r="BO66" s="372"/>
      <c r="BP66" s="372"/>
      <c r="BQ66" s="372"/>
      <c r="BR66" s="372"/>
      <c r="BS66" s="372"/>
      <c r="BT66" s="372"/>
      <c r="BU66" s="372"/>
      <c r="BV66" s="372"/>
      <c r="BW66" s="372"/>
      <c r="BX66" s="372"/>
      <c r="BY66" s="372"/>
      <c r="BZ66" s="372"/>
      <c r="CA66" s="372"/>
      <c r="CB66" s="372"/>
      <c r="CC66" s="372"/>
      <c r="CD66" s="372"/>
      <c r="CE66" s="372"/>
      <c r="CF66" s="372"/>
      <c r="CG66" s="372"/>
      <c r="CH66" s="372"/>
      <c r="CI66" s="372"/>
      <c r="CJ66" s="372"/>
      <c r="CK66" s="372"/>
      <c r="CL66" s="372"/>
      <c r="CM66" s="372"/>
      <c r="CN66" s="372"/>
      <c r="CO66" s="372"/>
      <c r="CP66" s="372"/>
      <c r="CQ66" s="372"/>
    </row>
    <row r="67" spans="1:95">
      <c r="A67" s="372" t="s">
        <v>231</v>
      </c>
      <c r="B67" s="372" t="s">
        <v>235</v>
      </c>
      <c r="C67" s="531">
        <f>SUMIFS('CFR 2023-24'!$BQ:$BQ,'CFR 2023-24'!$D:$D,'2024-25 Budgets'!C5)</f>
        <v>-253268.60000000065</v>
      </c>
      <c r="D67" s="531">
        <f>SUMIFS('CFR 2023-24'!$BQ:$BQ,'CFR 2023-24'!$D:$D,'2024-25 Budgets'!D5)</f>
        <v>-122472.48999999999</v>
      </c>
      <c r="E67" s="531">
        <f>SUMIFS('CFR 2023-24'!$BQ:$BQ,'CFR 2023-24'!$D:$D,'2024-25 Budgets'!E5)</f>
        <v>440173.3200000003</v>
      </c>
      <c r="F67" s="531">
        <f>SUMIFS('CFR 2023-24'!$BQ:$BQ,'CFR 2023-24'!$D:$D,'2024-25 Budgets'!F5)</f>
        <v>94261.320000000298</v>
      </c>
      <c r="G67" s="531">
        <f>SUMIFS('CFR 2023-24'!$BQ:$BQ,'CFR 2023-24'!$D:$D,'2024-25 Budgets'!G5)</f>
        <v>63894.73000000231</v>
      </c>
      <c r="H67" s="531">
        <f>SUMIFS('CFR 2023-24'!$BQ:$BQ,'CFR 2023-24'!$D:$D,'2024-25 Budgets'!H5)</f>
        <v>-37777.819999999949</v>
      </c>
      <c r="I67" s="531">
        <f>SUMIFS('CFR 2023-24'!$BQ:$BQ,'CFR 2023-24'!$D:$D,'2024-25 Budgets'!I5)</f>
        <v>442196.93999999901</v>
      </c>
      <c r="J67" s="531">
        <f>SUMIFS('CFR 2023-24'!$BQ:$BQ,'CFR 2023-24'!$D:$D,'2024-25 Budgets'!J5)</f>
        <v>80804.630000001285</v>
      </c>
      <c r="K67" s="531">
        <f>SUMIFS('CFR 2023-24'!$BQ:$BQ,'CFR 2023-24'!$D:$D,'2024-25 Budgets'!K5)</f>
        <v>120907.87000000011</v>
      </c>
      <c r="L67" s="531">
        <f>SUMIFS('CFR 2023-24'!$BQ:$BQ,'CFR 2023-24'!$D:$D,'2024-25 Budgets'!L5)</f>
        <v>84128.220000000438</v>
      </c>
      <c r="M67" s="531">
        <f>SUMIFS('CFR 2023-24'!$BQ:$BQ,'CFR 2023-24'!$D:$D,'2024-25 Budgets'!M5)</f>
        <v>3286.3199999993667</v>
      </c>
      <c r="N67" s="531">
        <f>SUMIFS('CFR 2023-24'!$BQ:$BQ,'CFR 2023-24'!$D:$D,'2024-25 Budgets'!N5)</f>
        <v>-8583.6699999996927</v>
      </c>
      <c r="O67" s="531">
        <f>SUMIFS('CFR 2023-24'!$BQ:$BQ,'CFR 2023-24'!$D:$D,'2024-25 Budgets'!O5)</f>
        <v>38294.500000000466</v>
      </c>
      <c r="P67" s="531">
        <f>SUMIFS('CFR 2023-24'!$BQ:$BQ,'CFR 2023-24'!$D:$D,'2024-25 Budgets'!P5)</f>
        <v>11719.19000000041</v>
      </c>
      <c r="Q67" s="531">
        <f>SUMIFS('CFR 2023-24'!$BQ:$BQ,'CFR 2023-24'!$D:$D,'2024-25 Budgets'!Q5)</f>
        <v>91702.219999999972</v>
      </c>
      <c r="R67" s="531">
        <f>SUMIFS('CFR 2023-24'!$BQ:$BQ,'CFR 2023-24'!$D:$D,'2024-25 Budgets'!R5)</f>
        <v>-168780</v>
      </c>
      <c r="S67" s="531">
        <f>SUMIFS('CFR 2023-24'!$BQ:$BQ,'CFR 2023-24'!$D:$D,'2024-25 Budgets'!S5)</f>
        <v>295856.68999999994</v>
      </c>
      <c r="T67" s="531">
        <f>SUMIFS('CFR 2023-24'!$BQ:$BQ,'CFR 2023-24'!$D:$D,'2024-25 Budgets'!T5)</f>
        <v>34078.490000000224</v>
      </c>
      <c r="U67" s="531">
        <f>SUMIFS('CFR 2023-24'!$BQ:$BQ,'CFR 2023-24'!$D:$D,'2024-25 Budgets'!U5)</f>
        <v>150290.08999999985</v>
      </c>
      <c r="V67" s="531">
        <f>SUMIFS('CFR 2023-24'!$BQ:$BQ,'CFR 2023-24'!$D:$D,'2024-25 Budgets'!V5)</f>
        <v>-112860.2099999995</v>
      </c>
      <c r="W67" s="531">
        <f>SUMIFS('CFR 2023-24'!$BQ:$BQ,'CFR 2023-24'!$D:$D,'2024-25 Budgets'!W5)</f>
        <v>-40014.630000000587</v>
      </c>
      <c r="X67" s="531">
        <f>SUMIFS('CFR 2023-24'!$BQ:$BQ,'CFR 2023-24'!$D:$D,'2024-25 Budgets'!X5)</f>
        <v>347635.90000000014</v>
      </c>
      <c r="Y67" s="531">
        <f>SUMIFS('CFR 2023-24'!$BQ:$BQ,'CFR 2023-24'!$D:$D,'2024-25 Budgets'!Y5)</f>
        <v>-218652.58000000007</v>
      </c>
      <c r="Z67" s="531">
        <f>SUMIFS('CFR 2023-24'!$BQ:$BQ,'CFR 2023-24'!$D:$D,'2024-25 Budgets'!Z5)</f>
        <v>80713.020000002347</v>
      </c>
      <c r="AA67" s="531">
        <f>SUMIFS('CFR 2023-24'!$BQ:$BQ,'CFR 2023-24'!$D:$D,'2024-25 Budgets'!AA5)</f>
        <v>-119744.03000000094</v>
      </c>
      <c r="AB67" s="531">
        <f>SUMIFS('CFR 2023-24'!$BQ:$BQ,'CFR 2023-24'!$D:$D,'2024-25 Budgets'!AB5)</f>
        <v>-6125.3300000003073</v>
      </c>
      <c r="AC67" s="531">
        <f>SUMIFS('CFR 2023-24'!$BQ:$BQ,'CFR 2023-24'!$D:$D,'2024-25 Budgets'!AC5)</f>
        <v>20527</v>
      </c>
      <c r="AD67" s="531">
        <f>SUMIFS('CFR 2023-24'!$BQ:$BQ,'CFR 2023-24'!$D:$D,'2024-25 Budgets'!AD5)</f>
        <v>-56832.030000001192</v>
      </c>
      <c r="AE67" s="531">
        <f>SUMIFS('CFR 2023-24'!$BQ:$BQ,'CFR 2023-24'!$D:$D,'2024-25 Budgets'!AE5)</f>
        <v>-24333.590000000084</v>
      </c>
      <c r="AF67" s="531">
        <f>SUMIFS('CFR 2023-24'!$BQ:$BQ,'CFR 2023-24'!$D:$D,'2024-25 Budgets'!AF5)</f>
        <v>48309.660000000149</v>
      </c>
      <c r="AG67" s="531">
        <f>SUMIFS('CFR 2023-24'!$BQ:$BQ,'CFR 2023-24'!$D:$D,'2024-25 Budgets'!AG5)</f>
        <v>31240.730000000447</v>
      </c>
      <c r="AH67" s="531">
        <f>SUMIFS('CFR 2023-24'!$BQ:$BQ,'CFR 2023-24'!$D:$D,'2024-25 Budgets'!AH5)</f>
        <v>-122297.83800000075</v>
      </c>
      <c r="AI67" s="531">
        <f>SUMIFS('CFR 2023-24'!$BQ:$BQ,'CFR 2023-24'!$D:$D,'2024-25 Budgets'!AI5)</f>
        <v>53929.469999999274</v>
      </c>
      <c r="AJ67" s="531">
        <f>SUMIFS('CFR 2023-24'!$BQ:$BQ,'CFR 2023-24'!$D:$D,'2024-25 Budgets'!AJ5)</f>
        <v>-99110.61999999918</v>
      </c>
      <c r="AK67" s="531">
        <f>SUMIFS('CFR 2023-24'!$BQ:$BQ,'CFR 2023-24'!$D:$D,'2024-25 Budgets'!AK5)</f>
        <v>-247171.92000000086</v>
      </c>
      <c r="AL67" s="531">
        <f>SUMIFS('CFR 2023-24'!$BQ:$BQ,'CFR 2023-24'!$D:$D,'2024-25 Budgets'!AL5)</f>
        <v>-94203.319999999832</v>
      </c>
      <c r="AM67" s="531">
        <f>SUMIFS('CFR 2023-24'!$BQ:$BQ,'CFR 2023-24'!$D:$D,'2024-25 Budgets'!AM5)</f>
        <v>-212619.90999999968</v>
      </c>
      <c r="AN67" s="531">
        <f>SUMIFS('CFR 2023-24'!$BQ:$BQ,'CFR 2023-24'!$D:$D,'2024-25 Budgets'!AN5)</f>
        <v>-19448.610000000102</v>
      </c>
      <c r="AO67" s="531">
        <f>SUMIFS('CFR 2023-24'!$BQ:$BQ,'CFR 2023-24'!$D:$D,'2024-25 Budgets'!AO5)</f>
        <v>-86400.879999999655</v>
      </c>
      <c r="AP67" s="531">
        <f>SUMIFS('CFR 2023-24'!$BQ:$BQ,'CFR 2023-24'!$D:$D,'2024-25 Budgets'!AP5)</f>
        <v>-26000.000000000931</v>
      </c>
      <c r="AQ67" s="531">
        <f>SUMIFS('CFR 2023-24'!$BQ:$BQ,'CFR 2023-24'!$D:$D,'2024-25 Budgets'!AQ5)</f>
        <v>41237.659999999683</v>
      </c>
      <c r="AR67" s="531">
        <f>SUMIFS('CFR 2023-24'!$BQ:$BQ,'CFR 2023-24'!$D:$D,'2024-25 Budgets'!AR5)</f>
        <v>841905.6099999994</v>
      </c>
      <c r="AS67" s="531">
        <f>SUMIFS('CFR 2023-24'!$BQ:$BQ,'CFR 2023-24'!$D:$D,'2024-25 Budgets'!AS5)</f>
        <v>105868.75000000023</v>
      </c>
      <c r="AT67" s="531">
        <f>SUMIFS('CFR 2023-24'!$BQ:$BQ,'CFR 2023-24'!$D:$D,'2024-25 Budgets'!AT5)</f>
        <v>322106.99000000022</v>
      </c>
      <c r="AU67" s="531">
        <f>SUMIFS('CFR 2023-24'!$BQ:$BQ,'CFR 2023-24'!$D:$D,'2024-25 Budgets'!AU5)</f>
        <v>6252.5300000000279</v>
      </c>
      <c r="AV67" s="531">
        <f>SUMIFS('CFR 2023-24'!$BQ:$BQ,'CFR 2023-24'!$D:$D,'2024-25 Budgets'!AV5)</f>
        <v>-19873.349999999162</v>
      </c>
      <c r="AW67" s="531">
        <f>SUMIFS('CFR 2023-24'!$BQ:$BQ,'CFR 2023-24'!$D:$D,'2024-25 Budgets'!AW5)</f>
        <v>65897.580000000075</v>
      </c>
      <c r="AX67" s="531">
        <f>SUMIFS('CFR 2023-24'!$BQ:$BQ,'CFR 2023-24'!$D:$D,'2024-25 Budgets'!AX5)</f>
        <v>57475.880000000237</v>
      </c>
      <c r="AY67" s="531">
        <f>SUMIFS('CFR 2023-24'!$BQ:$BQ,'CFR 2023-24'!$D:$D,'2024-25 Budgets'!AY5)</f>
        <v>279690.19999999972</v>
      </c>
      <c r="AZ67" s="531">
        <f>SUMIFS('CFR 2023-24'!$BQ:$BQ,'CFR 2023-24'!$D:$D,'2024-25 Budgets'!AZ5)</f>
        <v>116600.91999999993</v>
      </c>
      <c r="BA67" s="531">
        <f>SUMIFS('CFR 2023-24'!$BQ:$BQ,'CFR 2023-24'!$D:$D,'2024-25 Budgets'!BA5)</f>
        <v>123126.91999999993</v>
      </c>
      <c r="BB67" s="531">
        <f>SUMIFS('CFR 2023-24'!$BQ:$BQ,'CFR 2023-24'!$D:$D,'2024-25 Budgets'!BB5)</f>
        <v>-31184.439999999478</v>
      </c>
      <c r="BC67" s="531">
        <f>SUMIFS('CFR 2023-24'!$BQ:$BQ,'CFR 2023-24'!$D:$D,'2024-25 Budgets'!BC5)</f>
        <v>-4517.820000000298</v>
      </c>
      <c r="BD67" s="531">
        <f>SUMIFS('CFR 2023-24'!$BQ:$BQ,'CFR 2023-24'!$D:$D,'2024-25 Budgets'!BD5)</f>
        <v>-888937.16000000143</v>
      </c>
      <c r="BE67" s="531">
        <f>SUMIFS('CFR 2023-24'!$BQ:$BQ,'CFR 2023-24'!$D:$D,'2024-25 Budgets'!BE5)</f>
        <v>451637.90999999968</v>
      </c>
      <c r="BF67" s="531">
        <f>SUMIFS('CFR 2023-24'!$BQ:$BQ,'CFR 2023-24'!$D:$D,'2024-25 Budgets'!BF5)</f>
        <v>-194607</v>
      </c>
      <c r="BG67" s="531">
        <f>SUMIFS('CFR 2023-24'!$BQ:$BQ,'CFR 2023-24'!$D:$D,'2024-25 Budgets'!BG5)</f>
        <v>-235409.83999999985</v>
      </c>
      <c r="BH67" s="531">
        <f>SUMIFS('CFR 2023-24'!$BQ:$BQ,'CFR 2023-24'!$D:$D,'2024-25 Budgets'!BH5)</f>
        <v>0</v>
      </c>
      <c r="BI67" s="531">
        <f>SUMIFS('CFR 2023-24'!$BQ:$BQ,'CFR 2023-24'!$D:$D,'2024-25 Budgets'!BI5)</f>
        <v>80112.14999999851</v>
      </c>
      <c r="BJ67" s="531">
        <f>SUMIFS('CFR 2023-24'!$BQ:$BQ,'CFR 2023-24'!$D:$D,'2024-25 Budgets'!BJ5)</f>
        <v>-4910.7399999997579</v>
      </c>
      <c r="BK67" s="531">
        <f>SUMIFS('CFR 2023-24'!$BQ:$BQ,'CFR 2023-24'!$D:$D,'2024-25 Budgets'!BK5)</f>
        <v>255603.00999999978</v>
      </c>
      <c r="BL67" s="531">
        <f>SUMIFS('CFR 2023-24'!$BQ:$BQ,'CFR 2023-24'!$D:$D,'2024-25 Budgets'!BL5)</f>
        <v>965685.71</v>
      </c>
      <c r="BM67" s="531">
        <f>SUMIFS('CFR 2023-24'!$BQ:$BQ,'CFR 2023-24'!$D:$D,'2024-25 Budgets'!BM5)</f>
        <v>102311.71999999974</v>
      </c>
      <c r="BN67" s="531">
        <f>SUMIFS('CFR 2023-24'!$BQ:$BQ,'CFR 2023-24'!$D:$D,'2024-25 Budgets'!BN5)</f>
        <v>131396.0400000005</v>
      </c>
      <c r="BO67" s="531">
        <f>SUMIFS('CFR 2023-24'!$BQ:$BQ,'CFR 2023-24'!$D:$D,'2024-25 Budgets'!BO5)</f>
        <v>165385.20000000042</v>
      </c>
      <c r="BP67" s="531">
        <f>SUMIFS('CFR 2023-24'!$BQ:$BQ,'CFR 2023-24'!$D:$D,'2024-25 Budgets'!BP5)</f>
        <v>155004.98999999976</v>
      </c>
      <c r="BQ67" s="531">
        <f>SUMIFS('CFR 2023-24'!$BQ:$BQ,'CFR 2023-24'!$D:$D,'2024-25 Budgets'!BQ5)</f>
        <v>-697085.94</v>
      </c>
      <c r="BR67" s="531">
        <f>SUMIFS('CFR 2023-24'!$BQ:$BQ,'CFR 2023-24'!$D:$D,'2024-25 Budgets'!BR5)</f>
        <v>-22446.280000001192</v>
      </c>
      <c r="BS67" s="531">
        <f>SUMIFS('CFR 2023-24'!$BQ:$BQ,'CFR 2023-24'!$D:$D,'2024-25 Budgets'!BS5)</f>
        <v>129135.46999999997</v>
      </c>
      <c r="BT67" s="531">
        <f>SUMIFS('CFR 2023-24'!$BQ:$BQ,'CFR 2023-24'!$D:$D,'2024-25 Budgets'!BT5)</f>
        <v>181780.90000000061</v>
      </c>
      <c r="BU67" s="531">
        <f>SUMIFS('CFR 2023-24'!$BQ:$BQ,'CFR 2023-24'!$D:$D,'2024-25 Budgets'!BU5)</f>
        <v>36396.100000000093</v>
      </c>
      <c r="BV67" s="531">
        <f>SUMIFS('CFR 2023-24'!$BQ:$BQ,'CFR 2023-24'!$D:$D,'2024-25 Budgets'!BV5)</f>
        <v>-405109.0299999998</v>
      </c>
      <c r="BW67" s="531">
        <f>SUMIFS('CFR 2023-24'!$BQ:$BQ,'CFR 2023-24'!$D:$D,'2024-25 Budgets'!BW5)</f>
        <v>-16156.029999999795</v>
      </c>
      <c r="BX67" s="531">
        <f>SUMIFS('CFR 2023-24'!$BQ:$BQ,'CFR 2023-24'!$D:$D,'2024-25 Budgets'!BX5)</f>
        <v>298623.09000000008</v>
      </c>
      <c r="BY67" s="531">
        <f>SUMIFS('CFR 2023-24'!$BQ:$BQ,'CFR 2023-24'!$D:$D,'2024-25 Budgets'!BY5)</f>
        <v>-39320.700000000186</v>
      </c>
      <c r="BZ67" s="531">
        <f>SUMIFS('CFR 2023-24'!$BQ:$BQ,'CFR 2023-24'!$D:$D,'2024-25 Budgets'!BZ5)</f>
        <v>-332763.03000000026</v>
      </c>
      <c r="CA67" s="531">
        <f>SUMIFS('CFR 2023-24'!$BQ:$BQ,'CFR 2023-24'!$D:$D,'2024-25 Budgets'!CA5)</f>
        <v>453008.10000000068</v>
      </c>
      <c r="CB67" s="531">
        <f>SUMIFS('CFR 2023-24'!$BQ:$BQ,'CFR 2023-24'!$D:$D,'2024-25 Budgets'!CB5)</f>
        <v>180558.93000000017</v>
      </c>
      <c r="CC67" s="531">
        <f>SUMIFS('CFR 2023-24'!$BQ:$BQ,'CFR 2023-24'!$D:$D,'2024-25 Budgets'!CC5)</f>
        <v>312024.26999999909</v>
      </c>
      <c r="CD67" s="531">
        <f>SUMIFS('CFR 2023-24'!$BQ:$BQ,'CFR 2023-24'!$D:$D,'2024-25 Budgets'!CD5)</f>
        <v>-212590.19999999972</v>
      </c>
      <c r="CE67" s="531">
        <f>SUMIFS('CFR 2023-24'!$BQ:$BQ,'CFR 2023-24'!$D:$D,'2024-25 Budgets'!CE5)</f>
        <v>65267.169999999693</v>
      </c>
      <c r="CF67" s="531">
        <f>SUMIFS('CFR 2023-24'!$BQ:$BQ,'CFR 2023-24'!$D:$D,'2024-25 Budgets'!CF5)</f>
        <v>1474540.8499999959</v>
      </c>
      <c r="CG67" s="531">
        <f>SUMIFS('CFR 2023-24'!$BQ:$BQ,'CFR 2023-24'!$D:$D,'2024-25 Budgets'!CG5)</f>
        <v>1029889.299999997</v>
      </c>
      <c r="CH67" s="531">
        <f>SUMIFS('CFR 2023-24'!$BQ:$BQ,'CFR 2023-24'!$D:$D,'2024-25 Budgets'!CH5)</f>
        <v>390305.05000000261</v>
      </c>
      <c r="CI67" s="531">
        <f>SUMIFS('CFR 2023-24'!$BQ:$BQ,'CFR 2023-24'!$D:$D,'2024-25 Budgets'!CI5)</f>
        <v>61322.020000001416</v>
      </c>
      <c r="CJ67" s="531">
        <f>SUMIFS('CFR 2023-24'!$BQ:$BQ,'CFR 2023-24'!$D:$D,'2024-25 Budgets'!CJ5)</f>
        <v>34492.64000000013</v>
      </c>
      <c r="CK67" s="531">
        <f>SUMIFS('CFR 2023-24'!$BQ:$BQ,'CFR 2023-24'!$D:$D,'2024-25 Budgets'!CK5)</f>
        <v>516758.36999999732</v>
      </c>
      <c r="CL67" s="531">
        <f>SUMIFS('CFR 2023-24'!$BQ:$BQ,'CFR 2023-24'!$D:$D,'2024-25 Budgets'!CL5)</f>
        <v>147955.10999999754</v>
      </c>
      <c r="CM67" s="531">
        <f>SUMIFS('CFR 2023-24'!$BQ:$BQ,'CFR 2023-24'!$D:$D,'2024-25 Budgets'!CM5)</f>
        <v>0</v>
      </c>
      <c r="CN67" s="531">
        <f>SUMIFS('CFR 2023-24'!$BQ:$BQ,'CFR 2023-24'!$D:$D,'2024-25 Budgets'!CN5)</f>
        <v>0</v>
      </c>
      <c r="CO67" s="531">
        <f>SUMIFS('CFR 2023-24'!$BQ:$BQ,'CFR 2023-24'!$D:$D,'2024-25 Budgets'!CO5)</f>
        <v>0</v>
      </c>
      <c r="CP67" s="531">
        <f>SUMIFS('CFR 2023-24'!$BQ:$BQ,'CFR 2023-24'!$D:$D,'2024-25 Budgets'!CP5)</f>
        <v>0</v>
      </c>
      <c r="CQ67" s="531">
        <f>SUMIFS('CFR 2023-24'!$BQ:$BQ,'CFR 2023-24'!$D:$D,'2024-25 Budgets'!CQ5)</f>
        <v>0</v>
      </c>
    </row>
    <row r="68" spans="1:95">
      <c r="A68" s="372" t="s">
        <v>233</v>
      </c>
      <c r="B68" s="372" t="s">
        <v>236</v>
      </c>
      <c r="C68" s="531">
        <f>SUMIFS('CFR 2023-24'!$BR:$BR,'CFR 2023-24'!$D:$D,'2024-25 Budgets'!C5)</f>
        <v>-22847.219999999979</v>
      </c>
      <c r="D68" s="531">
        <f>SUMIFS('CFR 2023-24'!$BR:$BR,'CFR 2023-24'!$D:$D,'2024-25 Budgets'!D5)</f>
        <v>0</v>
      </c>
      <c r="E68" s="531">
        <f>SUMIFS('CFR 2023-24'!$BR:$BR,'CFR 2023-24'!$D:$D,'2024-25 Budgets'!E5)</f>
        <v>0</v>
      </c>
      <c r="F68" s="531">
        <f>SUMIFS('CFR 2023-24'!$BR:$BR,'CFR 2023-24'!$D:$D,'2024-25 Budgets'!F5)</f>
        <v>0</v>
      </c>
      <c r="G68" s="531">
        <f>SUMIFS('CFR 2023-24'!$BR:$BR,'CFR 2023-24'!$D:$D,'2024-25 Budgets'!G5)</f>
        <v>0</v>
      </c>
      <c r="H68" s="531">
        <f>SUMIFS('CFR 2023-24'!$BR:$BR,'CFR 2023-24'!$D:$D,'2024-25 Budgets'!H5)</f>
        <v>0</v>
      </c>
      <c r="I68" s="531">
        <f>SUMIFS('CFR 2023-24'!$BR:$BR,'CFR 2023-24'!$D:$D,'2024-25 Budgets'!I5)</f>
        <v>0</v>
      </c>
      <c r="J68" s="531">
        <f>SUMIFS('CFR 2023-24'!$BR:$BR,'CFR 2023-24'!$D:$D,'2024-25 Budgets'!J5)</f>
        <v>0</v>
      </c>
      <c r="K68" s="531">
        <f>SUMIFS('CFR 2023-24'!$BR:$BR,'CFR 2023-24'!$D:$D,'2024-25 Budgets'!K5)</f>
        <v>0</v>
      </c>
      <c r="L68" s="531">
        <f>SUMIFS('CFR 2023-24'!$BR:$BR,'CFR 2023-24'!$D:$D,'2024-25 Budgets'!L5)</f>
        <v>-2791</v>
      </c>
      <c r="M68" s="531">
        <f>SUMIFS('CFR 2023-24'!$BR:$BR,'CFR 2023-24'!$D:$D,'2024-25 Budgets'!M5)</f>
        <v>0</v>
      </c>
      <c r="N68" s="531">
        <f>SUMIFS('CFR 2023-24'!$BR:$BR,'CFR 2023-24'!$D:$D,'2024-25 Budgets'!N5)</f>
        <v>0</v>
      </c>
      <c r="O68" s="531">
        <f>SUMIFS('CFR 2023-24'!$BR:$BR,'CFR 2023-24'!$D:$D,'2024-25 Budgets'!O5)</f>
        <v>0</v>
      </c>
      <c r="P68" s="531">
        <f>SUMIFS('CFR 2023-24'!$BR:$BR,'CFR 2023-24'!$D:$D,'2024-25 Budgets'!P5)</f>
        <v>0</v>
      </c>
      <c r="Q68" s="531">
        <f>SUMIFS('CFR 2023-24'!$BR:$BR,'CFR 2023-24'!$D:$D,'2024-25 Budgets'!Q5)</f>
        <v>0</v>
      </c>
      <c r="R68" s="531">
        <f>SUMIFS('CFR 2023-24'!$BR:$BR,'CFR 2023-24'!$D:$D,'2024-25 Budgets'!R5)</f>
        <v>104229</v>
      </c>
      <c r="S68" s="531">
        <f>SUMIFS('CFR 2023-24'!$BR:$BR,'CFR 2023-24'!$D:$D,'2024-25 Budgets'!S5)</f>
        <v>0</v>
      </c>
      <c r="T68" s="531">
        <f>SUMIFS('CFR 2023-24'!$BR:$BR,'CFR 2023-24'!$D:$D,'2024-25 Budgets'!T5)</f>
        <v>0</v>
      </c>
      <c r="U68" s="531">
        <f>SUMIFS('CFR 2023-24'!$BR:$BR,'CFR 2023-24'!$D:$D,'2024-25 Budgets'!U5)</f>
        <v>0</v>
      </c>
      <c r="V68" s="531">
        <f>SUMIFS('CFR 2023-24'!$BR:$BR,'CFR 2023-24'!$D:$D,'2024-25 Budgets'!V5)</f>
        <v>0</v>
      </c>
      <c r="W68" s="531">
        <f>SUMIFS('CFR 2023-24'!$BR:$BR,'CFR 2023-24'!$D:$D,'2024-25 Budgets'!W5)</f>
        <v>0</v>
      </c>
      <c r="X68" s="531">
        <f>SUMIFS('CFR 2023-24'!$BR:$BR,'CFR 2023-24'!$D:$D,'2024-25 Budgets'!X5)</f>
        <v>0</v>
      </c>
      <c r="Y68" s="531">
        <f>SUMIFS('CFR 2023-24'!$BR:$BR,'CFR 2023-24'!$D:$D,'2024-25 Budgets'!Y5)</f>
        <v>0</v>
      </c>
      <c r="Z68" s="531">
        <f>SUMIFS('CFR 2023-24'!$BR:$BR,'CFR 2023-24'!$D:$D,'2024-25 Budgets'!Z5)</f>
        <v>0</v>
      </c>
      <c r="AA68" s="531">
        <f>SUMIFS('CFR 2023-24'!$BR:$BR,'CFR 2023-24'!$D:$D,'2024-25 Budgets'!AA5)</f>
        <v>87885.93</v>
      </c>
      <c r="AB68" s="531">
        <f>SUMIFS('CFR 2023-24'!$BR:$BR,'CFR 2023-24'!$D:$D,'2024-25 Budgets'!AB5)</f>
        <v>0</v>
      </c>
      <c r="AC68" s="531">
        <f>SUMIFS('CFR 2023-24'!$BR:$BR,'CFR 2023-24'!$D:$D,'2024-25 Budgets'!AC5)</f>
        <v>0</v>
      </c>
      <c r="AD68" s="531">
        <f>SUMIFS('CFR 2023-24'!$BR:$BR,'CFR 2023-24'!$D:$D,'2024-25 Budgets'!AD5)</f>
        <v>-1965</v>
      </c>
      <c r="AE68" s="531">
        <f>SUMIFS('CFR 2023-24'!$BR:$BR,'CFR 2023-24'!$D:$D,'2024-25 Budgets'!AE5)</f>
        <v>0</v>
      </c>
      <c r="AF68" s="531">
        <f>SUMIFS('CFR 2023-24'!$BR:$BR,'CFR 2023-24'!$D:$D,'2024-25 Budgets'!AF5)</f>
        <v>0</v>
      </c>
      <c r="AG68" s="531">
        <f>SUMIFS('CFR 2023-24'!$BR:$BR,'CFR 2023-24'!$D:$D,'2024-25 Budgets'!AG5)</f>
        <v>0</v>
      </c>
      <c r="AH68" s="531">
        <f>SUMIFS('CFR 2023-24'!$BR:$BR,'CFR 2023-24'!$D:$D,'2024-25 Budgets'!AH5)</f>
        <v>53977.489999999991</v>
      </c>
      <c r="AI68" s="531">
        <f>SUMIFS('CFR 2023-24'!$BR:$BR,'CFR 2023-24'!$D:$D,'2024-25 Budgets'!AI5)</f>
        <v>0</v>
      </c>
      <c r="AJ68" s="531">
        <f>SUMIFS('CFR 2023-24'!$BR:$BR,'CFR 2023-24'!$D:$D,'2024-25 Budgets'!AJ5)</f>
        <v>0</v>
      </c>
      <c r="AK68" s="531">
        <f>SUMIFS('CFR 2023-24'!$BR:$BR,'CFR 2023-24'!$D:$D,'2024-25 Budgets'!AK5)</f>
        <v>0</v>
      </c>
      <c r="AL68" s="531">
        <f>SUMIFS('CFR 2023-24'!$BR:$BR,'CFR 2023-24'!$D:$D,'2024-25 Budgets'!AL5)</f>
        <v>0</v>
      </c>
      <c r="AM68" s="531">
        <f>SUMIFS('CFR 2023-24'!$BR:$BR,'CFR 2023-24'!$D:$D,'2024-25 Budgets'!AM5)</f>
        <v>0</v>
      </c>
      <c r="AN68" s="531">
        <f>SUMIFS('CFR 2023-24'!$BR:$BR,'CFR 2023-24'!$D:$D,'2024-25 Budgets'!AN5)</f>
        <v>0</v>
      </c>
      <c r="AO68" s="531">
        <f>SUMIFS('CFR 2023-24'!$BR:$BR,'CFR 2023-24'!$D:$D,'2024-25 Budgets'!AO5)</f>
        <v>0</v>
      </c>
      <c r="AP68" s="531">
        <f>SUMIFS('CFR 2023-24'!$BR:$BR,'CFR 2023-24'!$D:$D,'2024-25 Budgets'!AP5)</f>
        <v>0</v>
      </c>
      <c r="AQ68" s="531">
        <f>SUMIFS('CFR 2023-24'!$BR:$BR,'CFR 2023-24'!$D:$D,'2024-25 Budgets'!AQ5)</f>
        <v>0</v>
      </c>
      <c r="AR68" s="531">
        <f>SUMIFS('CFR 2023-24'!$BR:$BR,'CFR 2023-24'!$D:$D,'2024-25 Budgets'!AR5)</f>
        <v>0</v>
      </c>
      <c r="AS68" s="531">
        <f>SUMIFS('CFR 2023-24'!$BR:$BR,'CFR 2023-24'!$D:$D,'2024-25 Budgets'!AS5)</f>
        <v>0</v>
      </c>
      <c r="AT68" s="531">
        <f>SUMIFS('CFR 2023-24'!$BR:$BR,'CFR 2023-24'!$D:$D,'2024-25 Budgets'!AT5)</f>
        <v>0</v>
      </c>
      <c r="AU68" s="531">
        <f>SUMIFS('CFR 2023-24'!$BR:$BR,'CFR 2023-24'!$D:$D,'2024-25 Budgets'!AU5)</f>
        <v>0</v>
      </c>
      <c r="AV68" s="531">
        <f>SUMIFS('CFR 2023-24'!$BR:$BR,'CFR 2023-24'!$D:$D,'2024-25 Budgets'!AV5)</f>
        <v>0</v>
      </c>
      <c r="AW68" s="531">
        <f>SUMIFS('CFR 2023-24'!$BR:$BR,'CFR 2023-24'!$D:$D,'2024-25 Budgets'!AW5)</f>
        <v>0</v>
      </c>
      <c r="AX68" s="531">
        <f>SUMIFS('CFR 2023-24'!$BR:$BR,'CFR 2023-24'!$D:$D,'2024-25 Budgets'!AX5)</f>
        <v>0</v>
      </c>
      <c r="AY68" s="531">
        <f>SUMIFS('CFR 2023-24'!$BR:$BR,'CFR 2023-24'!$D:$D,'2024-25 Budgets'!AY5)</f>
        <v>0</v>
      </c>
      <c r="AZ68" s="531">
        <f>SUMIFS('CFR 2023-24'!$BR:$BR,'CFR 2023-24'!$D:$D,'2024-25 Budgets'!AZ5)</f>
        <v>0</v>
      </c>
      <c r="BA68" s="531">
        <f>SUMIFS('CFR 2023-24'!$BR:$BR,'CFR 2023-24'!$D:$D,'2024-25 Budgets'!BA5)</f>
        <v>0</v>
      </c>
      <c r="BB68" s="531">
        <f>SUMIFS('CFR 2023-24'!$BR:$BR,'CFR 2023-24'!$D:$D,'2024-25 Budgets'!BB5)</f>
        <v>0</v>
      </c>
      <c r="BC68" s="531">
        <f>SUMIFS('CFR 2023-24'!$BR:$BR,'CFR 2023-24'!$D:$D,'2024-25 Budgets'!BC5)</f>
        <v>0</v>
      </c>
      <c r="BD68" s="531">
        <f>SUMIFS('CFR 2023-24'!$BR:$BR,'CFR 2023-24'!$D:$D,'2024-25 Budgets'!BD5)</f>
        <v>-796.15</v>
      </c>
      <c r="BE68" s="531">
        <f>SUMIFS('CFR 2023-24'!$BR:$BR,'CFR 2023-24'!$D:$D,'2024-25 Budgets'!BE5)</f>
        <v>0</v>
      </c>
      <c r="BF68" s="531">
        <f>SUMIFS('CFR 2023-24'!$BR:$BR,'CFR 2023-24'!$D:$D,'2024-25 Budgets'!BF5)</f>
        <v>0</v>
      </c>
      <c r="BG68" s="531">
        <f>SUMIFS('CFR 2023-24'!$BR:$BR,'CFR 2023-24'!$D:$D,'2024-25 Budgets'!BG5)</f>
        <v>0</v>
      </c>
      <c r="BH68" s="531">
        <f>SUMIFS('CFR 2023-24'!$BR:$BR,'CFR 2023-24'!$D:$D,'2024-25 Budgets'!BH5)</f>
        <v>0</v>
      </c>
      <c r="BI68" s="531">
        <f>SUMIFS('CFR 2023-24'!$BR:$BR,'CFR 2023-24'!$D:$D,'2024-25 Budgets'!BI5)</f>
        <v>0</v>
      </c>
      <c r="BJ68" s="531">
        <f>SUMIFS('CFR 2023-24'!$BR:$BR,'CFR 2023-24'!$D:$D,'2024-25 Budgets'!BJ5)</f>
        <v>0</v>
      </c>
      <c r="BK68" s="531">
        <f>SUMIFS('CFR 2023-24'!$BR:$BR,'CFR 2023-24'!$D:$D,'2024-25 Budgets'!BK5)</f>
        <v>0</v>
      </c>
      <c r="BL68" s="531">
        <f>SUMIFS('CFR 2023-24'!$BR:$BR,'CFR 2023-24'!$D:$D,'2024-25 Budgets'!BL5)</f>
        <v>0</v>
      </c>
      <c r="BM68" s="531">
        <f>SUMIFS('CFR 2023-24'!$BR:$BR,'CFR 2023-24'!$D:$D,'2024-25 Budgets'!BM5)</f>
        <v>0</v>
      </c>
      <c r="BN68" s="531">
        <f>SUMIFS('CFR 2023-24'!$BR:$BR,'CFR 2023-24'!$D:$D,'2024-25 Budgets'!BN5)</f>
        <v>0</v>
      </c>
      <c r="BO68" s="531">
        <f>SUMIFS('CFR 2023-24'!$BR:$BR,'CFR 2023-24'!$D:$D,'2024-25 Budgets'!BO5)</f>
        <v>0</v>
      </c>
      <c r="BP68" s="531">
        <f>SUMIFS('CFR 2023-24'!$BR:$BR,'CFR 2023-24'!$D:$D,'2024-25 Budgets'!BP5)</f>
        <v>0</v>
      </c>
      <c r="BQ68" s="531">
        <f>SUMIFS('CFR 2023-24'!$BR:$BR,'CFR 2023-24'!$D:$D,'2024-25 Budgets'!BQ5)</f>
        <v>0</v>
      </c>
      <c r="BR68" s="531">
        <f>SUMIFS('CFR 2023-24'!$BR:$BR,'CFR 2023-24'!$D:$D,'2024-25 Budgets'!BR5)</f>
        <v>0</v>
      </c>
      <c r="BS68" s="531">
        <f>SUMIFS('CFR 2023-24'!$BR:$BR,'CFR 2023-24'!$D:$D,'2024-25 Budgets'!BS5)</f>
        <v>0</v>
      </c>
      <c r="BT68" s="531">
        <f>SUMIFS('CFR 2023-24'!$BR:$BR,'CFR 2023-24'!$D:$D,'2024-25 Budgets'!BT5)</f>
        <v>0</v>
      </c>
      <c r="BU68" s="531">
        <f>SUMIFS('CFR 2023-24'!$BR:$BR,'CFR 2023-24'!$D:$D,'2024-25 Budgets'!BU5)</f>
        <v>0</v>
      </c>
      <c r="BV68" s="531">
        <f>SUMIFS('CFR 2023-24'!$BR:$BR,'CFR 2023-24'!$D:$D,'2024-25 Budgets'!BV5)</f>
        <v>0</v>
      </c>
      <c r="BW68" s="531">
        <f>SUMIFS('CFR 2023-24'!$BR:$BR,'CFR 2023-24'!$D:$D,'2024-25 Budgets'!BW5)</f>
        <v>0</v>
      </c>
      <c r="BX68" s="531">
        <f>SUMIFS('CFR 2023-24'!$BR:$BR,'CFR 2023-24'!$D:$D,'2024-25 Budgets'!BX5)</f>
        <v>0</v>
      </c>
      <c r="BY68" s="531">
        <f>SUMIFS('CFR 2023-24'!$BR:$BR,'CFR 2023-24'!$D:$D,'2024-25 Budgets'!BY5)</f>
        <v>0</v>
      </c>
      <c r="BZ68" s="531">
        <f>SUMIFS('CFR 2023-24'!$BR:$BR,'CFR 2023-24'!$D:$D,'2024-25 Budgets'!BZ5)</f>
        <v>0</v>
      </c>
      <c r="CA68" s="531">
        <f>SUMIFS('CFR 2023-24'!$BR:$BR,'CFR 2023-24'!$D:$D,'2024-25 Budgets'!CA5)</f>
        <v>17385.93</v>
      </c>
      <c r="CB68" s="531">
        <f>SUMIFS('CFR 2023-24'!$BR:$BR,'CFR 2023-24'!$D:$D,'2024-25 Budgets'!CB5)</f>
        <v>0</v>
      </c>
      <c r="CC68" s="531">
        <f>SUMIFS('CFR 2023-24'!$BR:$BR,'CFR 2023-24'!$D:$D,'2024-25 Budgets'!CC5)</f>
        <v>0</v>
      </c>
      <c r="CD68" s="531">
        <f>SUMIFS('CFR 2023-24'!$BR:$BR,'CFR 2023-24'!$D:$D,'2024-25 Budgets'!CD5)</f>
        <v>0</v>
      </c>
      <c r="CE68" s="531">
        <f>SUMIFS('CFR 2023-24'!$BR:$BR,'CFR 2023-24'!$D:$D,'2024-25 Budgets'!CE5)</f>
        <v>0</v>
      </c>
      <c r="CF68" s="531">
        <f>SUMIFS('CFR 2023-24'!$BR:$BR,'CFR 2023-24'!$D:$D,'2024-25 Budgets'!CF5)</f>
        <v>0</v>
      </c>
      <c r="CG68" s="531">
        <f>SUMIFS('CFR 2023-24'!$BR:$BR,'CFR 2023-24'!$D:$D,'2024-25 Budgets'!CG5)</f>
        <v>-4590</v>
      </c>
      <c r="CH68" s="531">
        <f>SUMIFS('CFR 2023-24'!$BR:$BR,'CFR 2023-24'!$D:$D,'2024-25 Budgets'!CH5)</f>
        <v>0</v>
      </c>
      <c r="CI68" s="531">
        <f>SUMIFS('CFR 2023-24'!$BR:$BR,'CFR 2023-24'!$D:$D,'2024-25 Budgets'!CI5)</f>
        <v>0</v>
      </c>
      <c r="CJ68" s="531">
        <f>SUMIFS('CFR 2023-24'!$BR:$BR,'CFR 2023-24'!$D:$D,'2024-25 Budgets'!CJ5)</f>
        <v>0</v>
      </c>
      <c r="CK68" s="531">
        <f>SUMIFS('CFR 2023-24'!$BR:$BR,'CFR 2023-24'!$D:$D,'2024-25 Budgets'!CK5)</f>
        <v>0</v>
      </c>
      <c r="CL68" s="531">
        <f>SUMIFS('CFR 2023-24'!$BR:$BR,'CFR 2023-24'!$D:$D,'2024-25 Budgets'!CL5)</f>
        <v>0</v>
      </c>
      <c r="CM68" s="531">
        <f>SUMIFS('CFR 2023-24'!$BR:$BR,'CFR 2023-24'!$D:$D,'2024-25 Budgets'!CM5)</f>
        <v>0</v>
      </c>
      <c r="CN68" s="531">
        <f>SUMIFS('CFR 2023-24'!$BR:$BR,'CFR 2023-24'!$D:$D,'2024-25 Budgets'!CN5)</f>
        <v>0</v>
      </c>
      <c r="CO68" s="531">
        <f>SUMIFS('CFR 2023-24'!$BR:$BR,'CFR 2023-24'!$D:$D,'2024-25 Budgets'!CO5)</f>
        <v>0</v>
      </c>
      <c r="CP68" s="531">
        <f>SUMIFS('CFR 2023-24'!$BR:$BR,'CFR 2023-24'!$D:$D,'2024-25 Budgets'!CP5)</f>
        <v>0</v>
      </c>
      <c r="CQ68" s="531">
        <f>SUMIFS('CFR 2023-24'!$BR:$BR,'CFR 2023-24'!$D:$D,'2024-25 Budgets'!CQ5)</f>
        <v>0</v>
      </c>
    </row>
    <row r="69" spans="1:95">
      <c r="A69" s="372"/>
      <c r="B69" s="372"/>
      <c r="C69" s="532"/>
      <c r="D69" s="532"/>
      <c r="E69" s="532"/>
      <c r="F69" s="532"/>
      <c r="G69" s="532"/>
      <c r="H69" s="532"/>
      <c r="I69" s="532"/>
      <c r="J69" s="532"/>
      <c r="K69" s="532"/>
      <c r="L69" s="532"/>
      <c r="M69" s="532"/>
      <c r="N69" s="532"/>
      <c r="O69" s="532"/>
      <c r="P69" s="532"/>
      <c r="Q69" s="532"/>
      <c r="R69" s="532"/>
      <c r="S69" s="532"/>
      <c r="T69" s="532"/>
      <c r="U69" s="532"/>
      <c r="V69" s="532"/>
      <c r="W69" s="532"/>
      <c r="X69" s="532"/>
      <c r="Y69" s="532"/>
      <c r="Z69" s="532"/>
      <c r="AA69" s="532"/>
      <c r="AB69" s="532"/>
      <c r="AC69" s="532"/>
      <c r="AD69" s="532"/>
      <c r="AE69" s="532"/>
      <c r="AF69" s="532"/>
      <c r="AG69" s="532"/>
      <c r="AH69" s="532"/>
      <c r="AI69" s="532"/>
      <c r="AJ69" s="532"/>
      <c r="AK69" s="532"/>
      <c r="AL69" s="532"/>
      <c r="AM69" s="532"/>
      <c r="AN69" s="532"/>
      <c r="AO69" s="532"/>
      <c r="AP69" s="532"/>
      <c r="AQ69" s="532"/>
      <c r="AR69" s="532"/>
      <c r="AS69" s="532"/>
      <c r="AT69" s="532"/>
      <c r="AU69" s="532"/>
      <c r="AV69" s="532"/>
      <c r="AW69" s="532"/>
      <c r="AX69" s="532"/>
      <c r="AY69" s="532"/>
      <c r="AZ69" s="532"/>
      <c r="BA69" s="532"/>
      <c r="BB69" s="532"/>
      <c r="BC69" s="532"/>
      <c r="BD69" s="532"/>
      <c r="BE69" s="532"/>
      <c r="BF69" s="532"/>
      <c r="BG69" s="532"/>
      <c r="BH69" s="532"/>
      <c r="BI69" s="532"/>
      <c r="BJ69" s="532"/>
      <c r="BK69" s="532"/>
      <c r="BL69" s="532"/>
      <c r="BM69" s="532"/>
      <c r="BN69" s="532"/>
      <c r="BO69" s="532"/>
      <c r="BP69" s="532"/>
      <c r="BQ69" s="532"/>
      <c r="BR69" s="532"/>
      <c r="BS69" s="532"/>
      <c r="BT69" s="532"/>
      <c r="BU69" s="532"/>
      <c r="BV69" s="532"/>
      <c r="BW69" s="532"/>
      <c r="BX69" s="532"/>
      <c r="BY69" s="532"/>
      <c r="BZ69" s="532"/>
      <c r="CA69" s="532"/>
      <c r="CB69" s="532"/>
      <c r="CC69" s="532"/>
      <c r="CD69" s="532"/>
      <c r="CE69" s="532"/>
      <c r="CF69" s="532"/>
      <c r="CG69" s="532"/>
      <c r="CH69" s="532"/>
      <c r="CI69" s="532"/>
      <c r="CJ69" s="532"/>
      <c r="CK69" s="532"/>
      <c r="CL69" s="532"/>
      <c r="CM69" s="532"/>
      <c r="CN69" s="532"/>
      <c r="CO69" s="532"/>
      <c r="CP69" s="532"/>
      <c r="CQ69" s="532"/>
    </row>
    <row r="70" spans="1:95" ht="15" thickBot="1">
      <c r="A70" s="429" t="s">
        <v>679</v>
      </c>
      <c r="B70" s="429"/>
      <c r="C70" s="430">
        <f t="shared" ref="C70:AH70" si="5">C29-C65</f>
        <v>189569.075390012</v>
      </c>
      <c r="D70" s="431">
        <f t="shared" si="5"/>
        <v>127815.78801150783</v>
      </c>
      <c r="E70" s="430">
        <f t="shared" si="5"/>
        <v>-193091.12449916825</v>
      </c>
      <c r="F70" s="432">
        <f t="shared" si="5"/>
        <v>-53414.499600000679</v>
      </c>
      <c r="G70" s="431">
        <f t="shared" si="5"/>
        <v>-309647.25693223905</v>
      </c>
      <c r="H70" s="430">
        <f t="shared" si="5"/>
        <v>-145744.54869999993</v>
      </c>
      <c r="I70" s="431">
        <f t="shared" si="5"/>
        <v>-46505.985800000839</v>
      </c>
      <c r="J70" s="430">
        <f t="shared" si="5"/>
        <v>-47107.298199999612</v>
      </c>
      <c r="K70" s="432">
        <f t="shared" si="5"/>
        <v>-73907.684239692753</v>
      </c>
      <c r="L70" s="432">
        <f t="shared" si="5"/>
        <v>38572.524999999907</v>
      </c>
      <c r="M70" s="432">
        <f t="shared" si="5"/>
        <v>83295.418700000038</v>
      </c>
      <c r="N70" s="432">
        <f t="shared" si="5"/>
        <v>2181.0684999998193</v>
      </c>
      <c r="O70" s="432">
        <f t="shared" si="5"/>
        <v>-23413.357860117685</v>
      </c>
      <c r="P70" s="432">
        <f t="shared" si="5"/>
        <v>0</v>
      </c>
      <c r="Q70" s="432">
        <f t="shared" si="5"/>
        <v>-19436.705900000175</v>
      </c>
      <c r="R70" s="433">
        <f t="shared" si="5"/>
        <v>0</v>
      </c>
      <c r="S70" s="432">
        <f t="shared" si="5"/>
        <v>-164591.52579999948</v>
      </c>
      <c r="T70" s="432">
        <f t="shared" si="5"/>
        <v>-28239.206400000025</v>
      </c>
      <c r="U70" s="432">
        <f t="shared" si="5"/>
        <v>-128550.89399999939</v>
      </c>
      <c r="V70" s="432">
        <f t="shared" si="5"/>
        <v>12154.99990000017</v>
      </c>
      <c r="W70" s="432">
        <f t="shared" si="5"/>
        <v>-40510.714973912574</v>
      </c>
      <c r="X70" s="432">
        <f t="shared" si="5"/>
        <v>-166097.75579999993</v>
      </c>
      <c r="Y70" s="432">
        <f t="shared" si="5"/>
        <v>-94516.182699999772</v>
      </c>
      <c r="Z70" s="432">
        <f t="shared" si="5"/>
        <v>17567.781699998304</v>
      </c>
      <c r="AA70" s="432">
        <f t="shared" si="5"/>
        <v>0</v>
      </c>
      <c r="AB70" s="432">
        <f t="shared" si="5"/>
        <v>-126598.80300000031</v>
      </c>
      <c r="AC70" s="432">
        <f t="shared" si="5"/>
        <v>0</v>
      </c>
      <c r="AD70" s="434">
        <f t="shared" si="5"/>
        <v>93203.284099999815</v>
      </c>
      <c r="AE70" s="435">
        <f t="shared" si="5"/>
        <v>-102352.97819999978</v>
      </c>
      <c r="AF70" s="436">
        <f t="shared" si="5"/>
        <v>-28744.579892456066</v>
      </c>
      <c r="AG70" s="432">
        <f t="shared" si="5"/>
        <v>-178264</v>
      </c>
      <c r="AH70" s="432">
        <f t="shared" si="5"/>
        <v>4742.4709999999031</v>
      </c>
      <c r="AI70" s="432">
        <f t="shared" ref="AI70:BN70" si="6">AI29-AI65</f>
        <v>-42729.919483487727</v>
      </c>
      <c r="AJ70" s="432">
        <f t="shared" si="6"/>
        <v>124422.54400353553</v>
      </c>
      <c r="AK70" s="432">
        <f t="shared" si="6"/>
        <v>5.9638000000268221</v>
      </c>
      <c r="AL70" s="432">
        <f t="shared" si="6"/>
        <v>-178579.44319999963</v>
      </c>
      <c r="AM70" s="432">
        <f t="shared" si="6"/>
        <v>10540.61260000011</v>
      </c>
      <c r="AN70" s="432">
        <f t="shared" si="6"/>
        <v>-301373.62479999987</v>
      </c>
      <c r="AO70" s="432">
        <f t="shared" si="6"/>
        <v>-139841.34009999968</v>
      </c>
      <c r="AP70" s="432">
        <f t="shared" si="6"/>
        <v>32685.393199999351</v>
      </c>
      <c r="AQ70" s="432">
        <f t="shared" si="6"/>
        <v>-10760.127900000196</v>
      </c>
      <c r="AR70" s="432">
        <f t="shared" si="6"/>
        <v>-241796.69080000045</v>
      </c>
      <c r="AS70" s="432">
        <f t="shared" si="6"/>
        <v>0</v>
      </c>
      <c r="AT70" s="432">
        <f t="shared" si="6"/>
        <v>0.30905227549374104</v>
      </c>
      <c r="AU70" s="432">
        <f t="shared" si="6"/>
        <v>72003.110000000102</v>
      </c>
      <c r="AV70" s="432">
        <f t="shared" si="6"/>
        <v>456.16831451980397</v>
      </c>
      <c r="AW70" s="432">
        <f t="shared" si="6"/>
        <v>-65897.959999999497</v>
      </c>
      <c r="AX70" s="432">
        <f t="shared" si="6"/>
        <v>-34071.569677378749</v>
      </c>
      <c r="AY70" s="432">
        <f t="shared" si="6"/>
        <v>-221957.27469199849</v>
      </c>
      <c r="AZ70" s="432">
        <f t="shared" si="6"/>
        <v>-163167.27979999967</v>
      </c>
      <c r="BA70" s="432">
        <f t="shared" si="6"/>
        <v>-38025.932399999816</v>
      </c>
      <c r="BB70" s="432">
        <f t="shared" si="6"/>
        <v>1.5409000003710389</v>
      </c>
      <c r="BC70" s="432">
        <f t="shared" si="6"/>
        <v>22300.208000000101</v>
      </c>
      <c r="BD70" s="432">
        <f t="shared" si="6"/>
        <v>28004.81410000287</v>
      </c>
      <c r="BE70" s="432">
        <f t="shared" si="6"/>
        <v>-186605.58290000027</v>
      </c>
      <c r="BF70" s="432">
        <f t="shared" si="6"/>
        <v>0</v>
      </c>
      <c r="BG70" s="432">
        <f t="shared" si="6"/>
        <v>100156.77320000017</v>
      </c>
      <c r="BH70" s="432">
        <f t="shared" si="6"/>
        <v>0</v>
      </c>
      <c r="BI70" s="432">
        <f t="shared" si="6"/>
        <v>-79941.13231746573</v>
      </c>
      <c r="BJ70" s="432">
        <f t="shared" si="6"/>
        <v>-271533.94830000028</v>
      </c>
      <c r="BK70" s="432">
        <f t="shared" si="6"/>
        <v>-148142.0438000001</v>
      </c>
      <c r="BL70" s="432">
        <f t="shared" si="6"/>
        <v>-357925.30349999992</v>
      </c>
      <c r="BM70" s="432">
        <f t="shared" si="6"/>
        <v>-38102.165399999823</v>
      </c>
      <c r="BN70" s="432">
        <f t="shared" si="6"/>
        <v>-123423.48169999942</v>
      </c>
      <c r="BO70" s="432">
        <f t="shared" ref="BO70:CL70" si="7">BO29-BO65</f>
        <v>-84884.903500000248</v>
      </c>
      <c r="BP70" s="432">
        <f t="shared" si="7"/>
        <v>-149717.09165383666</v>
      </c>
      <c r="BQ70" s="432">
        <f t="shared" si="7"/>
        <v>20374.819099999499</v>
      </c>
      <c r="BR70" s="432">
        <f t="shared" si="7"/>
        <v>-39691.276499999687</v>
      </c>
      <c r="BS70" s="432">
        <f t="shared" si="7"/>
        <v>-76229.460699999938</v>
      </c>
      <c r="BT70" s="432">
        <f t="shared" si="7"/>
        <v>-128111.96504123718</v>
      </c>
      <c r="BU70" s="432">
        <f t="shared" si="7"/>
        <v>-13521.789487668779</v>
      </c>
      <c r="BV70" s="432">
        <f t="shared" si="7"/>
        <v>0</v>
      </c>
      <c r="BW70" s="432">
        <f t="shared" si="7"/>
        <v>16164.561500000069</v>
      </c>
      <c r="BX70" s="432">
        <f t="shared" si="7"/>
        <v>-62822.267914397875</v>
      </c>
      <c r="BY70" s="432">
        <f t="shared" si="7"/>
        <v>28060.337944814935</v>
      </c>
      <c r="BZ70" s="432">
        <f t="shared" si="7"/>
        <v>0</v>
      </c>
      <c r="CA70" s="432">
        <f t="shared" si="7"/>
        <v>-129680.06569784321</v>
      </c>
      <c r="CB70" s="432">
        <f t="shared" si="7"/>
        <v>-74617.420398699585</v>
      </c>
      <c r="CC70" s="432">
        <f t="shared" si="7"/>
        <v>-124835.10841321619</v>
      </c>
      <c r="CD70" s="432">
        <f t="shared" si="7"/>
        <v>-16657.094300000928</v>
      </c>
      <c r="CE70" s="431">
        <f t="shared" si="7"/>
        <v>-59164.500499999849</v>
      </c>
      <c r="CF70" s="437">
        <f t="shared" si="7"/>
        <v>0</v>
      </c>
      <c r="CG70" s="430">
        <f t="shared" si="7"/>
        <v>-552894.13229999878</v>
      </c>
      <c r="CH70" s="432">
        <f t="shared" si="7"/>
        <v>-388783</v>
      </c>
      <c r="CI70" s="432">
        <f t="shared" si="7"/>
        <v>-58457.310500001535</v>
      </c>
      <c r="CJ70" s="432">
        <f t="shared" si="7"/>
        <v>-368780.1696000006</v>
      </c>
      <c r="CK70" s="432">
        <f t="shared" si="7"/>
        <v>18976.042499991134</v>
      </c>
      <c r="CL70" s="431">
        <f t="shared" si="7"/>
        <v>-147955.03650000039</v>
      </c>
      <c r="CN70" s="431">
        <f>CN29-CN65</f>
        <v>0</v>
      </c>
      <c r="CO70" s="431">
        <f>CO29-CO65</f>
        <v>0</v>
      </c>
      <c r="CP70" s="431">
        <f>CP29-CP65</f>
        <v>0</v>
      </c>
      <c r="CQ70" s="431">
        <f>CQ29-CQ65</f>
        <v>-1227.6351770822366</v>
      </c>
    </row>
    <row r="71" spans="1:95" ht="15" thickBot="1">
      <c r="A71" s="405"/>
      <c r="B71" s="405" t="s">
        <v>680</v>
      </c>
      <c r="C71" s="454">
        <v>-276116</v>
      </c>
      <c r="D71" s="454">
        <v>-122472</v>
      </c>
      <c r="E71" s="454">
        <v>440173</v>
      </c>
      <c r="F71" s="455">
        <v>94261</v>
      </c>
      <c r="G71" s="454">
        <v>63897</v>
      </c>
      <c r="H71" s="455">
        <v>0</v>
      </c>
      <c r="I71" s="455">
        <v>442197</v>
      </c>
      <c r="J71" s="456">
        <v>80805</v>
      </c>
      <c r="K71" s="454">
        <v>120908</v>
      </c>
      <c r="L71" s="456">
        <v>32000</v>
      </c>
      <c r="M71" s="457">
        <v>3286</v>
      </c>
      <c r="N71" s="455">
        <v>-8583.67</v>
      </c>
      <c r="O71" s="454">
        <v>38295</v>
      </c>
      <c r="P71" s="458"/>
      <c r="Q71" s="457">
        <v>91702</v>
      </c>
      <c r="R71" s="459"/>
      <c r="S71" s="457">
        <v>295857</v>
      </c>
      <c r="T71" s="456">
        <v>34078</v>
      </c>
      <c r="U71" s="456">
        <v>150290</v>
      </c>
      <c r="V71" s="456">
        <v>-112858</v>
      </c>
      <c r="W71" s="454">
        <v>-40015</v>
      </c>
      <c r="X71" s="456">
        <v>347636</v>
      </c>
      <c r="Y71" s="456">
        <v>-171997</v>
      </c>
      <c r="Z71" s="456">
        <v>80713.02</v>
      </c>
      <c r="AA71" s="458"/>
      <c r="AB71" s="456">
        <v>-6125</v>
      </c>
      <c r="AC71" s="458"/>
      <c r="AD71" s="456">
        <v>-58797</v>
      </c>
      <c r="AE71" s="456">
        <v>-24334</v>
      </c>
      <c r="AF71" s="460">
        <v>48310</v>
      </c>
      <c r="AG71" s="461">
        <v>31240</v>
      </c>
      <c r="AH71" s="456">
        <v>-68320</v>
      </c>
      <c r="AI71" s="454">
        <v>53929</v>
      </c>
      <c r="AJ71" s="454">
        <v>-99110</v>
      </c>
      <c r="AK71" s="456">
        <v>-247172</v>
      </c>
      <c r="AL71" s="456">
        <v>-94203</v>
      </c>
      <c r="AM71" s="462">
        <v>-212619.91</v>
      </c>
      <c r="AN71" s="458">
        <v>-19449</v>
      </c>
      <c r="AO71" s="456">
        <v>-86401</v>
      </c>
      <c r="AP71" s="456">
        <v>-26000</v>
      </c>
      <c r="AQ71" s="456">
        <v>41238</v>
      </c>
      <c r="AR71" s="458">
        <v>841905</v>
      </c>
      <c r="AS71" s="458"/>
      <c r="AT71" s="463">
        <v>322107</v>
      </c>
      <c r="AU71" s="458"/>
      <c r="AV71" s="458">
        <v>-19873.349999999162</v>
      </c>
      <c r="AW71" s="458">
        <v>65898</v>
      </c>
      <c r="AX71" s="458">
        <v>57476</v>
      </c>
      <c r="AY71" s="458">
        <v>279690.02</v>
      </c>
      <c r="AZ71" s="458">
        <v>106740</v>
      </c>
      <c r="BA71" s="458">
        <v>63981</v>
      </c>
      <c r="BB71" s="458">
        <v>0</v>
      </c>
      <c r="BC71" s="458">
        <v>-4518</v>
      </c>
      <c r="BD71" s="458">
        <v>-889733</v>
      </c>
      <c r="BE71" s="458">
        <v>451638</v>
      </c>
      <c r="BF71" s="458"/>
      <c r="BG71" s="464">
        <v>0</v>
      </c>
      <c r="BH71" s="458"/>
      <c r="BI71" s="458">
        <v>80112</v>
      </c>
      <c r="BJ71" s="458">
        <v>-4911</v>
      </c>
      <c r="BK71" s="458">
        <v>255603</v>
      </c>
      <c r="BL71" s="458">
        <v>965686</v>
      </c>
      <c r="BM71" s="458">
        <v>102000</v>
      </c>
      <c r="BN71" s="458">
        <v>131396</v>
      </c>
      <c r="BO71" s="458">
        <v>165385</v>
      </c>
      <c r="BP71" s="458">
        <v>155004</v>
      </c>
      <c r="BQ71" s="464">
        <v>0</v>
      </c>
      <c r="BR71" s="458">
        <v>-22446</v>
      </c>
      <c r="BS71" s="458">
        <v>129000</v>
      </c>
      <c r="BT71" s="458">
        <v>180128</v>
      </c>
      <c r="BU71" s="458">
        <v>36396</v>
      </c>
      <c r="BV71" s="458"/>
      <c r="BW71" s="458">
        <v>-16156</v>
      </c>
      <c r="BX71" s="458">
        <v>298623</v>
      </c>
      <c r="BY71" s="458">
        <v>-38000</v>
      </c>
      <c r="BZ71" s="458"/>
      <c r="CA71" s="458">
        <v>453008</v>
      </c>
      <c r="CB71" s="458">
        <v>180559</v>
      </c>
      <c r="CC71" s="458">
        <v>312024</v>
      </c>
      <c r="CD71" s="458">
        <v>-212590</v>
      </c>
      <c r="CE71" s="458">
        <v>65267</v>
      </c>
      <c r="CF71" s="458"/>
      <c r="CG71" s="458">
        <v>1025300</v>
      </c>
      <c r="CH71" s="458">
        <v>390305</v>
      </c>
      <c r="CI71" s="458">
        <v>59994</v>
      </c>
      <c r="CJ71" s="455">
        <v>34492</v>
      </c>
      <c r="CK71" s="458">
        <v>516758</v>
      </c>
      <c r="CL71" s="458">
        <v>147955</v>
      </c>
      <c r="CN71" s="458">
        <v>0</v>
      </c>
      <c r="CO71" s="458">
        <v>0</v>
      </c>
      <c r="CP71" s="458">
        <v>0</v>
      </c>
      <c r="CQ71" s="458">
        <v>17386</v>
      </c>
    </row>
    <row r="72" spans="1:95">
      <c r="A72" s="465" t="s">
        <v>681</v>
      </c>
      <c r="B72" s="465"/>
      <c r="C72" s="466">
        <f>SUM(C70:C71)</f>
        <v>-86546.924609987997</v>
      </c>
      <c r="D72" s="466">
        <f t="shared" ref="D72:AH72" si="8">SUM(D70:D71)</f>
        <v>5343.7880115078297</v>
      </c>
      <c r="E72" s="466">
        <f t="shared" si="8"/>
        <v>247081.87550083175</v>
      </c>
      <c r="F72" s="466">
        <f t="shared" si="8"/>
        <v>40846.500399999321</v>
      </c>
      <c r="G72" s="466">
        <f t="shared" si="8"/>
        <v>-245750.25693223905</v>
      </c>
      <c r="H72" s="466">
        <f t="shared" si="8"/>
        <v>-145744.54869999993</v>
      </c>
      <c r="I72" s="466">
        <f t="shared" si="8"/>
        <v>395691.01419999916</v>
      </c>
      <c r="J72" s="466">
        <f t="shared" si="8"/>
        <v>33697.701800000388</v>
      </c>
      <c r="K72" s="466">
        <f t="shared" si="8"/>
        <v>47000.315760307247</v>
      </c>
      <c r="L72" s="466">
        <f t="shared" si="8"/>
        <v>70572.524999999907</v>
      </c>
      <c r="M72" s="466">
        <f t="shared" si="8"/>
        <v>86581.418700000038</v>
      </c>
      <c r="N72" s="466">
        <f t="shared" si="8"/>
        <v>-6402.6015000001807</v>
      </c>
      <c r="O72" s="466">
        <f t="shared" si="8"/>
        <v>14881.642139882315</v>
      </c>
      <c r="P72" s="466">
        <f t="shared" si="8"/>
        <v>0</v>
      </c>
      <c r="Q72" s="466">
        <f t="shared" si="8"/>
        <v>72265.294099999825</v>
      </c>
      <c r="R72" s="466">
        <f t="shared" si="8"/>
        <v>0</v>
      </c>
      <c r="S72" s="466">
        <f t="shared" si="8"/>
        <v>131265.47420000052</v>
      </c>
      <c r="T72" s="466">
        <f t="shared" si="8"/>
        <v>5838.7935999999754</v>
      </c>
      <c r="U72" s="466">
        <f t="shared" si="8"/>
        <v>21739.106000000611</v>
      </c>
      <c r="V72" s="466">
        <f t="shared" si="8"/>
        <v>-100703.00009999983</v>
      </c>
      <c r="W72" s="466">
        <f t="shared" si="8"/>
        <v>-80525.714973912574</v>
      </c>
      <c r="X72" s="466">
        <f t="shared" si="8"/>
        <v>181538.24420000007</v>
      </c>
      <c r="Y72" s="466">
        <f t="shared" si="8"/>
        <v>-266513.18269999977</v>
      </c>
      <c r="Z72" s="466">
        <f t="shared" si="8"/>
        <v>98280.801699998308</v>
      </c>
      <c r="AA72" s="466">
        <f t="shared" si="8"/>
        <v>0</v>
      </c>
      <c r="AB72" s="466">
        <f t="shared" si="8"/>
        <v>-132723.80300000031</v>
      </c>
      <c r="AC72" s="466">
        <f t="shared" si="8"/>
        <v>0</v>
      </c>
      <c r="AD72" s="466">
        <f t="shared" si="8"/>
        <v>34406.284099999815</v>
      </c>
      <c r="AE72" s="466">
        <f t="shared" si="8"/>
        <v>-126686.97819999978</v>
      </c>
      <c r="AF72" s="466">
        <f t="shared" si="8"/>
        <v>19565.420107543934</v>
      </c>
      <c r="AG72" s="466">
        <f t="shared" si="8"/>
        <v>-147024</v>
      </c>
      <c r="AH72" s="466">
        <f t="shared" si="8"/>
        <v>-63577.529000000097</v>
      </c>
      <c r="AI72" s="466">
        <f t="shared" ref="AI72:BN72" si="9">SUM(AI70:AI71)</f>
        <v>11199.080516512273</v>
      </c>
      <c r="AJ72" s="466">
        <f t="shared" si="9"/>
        <v>25312.544003535528</v>
      </c>
      <c r="AK72" s="466">
        <f t="shared" si="9"/>
        <v>-247166.03619999997</v>
      </c>
      <c r="AL72" s="466">
        <f t="shared" si="9"/>
        <v>-272782.44319999963</v>
      </c>
      <c r="AM72" s="466">
        <f t="shared" si="9"/>
        <v>-202079.29739999989</v>
      </c>
      <c r="AN72" s="466">
        <f t="shared" si="9"/>
        <v>-320822.62479999987</v>
      </c>
      <c r="AO72" s="466">
        <f t="shared" si="9"/>
        <v>-226242.34009999968</v>
      </c>
      <c r="AP72" s="466">
        <f t="shared" si="9"/>
        <v>6685.3931999993511</v>
      </c>
      <c r="AQ72" s="466">
        <f t="shared" si="9"/>
        <v>30477.872099999804</v>
      </c>
      <c r="AR72" s="466">
        <f t="shared" si="9"/>
        <v>600108.30919999955</v>
      </c>
      <c r="AS72" s="466">
        <f t="shared" si="9"/>
        <v>0</v>
      </c>
      <c r="AT72" s="466">
        <f t="shared" si="9"/>
        <v>322107.30905227549</v>
      </c>
      <c r="AU72" s="466">
        <f t="shared" si="9"/>
        <v>72003.110000000102</v>
      </c>
      <c r="AV72" s="466">
        <f t="shared" si="9"/>
        <v>-19417.181685479358</v>
      </c>
      <c r="AW72" s="466">
        <f t="shared" si="9"/>
        <v>4.000000050291419E-2</v>
      </c>
      <c r="AX72" s="466">
        <f t="shared" si="9"/>
        <v>23404.430322621251</v>
      </c>
      <c r="AY72" s="466">
        <f t="shared" si="9"/>
        <v>57732.745308001526</v>
      </c>
      <c r="AZ72" s="466">
        <f t="shared" si="9"/>
        <v>-56427.279799999669</v>
      </c>
      <c r="BA72" s="466">
        <f t="shared" si="9"/>
        <v>25955.067600000184</v>
      </c>
      <c r="BB72" s="466">
        <f t="shared" si="9"/>
        <v>1.5409000003710389</v>
      </c>
      <c r="BC72" s="466">
        <f t="shared" si="9"/>
        <v>17782.208000000101</v>
      </c>
      <c r="BD72" s="466">
        <f t="shared" si="9"/>
        <v>-861728.18589999713</v>
      </c>
      <c r="BE72" s="466">
        <f t="shared" si="9"/>
        <v>265032.41709999973</v>
      </c>
      <c r="BF72" s="466">
        <f t="shared" si="9"/>
        <v>0</v>
      </c>
      <c r="BG72" s="466">
        <f t="shared" si="9"/>
        <v>100156.77320000017</v>
      </c>
      <c r="BH72" s="466">
        <f t="shared" si="9"/>
        <v>0</v>
      </c>
      <c r="BI72" s="466">
        <f t="shared" si="9"/>
        <v>170.86768253426999</v>
      </c>
      <c r="BJ72" s="466">
        <f t="shared" si="9"/>
        <v>-276444.94830000028</v>
      </c>
      <c r="BK72" s="466">
        <f t="shared" si="9"/>
        <v>107460.9561999999</v>
      </c>
      <c r="BL72" s="466">
        <f t="shared" si="9"/>
        <v>607760.69650000008</v>
      </c>
      <c r="BM72" s="466">
        <f t="shared" si="9"/>
        <v>63897.834600000177</v>
      </c>
      <c r="BN72" s="466">
        <f t="shared" si="9"/>
        <v>7972.5183000005782</v>
      </c>
      <c r="BO72" s="466">
        <f t="shared" ref="BO72:CL72" si="10">SUM(BO70:BO71)</f>
        <v>80500.096499999752</v>
      </c>
      <c r="BP72" s="466">
        <f t="shared" si="10"/>
        <v>5286.9083461633418</v>
      </c>
      <c r="BQ72" s="466">
        <f t="shared" si="10"/>
        <v>20374.819099999499</v>
      </c>
      <c r="BR72" s="466">
        <f t="shared" si="10"/>
        <v>-62137.276499999687</v>
      </c>
      <c r="BS72" s="466">
        <f t="shared" si="10"/>
        <v>52770.539300000062</v>
      </c>
      <c r="BT72" s="466">
        <f t="shared" si="10"/>
        <v>52016.034958762815</v>
      </c>
      <c r="BU72" s="466">
        <f t="shared" si="10"/>
        <v>22874.210512331221</v>
      </c>
      <c r="BV72" s="466">
        <f t="shared" si="10"/>
        <v>0</v>
      </c>
      <c r="BW72" s="466">
        <f t="shared" si="10"/>
        <v>8.5615000000689179</v>
      </c>
      <c r="BX72" s="466">
        <f t="shared" si="10"/>
        <v>235800.73208560213</v>
      </c>
      <c r="BY72" s="466">
        <f t="shared" si="10"/>
        <v>-9939.6620551850647</v>
      </c>
      <c r="BZ72" s="466">
        <f t="shared" si="10"/>
        <v>0</v>
      </c>
      <c r="CA72" s="466">
        <f t="shared" si="10"/>
        <v>323327.93430215679</v>
      </c>
      <c r="CB72" s="466">
        <f t="shared" si="10"/>
        <v>105941.57960130041</v>
      </c>
      <c r="CC72" s="466">
        <f t="shared" si="10"/>
        <v>187188.89158678381</v>
      </c>
      <c r="CD72" s="466">
        <f t="shared" si="10"/>
        <v>-229247.09430000093</v>
      </c>
      <c r="CE72" s="466">
        <f t="shared" si="10"/>
        <v>6102.4995000001509</v>
      </c>
      <c r="CF72" s="466">
        <f t="shared" si="10"/>
        <v>0</v>
      </c>
      <c r="CG72" s="466">
        <f t="shared" si="10"/>
        <v>472405.86770000122</v>
      </c>
      <c r="CH72" s="466">
        <f t="shared" si="10"/>
        <v>1522</v>
      </c>
      <c r="CI72" s="466">
        <f t="shared" si="10"/>
        <v>1536.6894999984652</v>
      </c>
      <c r="CJ72" s="466">
        <f t="shared" si="10"/>
        <v>-334288.1696000006</v>
      </c>
      <c r="CK72" s="466">
        <f t="shared" si="10"/>
        <v>535734.04249999113</v>
      </c>
      <c r="CL72" s="466">
        <f t="shared" si="10"/>
        <v>-3.6500000394880772E-2</v>
      </c>
      <c r="CN72" s="467">
        <f>SUM(CN70:CN71)</f>
        <v>0</v>
      </c>
      <c r="CO72" s="467">
        <f>SUM(CO70:CO71)</f>
        <v>0</v>
      </c>
      <c r="CP72" s="467">
        <f>SUM(CP70:CP71)</f>
        <v>0</v>
      </c>
      <c r="CQ72" s="467">
        <f>SUM(CQ70:CQ71)</f>
        <v>16158.364822917763</v>
      </c>
    </row>
    <row r="73" spans="1:95">
      <c r="A73" s="468"/>
      <c r="B73" s="468"/>
      <c r="C73" s="469"/>
      <c r="D73" s="470"/>
      <c r="E73" s="469"/>
      <c r="F73" s="468"/>
      <c r="G73" s="470"/>
      <c r="H73" s="438"/>
      <c r="I73" s="439"/>
      <c r="J73" s="438"/>
      <c r="K73" s="372"/>
      <c r="L73" s="372"/>
      <c r="M73" s="372"/>
      <c r="N73" s="372"/>
      <c r="O73" s="372"/>
      <c r="P73" s="372"/>
      <c r="Q73" s="372"/>
      <c r="R73" s="373"/>
      <c r="S73" s="372"/>
      <c r="T73" s="372"/>
      <c r="U73" s="372"/>
      <c r="V73" s="372"/>
      <c r="W73" s="372"/>
      <c r="X73" s="372"/>
      <c r="Y73" s="372"/>
      <c r="Z73" s="372"/>
      <c r="AA73" s="372"/>
      <c r="AB73" s="372"/>
      <c r="AC73" s="372"/>
      <c r="AD73" s="372"/>
      <c r="AE73" s="440"/>
      <c r="AF73" s="372"/>
      <c r="AG73" s="372"/>
      <c r="AH73" s="372"/>
      <c r="AI73" s="372"/>
      <c r="AJ73" s="372"/>
      <c r="AK73" s="372"/>
      <c r="AL73" s="372"/>
      <c r="AM73" s="372"/>
      <c r="AN73" s="372"/>
      <c r="AO73" s="372"/>
      <c r="AP73" s="372"/>
      <c r="AQ73" s="372"/>
      <c r="AR73" s="372"/>
      <c r="AS73" s="372"/>
      <c r="AT73" s="372"/>
      <c r="AU73" s="372"/>
      <c r="AV73" s="372"/>
      <c r="AW73" s="372"/>
      <c r="AX73" s="372"/>
      <c r="AY73" s="372"/>
      <c r="AZ73" s="372"/>
      <c r="BA73" s="372"/>
      <c r="BB73" s="372"/>
      <c r="BC73" s="372"/>
      <c r="BD73" s="372"/>
      <c r="BE73" s="372"/>
      <c r="BF73" s="372"/>
      <c r="BG73" s="372"/>
      <c r="BH73" s="372"/>
      <c r="BI73" s="372"/>
      <c r="BJ73" s="372"/>
      <c r="BK73" s="372"/>
      <c r="BL73" s="372"/>
      <c r="BM73" s="372"/>
      <c r="BN73" s="372"/>
      <c r="BO73" s="372"/>
      <c r="BP73" s="372"/>
      <c r="BQ73" s="372"/>
      <c r="BR73" s="372"/>
      <c r="BS73" s="372"/>
      <c r="BT73" s="372"/>
      <c r="BU73" s="372"/>
      <c r="BV73" s="372"/>
      <c r="BW73" s="372"/>
      <c r="BX73" s="372"/>
      <c r="BY73" s="372"/>
      <c r="BZ73" s="372"/>
      <c r="CA73" s="372"/>
      <c r="CB73" s="372"/>
      <c r="CC73" s="372"/>
      <c r="CD73" s="372"/>
      <c r="CE73" s="439"/>
      <c r="CF73" s="441"/>
      <c r="CG73" s="438"/>
      <c r="CH73" s="372"/>
      <c r="CI73" s="372"/>
      <c r="CJ73" s="372"/>
      <c r="CK73" s="372"/>
      <c r="CL73" s="439"/>
      <c r="CN73" s="439"/>
      <c r="CO73" s="439"/>
      <c r="CP73" s="439"/>
      <c r="CQ73" s="439"/>
    </row>
    <row r="74" spans="1:95">
      <c r="A74" s="400" t="s">
        <v>86</v>
      </c>
      <c r="B74" s="400"/>
      <c r="C74" s="400"/>
      <c r="D74" s="400"/>
      <c r="E74" s="400"/>
      <c r="F74" s="400"/>
      <c r="G74" s="400"/>
      <c r="H74" s="400"/>
      <c r="I74" s="400"/>
      <c r="J74" s="400"/>
      <c r="K74" s="400"/>
      <c r="L74" s="400"/>
      <c r="M74" s="400"/>
      <c r="N74" s="400"/>
      <c r="O74" s="400"/>
      <c r="P74" s="400"/>
      <c r="Q74" s="400"/>
      <c r="R74" s="442"/>
      <c r="S74" s="400"/>
      <c r="T74" s="400"/>
      <c r="U74" s="400"/>
      <c r="V74" s="400"/>
      <c r="W74" s="400"/>
      <c r="X74" s="400"/>
      <c r="Y74" s="400"/>
      <c r="Z74" s="400"/>
      <c r="AA74" s="400"/>
      <c r="AB74" s="400"/>
      <c r="AC74" s="400"/>
      <c r="AD74" s="429"/>
      <c r="AE74" s="435"/>
      <c r="AF74" s="443"/>
      <c r="AG74" s="400"/>
      <c r="AH74" s="400"/>
      <c r="AI74" s="400"/>
      <c r="AJ74" s="400"/>
      <c r="AK74" s="400"/>
      <c r="AL74" s="400"/>
      <c r="AM74" s="400"/>
      <c r="AN74" s="400"/>
      <c r="AO74" s="400"/>
      <c r="AP74" s="400"/>
      <c r="AQ74" s="400"/>
      <c r="AR74" s="400"/>
      <c r="AS74" s="400"/>
      <c r="AT74" s="400"/>
      <c r="AU74" s="400"/>
      <c r="AV74" s="400"/>
      <c r="AW74" s="400"/>
      <c r="AX74" s="400"/>
      <c r="AY74" s="400"/>
      <c r="AZ74" s="400"/>
      <c r="BA74" s="400"/>
      <c r="BB74" s="400"/>
      <c r="BC74" s="400"/>
      <c r="BD74" s="400"/>
      <c r="BE74" s="400"/>
      <c r="BF74" s="400"/>
      <c r="BG74" s="400"/>
      <c r="BH74" s="400"/>
      <c r="BI74" s="400"/>
      <c r="BJ74" s="400"/>
      <c r="BK74" s="400"/>
      <c r="BL74" s="400"/>
      <c r="BM74" s="400"/>
      <c r="BN74" s="400"/>
      <c r="BO74" s="400"/>
      <c r="BP74" s="400"/>
      <c r="BQ74" s="400"/>
      <c r="BR74" s="400"/>
      <c r="BS74" s="400"/>
      <c r="BT74" s="400"/>
      <c r="BU74" s="400"/>
      <c r="BV74" s="400"/>
      <c r="BW74" s="400"/>
      <c r="BX74" s="400"/>
      <c r="BY74" s="400"/>
      <c r="BZ74" s="400"/>
      <c r="CA74" s="400"/>
      <c r="CB74" s="400"/>
      <c r="CC74" s="400"/>
      <c r="CD74" s="400"/>
      <c r="CE74" s="400"/>
      <c r="CF74" s="400"/>
      <c r="CG74" s="400"/>
      <c r="CH74" s="400"/>
      <c r="CI74" s="400"/>
      <c r="CJ74" s="400"/>
      <c r="CK74" s="400"/>
      <c r="CL74" s="400"/>
      <c r="CN74" s="400"/>
      <c r="CO74" s="400"/>
      <c r="CP74" s="400"/>
      <c r="CQ74" s="400"/>
    </row>
    <row r="75" spans="1:95">
      <c r="A75" s="404" t="s">
        <v>89</v>
      </c>
      <c r="B75" s="405" t="s">
        <v>86</v>
      </c>
      <c r="C75" s="444">
        <v>14634</v>
      </c>
      <c r="D75" s="444">
        <v>4851</v>
      </c>
      <c r="E75" s="444">
        <v>9265</v>
      </c>
      <c r="F75" s="407">
        <v>10176</v>
      </c>
      <c r="G75" s="444">
        <v>11179</v>
      </c>
      <c r="H75" s="408">
        <v>0</v>
      </c>
      <c r="I75" s="409">
        <v>6329</v>
      </c>
      <c r="J75" s="410">
        <v>0</v>
      </c>
      <c r="K75" s="444">
        <v>0</v>
      </c>
      <c r="L75" s="410">
        <v>0</v>
      </c>
      <c r="M75" s="411">
        <v>0</v>
      </c>
      <c r="N75" s="413">
        <v>0</v>
      </c>
      <c r="O75" s="444">
        <v>8892</v>
      </c>
      <c r="P75" s="413"/>
      <c r="Q75" s="411">
        <v>0</v>
      </c>
      <c r="R75" s="412"/>
      <c r="S75" s="411">
        <v>0</v>
      </c>
      <c r="T75" s="410">
        <v>7386</v>
      </c>
      <c r="U75" s="410">
        <v>7971</v>
      </c>
      <c r="V75" s="410">
        <v>9054</v>
      </c>
      <c r="W75" s="444">
        <v>6509</v>
      </c>
      <c r="X75" s="410">
        <v>0</v>
      </c>
      <c r="Y75" s="410">
        <v>6363</v>
      </c>
      <c r="Z75" s="410">
        <v>11824.8604</v>
      </c>
      <c r="AA75" s="409"/>
      <c r="AB75" s="410">
        <v>6351</v>
      </c>
      <c r="AC75" s="408"/>
      <c r="AD75" s="410">
        <v>10946</v>
      </c>
      <c r="AE75" s="410">
        <v>7020</v>
      </c>
      <c r="AF75" s="471">
        <v>9197</v>
      </c>
      <c r="AG75" s="415">
        <v>9339</v>
      </c>
      <c r="AH75" s="410">
        <v>6794</v>
      </c>
      <c r="AI75" s="444">
        <v>7566</v>
      </c>
      <c r="AJ75" s="444">
        <v>9672</v>
      </c>
      <c r="AK75" s="410">
        <v>5933</v>
      </c>
      <c r="AL75" s="410">
        <v>7563</v>
      </c>
      <c r="AM75" s="411">
        <v>9186</v>
      </c>
      <c r="AN75" s="410">
        <v>0</v>
      </c>
      <c r="AO75" s="410">
        <v>6282.4</v>
      </c>
      <c r="AP75" s="410">
        <v>9906</v>
      </c>
      <c r="AQ75" s="410">
        <v>0</v>
      </c>
      <c r="AR75" s="416">
        <v>7553</v>
      </c>
      <c r="AS75" s="408"/>
      <c r="AT75" s="472">
        <v>11542</v>
      </c>
      <c r="AU75" s="408">
        <v>0</v>
      </c>
      <c r="AV75" s="413">
        <v>0</v>
      </c>
      <c r="AW75" s="473">
        <v>0</v>
      </c>
      <c r="AX75" s="413">
        <v>0</v>
      </c>
      <c r="AY75" s="472">
        <v>8758.75</v>
      </c>
      <c r="AZ75" s="408">
        <v>24843</v>
      </c>
      <c r="BA75" s="413">
        <v>36768</v>
      </c>
      <c r="BB75" s="413">
        <v>0</v>
      </c>
      <c r="BC75" s="413">
        <v>6844</v>
      </c>
      <c r="BD75" s="409">
        <v>15000</v>
      </c>
      <c r="BE75" s="408">
        <v>8629</v>
      </c>
      <c r="BF75" s="413"/>
      <c r="BG75" s="413">
        <v>0</v>
      </c>
      <c r="BH75" s="472"/>
      <c r="BI75" s="472">
        <v>14000</v>
      </c>
      <c r="BJ75" s="372">
        <v>0</v>
      </c>
      <c r="BK75" s="413">
        <v>0</v>
      </c>
      <c r="BL75" s="413">
        <v>0</v>
      </c>
      <c r="BM75" s="413">
        <v>0</v>
      </c>
      <c r="BN75" s="413">
        <v>0</v>
      </c>
      <c r="BO75" s="413">
        <v>0</v>
      </c>
      <c r="BP75" s="413">
        <v>0</v>
      </c>
      <c r="BQ75" s="413">
        <v>0</v>
      </c>
      <c r="BR75" s="413">
        <v>0</v>
      </c>
      <c r="BS75" s="372">
        <v>0</v>
      </c>
      <c r="BT75" s="413">
        <v>0</v>
      </c>
      <c r="BU75" s="413">
        <v>0</v>
      </c>
      <c r="BV75" s="413"/>
      <c r="BW75" s="409">
        <v>0</v>
      </c>
      <c r="BX75" s="472">
        <v>6725</v>
      </c>
      <c r="BY75" s="413">
        <v>0</v>
      </c>
      <c r="BZ75" s="413"/>
      <c r="CA75" s="413">
        <v>9774</v>
      </c>
      <c r="CB75" s="413">
        <v>7998</v>
      </c>
      <c r="CC75" s="413">
        <v>9087</v>
      </c>
      <c r="CD75" s="474">
        <v>8541</v>
      </c>
      <c r="CE75" s="409">
        <v>6329</v>
      </c>
      <c r="CF75" s="475"/>
      <c r="CG75" s="475">
        <v>0</v>
      </c>
      <c r="CH75" s="413">
        <v>16209</v>
      </c>
      <c r="CI75" s="413">
        <v>0</v>
      </c>
      <c r="CJ75" s="413">
        <v>0</v>
      </c>
      <c r="CK75" s="422">
        <v>0</v>
      </c>
      <c r="CL75" s="422">
        <v>0</v>
      </c>
      <c r="CN75" s="422">
        <v>0</v>
      </c>
      <c r="CO75" s="422">
        <v>0</v>
      </c>
      <c r="CP75" s="422">
        <v>0</v>
      </c>
      <c r="CQ75" s="422">
        <v>0</v>
      </c>
    </row>
    <row r="76" spans="1:95">
      <c r="A76" s="404" t="s">
        <v>90</v>
      </c>
      <c r="B76" s="405" t="s">
        <v>682</v>
      </c>
      <c r="C76" s="444">
        <v>0</v>
      </c>
      <c r="D76" s="444">
        <v>0</v>
      </c>
      <c r="E76" s="444">
        <v>0</v>
      </c>
      <c r="F76" s="407">
        <v>0</v>
      </c>
      <c r="G76" s="444">
        <v>0</v>
      </c>
      <c r="H76" s="408">
        <v>0</v>
      </c>
      <c r="I76" s="409">
        <v>0</v>
      </c>
      <c r="J76" s="410">
        <v>0</v>
      </c>
      <c r="K76" s="444">
        <v>0</v>
      </c>
      <c r="L76" s="410">
        <v>0</v>
      </c>
      <c r="M76" s="411">
        <v>0</v>
      </c>
      <c r="N76" s="413">
        <v>0</v>
      </c>
      <c r="O76" s="444">
        <v>0</v>
      </c>
      <c r="P76" s="413"/>
      <c r="Q76" s="411">
        <v>0</v>
      </c>
      <c r="R76" s="412"/>
      <c r="S76" s="411">
        <v>0</v>
      </c>
      <c r="T76" s="410">
        <v>0</v>
      </c>
      <c r="U76" s="410">
        <v>0</v>
      </c>
      <c r="V76" s="410">
        <v>0</v>
      </c>
      <c r="W76" s="444">
        <v>0</v>
      </c>
      <c r="X76" s="410">
        <v>0</v>
      </c>
      <c r="Y76" s="410">
        <v>0</v>
      </c>
      <c r="Z76" s="410">
        <v>0</v>
      </c>
      <c r="AA76" s="409"/>
      <c r="AB76" s="410">
        <v>0</v>
      </c>
      <c r="AC76" s="408"/>
      <c r="AD76" s="410">
        <v>10000</v>
      </c>
      <c r="AE76" s="410">
        <v>0</v>
      </c>
      <c r="AF76" s="471">
        <v>0</v>
      </c>
      <c r="AG76" s="415">
        <v>0</v>
      </c>
      <c r="AH76" s="410">
        <v>0</v>
      </c>
      <c r="AI76" s="444">
        <v>0</v>
      </c>
      <c r="AJ76" s="444">
        <v>0</v>
      </c>
      <c r="AK76" s="410">
        <v>0</v>
      </c>
      <c r="AL76" s="410">
        <v>0</v>
      </c>
      <c r="AM76" s="411">
        <v>0</v>
      </c>
      <c r="AN76" s="410">
        <v>0</v>
      </c>
      <c r="AO76" s="410">
        <v>0</v>
      </c>
      <c r="AP76" s="410">
        <v>0</v>
      </c>
      <c r="AQ76" s="410">
        <v>0</v>
      </c>
      <c r="AR76" s="416">
        <v>0</v>
      </c>
      <c r="AS76" s="408"/>
      <c r="AT76" s="472">
        <v>0</v>
      </c>
      <c r="AU76" s="408">
        <v>0</v>
      </c>
      <c r="AV76" s="413">
        <v>0</v>
      </c>
      <c r="AW76" s="473">
        <v>0</v>
      </c>
      <c r="AX76" s="413">
        <v>0</v>
      </c>
      <c r="AY76" s="472">
        <v>0</v>
      </c>
      <c r="AZ76" s="372">
        <v>35470</v>
      </c>
      <c r="BA76" s="413">
        <v>0</v>
      </c>
      <c r="BB76" s="413">
        <v>0</v>
      </c>
      <c r="BC76" s="413">
        <v>0</v>
      </c>
      <c r="BD76" s="409">
        <v>0</v>
      </c>
      <c r="BE76" s="408">
        <v>0</v>
      </c>
      <c r="BF76" s="413"/>
      <c r="BG76" s="413">
        <v>0</v>
      </c>
      <c r="BH76" s="472"/>
      <c r="BI76" s="472">
        <v>0</v>
      </c>
      <c r="BJ76" s="372">
        <v>0</v>
      </c>
      <c r="BK76" s="413">
        <v>0</v>
      </c>
      <c r="BL76" s="413">
        <v>0</v>
      </c>
      <c r="BM76" s="413">
        <v>0</v>
      </c>
      <c r="BN76" s="413">
        <v>0</v>
      </c>
      <c r="BO76" s="413">
        <v>0</v>
      </c>
      <c r="BP76" s="413">
        <v>0</v>
      </c>
      <c r="BQ76" s="413">
        <v>0</v>
      </c>
      <c r="BR76" s="413">
        <v>0</v>
      </c>
      <c r="BS76" s="372">
        <v>0</v>
      </c>
      <c r="BT76" s="413">
        <v>0</v>
      </c>
      <c r="BU76" s="413">
        <v>0</v>
      </c>
      <c r="BV76" s="413"/>
      <c r="BW76" s="409">
        <v>0</v>
      </c>
      <c r="BX76" s="472">
        <v>0</v>
      </c>
      <c r="BY76" s="413">
        <v>0</v>
      </c>
      <c r="BZ76" s="413"/>
      <c r="CA76" s="413">
        <v>0</v>
      </c>
      <c r="CB76" s="413">
        <v>0</v>
      </c>
      <c r="CC76" s="413">
        <v>0</v>
      </c>
      <c r="CD76" s="474">
        <v>0</v>
      </c>
      <c r="CE76" s="409">
        <v>0</v>
      </c>
      <c r="CF76" s="475"/>
      <c r="CG76" s="475">
        <v>37065</v>
      </c>
      <c r="CH76" s="413">
        <v>0</v>
      </c>
      <c r="CI76" s="413">
        <v>0</v>
      </c>
      <c r="CJ76" s="413">
        <v>0</v>
      </c>
      <c r="CK76" s="422">
        <v>0</v>
      </c>
      <c r="CL76" s="422">
        <v>0</v>
      </c>
      <c r="CN76" s="422">
        <v>0</v>
      </c>
      <c r="CO76" s="422">
        <v>0</v>
      </c>
      <c r="CP76" s="422">
        <v>0</v>
      </c>
      <c r="CQ76" s="422">
        <v>0</v>
      </c>
    </row>
    <row r="77" spans="1:95">
      <c r="A77" s="404" t="s">
        <v>91</v>
      </c>
      <c r="B77" s="405" t="s">
        <v>683</v>
      </c>
      <c r="C77" s="444">
        <v>0</v>
      </c>
      <c r="D77" s="444">
        <v>0</v>
      </c>
      <c r="E77" s="444">
        <v>0</v>
      </c>
      <c r="F77" s="407">
        <v>0</v>
      </c>
      <c r="G77" s="444">
        <v>0</v>
      </c>
      <c r="H77" s="408">
        <v>0</v>
      </c>
      <c r="I77" s="409">
        <v>0</v>
      </c>
      <c r="J77" s="410">
        <v>0</v>
      </c>
      <c r="K77" s="444">
        <v>0</v>
      </c>
      <c r="L77" s="410">
        <v>0</v>
      </c>
      <c r="M77" s="411">
        <v>0</v>
      </c>
      <c r="N77" s="413">
        <v>0</v>
      </c>
      <c r="O77" s="444">
        <v>0</v>
      </c>
      <c r="P77" s="413"/>
      <c r="Q77" s="411">
        <v>0</v>
      </c>
      <c r="R77" s="412"/>
      <c r="S77" s="411">
        <v>0</v>
      </c>
      <c r="T77" s="410">
        <v>0</v>
      </c>
      <c r="U77" s="410">
        <v>3000</v>
      </c>
      <c r="V77" s="410">
        <v>0</v>
      </c>
      <c r="W77" s="444">
        <v>0</v>
      </c>
      <c r="X77" s="410">
        <v>0</v>
      </c>
      <c r="Y77" s="410">
        <v>0</v>
      </c>
      <c r="Z77" s="410">
        <v>75000</v>
      </c>
      <c r="AA77" s="409"/>
      <c r="AB77" s="410">
        <v>0</v>
      </c>
      <c r="AC77" s="408"/>
      <c r="AD77" s="410">
        <v>0</v>
      </c>
      <c r="AE77" s="410">
        <v>0</v>
      </c>
      <c r="AF77" s="471">
        <v>0</v>
      </c>
      <c r="AG77" s="415">
        <v>0</v>
      </c>
      <c r="AH77" s="410">
        <v>0</v>
      </c>
      <c r="AI77" s="444">
        <v>0</v>
      </c>
      <c r="AJ77" s="444">
        <v>0</v>
      </c>
      <c r="AK77" s="410">
        <v>0</v>
      </c>
      <c r="AL77" s="410">
        <v>0</v>
      </c>
      <c r="AM77" s="411">
        <v>0</v>
      </c>
      <c r="AN77" s="410">
        <v>0</v>
      </c>
      <c r="AO77" s="410">
        <v>0</v>
      </c>
      <c r="AP77" s="410">
        <v>0</v>
      </c>
      <c r="AQ77" s="410">
        <v>0</v>
      </c>
      <c r="AR77" s="416">
        <v>50000</v>
      </c>
      <c r="AS77" s="408"/>
      <c r="AT77" s="472">
        <v>0</v>
      </c>
      <c r="AU77" s="408">
        <v>0</v>
      </c>
      <c r="AV77" s="413">
        <v>0</v>
      </c>
      <c r="AW77" s="473">
        <v>0</v>
      </c>
      <c r="AX77" s="413">
        <v>0</v>
      </c>
      <c r="AY77" s="472">
        <v>0</v>
      </c>
      <c r="AZ77" s="408">
        <v>0</v>
      </c>
      <c r="BA77" s="413">
        <v>0</v>
      </c>
      <c r="BB77" s="413">
        <v>0</v>
      </c>
      <c r="BC77" s="413">
        <v>0</v>
      </c>
      <c r="BD77" s="409">
        <v>0</v>
      </c>
      <c r="BE77" s="408">
        <v>21814</v>
      </c>
      <c r="BF77" s="413"/>
      <c r="BG77" s="413">
        <v>0</v>
      </c>
      <c r="BH77" s="472"/>
      <c r="BI77" s="472">
        <v>0</v>
      </c>
      <c r="BJ77" s="372">
        <v>6500</v>
      </c>
      <c r="BK77" s="413">
        <v>0</v>
      </c>
      <c r="BL77" s="413">
        <v>0</v>
      </c>
      <c r="BM77" s="413">
        <v>0</v>
      </c>
      <c r="BN77" s="413">
        <v>0</v>
      </c>
      <c r="BO77" s="413">
        <v>0</v>
      </c>
      <c r="BP77" s="413">
        <v>0</v>
      </c>
      <c r="BQ77" s="413">
        <v>0</v>
      </c>
      <c r="BR77" s="413">
        <v>0</v>
      </c>
      <c r="BS77" s="372">
        <v>0</v>
      </c>
      <c r="BT77" s="413">
        <v>0</v>
      </c>
      <c r="BU77" s="413">
        <v>0</v>
      </c>
      <c r="BV77" s="413"/>
      <c r="BW77" s="409">
        <v>0</v>
      </c>
      <c r="BX77" s="413">
        <v>0</v>
      </c>
      <c r="BY77" s="413">
        <v>0</v>
      </c>
      <c r="BZ77" s="413"/>
      <c r="CA77" s="413">
        <v>0</v>
      </c>
      <c r="CB77" s="413">
        <v>12230</v>
      </c>
      <c r="CC77" s="413">
        <v>23861</v>
      </c>
      <c r="CD77" s="476">
        <v>0</v>
      </c>
      <c r="CE77" s="409">
        <v>0</v>
      </c>
      <c r="CF77" s="475"/>
      <c r="CG77" s="475">
        <v>11450</v>
      </c>
      <c r="CH77" s="413">
        <v>0</v>
      </c>
      <c r="CI77" s="413">
        <v>0</v>
      </c>
      <c r="CJ77" s="413">
        <v>20000</v>
      </c>
      <c r="CK77" s="422">
        <v>0</v>
      </c>
      <c r="CL77" s="422">
        <v>0</v>
      </c>
      <c r="CN77" s="422">
        <v>0</v>
      </c>
      <c r="CO77" s="422">
        <v>0</v>
      </c>
      <c r="CP77" s="422">
        <v>0</v>
      </c>
      <c r="CQ77" s="422">
        <v>0</v>
      </c>
    </row>
    <row r="78" spans="1:95">
      <c r="A78" s="400" t="s">
        <v>684</v>
      </c>
      <c r="B78" s="429"/>
      <c r="C78" s="430">
        <f t="shared" ref="C78:BN78" si="11">SUM(C75:C77)</f>
        <v>14634</v>
      </c>
      <c r="D78" s="431">
        <f t="shared" si="11"/>
        <v>4851</v>
      </c>
      <c r="E78" s="430">
        <f t="shared" si="11"/>
        <v>9265</v>
      </c>
      <c r="F78" s="432">
        <f t="shared" si="11"/>
        <v>10176</v>
      </c>
      <c r="G78" s="431">
        <f t="shared" si="11"/>
        <v>11179</v>
      </c>
      <c r="H78" s="430">
        <f t="shared" si="11"/>
        <v>0</v>
      </c>
      <c r="I78" s="431">
        <f t="shared" si="11"/>
        <v>6329</v>
      </c>
      <c r="J78" s="430">
        <f t="shared" si="11"/>
        <v>0</v>
      </c>
      <c r="K78" s="432">
        <f t="shared" si="11"/>
        <v>0</v>
      </c>
      <c r="L78" s="432">
        <f t="shared" si="11"/>
        <v>0</v>
      </c>
      <c r="M78" s="432">
        <f t="shared" si="11"/>
        <v>0</v>
      </c>
      <c r="N78" s="432">
        <f t="shared" si="11"/>
        <v>0</v>
      </c>
      <c r="O78" s="432">
        <f t="shared" si="11"/>
        <v>8892</v>
      </c>
      <c r="P78" s="432">
        <f t="shared" si="11"/>
        <v>0</v>
      </c>
      <c r="Q78" s="432">
        <f t="shared" si="11"/>
        <v>0</v>
      </c>
      <c r="R78" s="433">
        <f t="shared" si="11"/>
        <v>0</v>
      </c>
      <c r="S78" s="432">
        <f t="shared" si="11"/>
        <v>0</v>
      </c>
      <c r="T78" s="432">
        <f t="shared" si="11"/>
        <v>7386</v>
      </c>
      <c r="U78" s="432">
        <f t="shared" si="11"/>
        <v>10971</v>
      </c>
      <c r="V78" s="432">
        <f t="shared" si="11"/>
        <v>9054</v>
      </c>
      <c r="W78" s="432">
        <f t="shared" si="11"/>
        <v>6509</v>
      </c>
      <c r="X78" s="432">
        <f t="shared" si="11"/>
        <v>0</v>
      </c>
      <c r="Y78" s="432">
        <f t="shared" si="11"/>
        <v>6363</v>
      </c>
      <c r="Z78" s="432">
        <f t="shared" si="11"/>
        <v>86824.860400000005</v>
      </c>
      <c r="AA78" s="432">
        <f t="shared" si="11"/>
        <v>0</v>
      </c>
      <c r="AB78" s="432">
        <f t="shared" si="11"/>
        <v>6351</v>
      </c>
      <c r="AC78" s="432">
        <f t="shared" si="11"/>
        <v>0</v>
      </c>
      <c r="AD78" s="432">
        <f t="shared" si="11"/>
        <v>20946</v>
      </c>
      <c r="AE78" s="435">
        <f t="shared" si="11"/>
        <v>7020</v>
      </c>
      <c r="AF78" s="432">
        <f t="shared" si="11"/>
        <v>9197</v>
      </c>
      <c r="AG78" s="432">
        <f t="shared" si="11"/>
        <v>9339</v>
      </c>
      <c r="AH78" s="432">
        <f t="shared" si="11"/>
        <v>6794</v>
      </c>
      <c r="AI78" s="432">
        <f t="shared" si="11"/>
        <v>7566</v>
      </c>
      <c r="AJ78" s="432">
        <f t="shared" si="11"/>
        <v>9672</v>
      </c>
      <c r="AK78" s="432">
        <f t="shared" si="11"/>
        <v>5933</v>
      </c>
      <c r="AL78" s="432">
        <f t="shared" si="11"/>
        <v>7563</v>
      </c>
      <c r="AM78" s="432">
        <f t="shared" si="11"/>
        <v>9186</v>
      </c>
      <c r="AN78" s="432">
        <f t="shared" si="11"/>
        <v>0</v>
      </c>
      <c r="AO78" s="432">
        <f t="shared" si="11"/>
        <v>6282.4</v>
      </c>
      <c r="AP78" s="432">
        <f t="shared" si="11"/>
        <v>9906</v>
      </c>
      <c r="AQ78" s="432">
        <f t="shared" si="11"/>
        <v>0</v>
      </c>
      <c r="AR78" s="432">
        <f t="shared" si="11"/>
        <v>57553</v>
      </c>
      <c r="AS78" s="432">
        <f t="shared" si="11"/>
        <v>0</v>
      </c>
      <c r="AT78" s="432">
        <f t="shared" si="11"/>
        <v>11542</v>
      </c>
      <c r="AU78" s="432">
        <f t="shared" si="11"/>
        <v>0</v>
      </c>
      <c r="AV78" s="432">
        <f t="shared" si="11"/>
        <v>0</v>
      </c>
      <c r="AW78" s="432">
        <f t="shared" si="11"/>
        <v>0</v>
      </c>
      <c r="AX78" s="432">
        <f t="shared" si="11"/>
        <v>0</v>
      </c>
      <c r="AY78" s="432">
        <f t="shared" si="11"/>
        <v>8758.75</v>
      </c>
      <c r="AZ78" s="432">
        <f>SUM(AZ75:AZ77)</f>
        <v>60313</v>
      </c>
      <c r="BA78" s="432">
        <f t="shared" si="11"/>
        <v>36768</v>
      </c>
      <c r="BB78" s="432">
        <f t="shared" si="11"/>
        <v>0</v>
      </c>
      <c r="BC78" s="432">
        <f t="shared" si="11"/>
        <v>6844</v>
      </c>
      <c r="BD78" s="432">
        <f t="shared" si="11"/>
        <v>15000</v>
      </c>
      <c r="BE78" s="432">
        <f t="shared" si="11"/>
        <v>30443</v>
      </c>
      <c r="BF78" s="432">
        <f t="shared" si="11"/>
        <v>0</v>
      </c>
      <c r="BG78" s="432">
        <f t="shared" si="11"/>
        <v>0</v>
      </c>
      <c r="BH78" s="432">
        <f t="shared" si="11"/>
        <v>0</v>
      </c>
      <c r="BI78" s="432">
        <f t="shared" si="11"/>
        <v>14000</v>
      </c>
      <c r="BJ78" s="432">
        <f t="shared" si="11"/>
        <v>6500</v>
      </c>
      <c r="BK78" s="432">
        <f t="shared" si="11"/>
        <v>0</v>
      </c>
      <c r="BL78" s="432">
        <f t="shared" si="11"/>
        <v>0</v>
      </c>
      <c r="BM78" s="432">
        <f t="shared" si="11"/>
        <v>0</v>
      </c>
      <c r="BN78" s="432">
        <f t="shared" si="11"/>
        <v>0</v>
      </c>
      <c r="BO78" s="432">
        <f t="shared" ref="BO78:CL78" si="12">SUM(BO75:BO77)</f>
        <v>0</v>
      </c>
      <c r="BP78" s="432">
        <f t="shared" si="12"/>
        <v>0</v>
      </c>
      <c r="BQ78" s="432">
        <f t="shared" si="12"/>
        <v>0</v>
      </c>
      <c r="BR78" s="432">
        <f t="shared" si="12"/>
        <v>0</v>
      </c>
      <c r="BS78" s="432">
        <f t="shared" si="12"/>
        <v>0</v>
      </c>
      <c r="BT78" s="432">
        <f t="shared" si="12"/>
        <v>0</v>
      </c>
      <c r="BU78" s="432">
        <f t="shared" si="12"/>
        <v>0</v>
      </c>
      <c r="BV78" s="432">
        <f t="shared" si="12"/>
        <v>0</v>
      </c>
      <c r="BW78" s="432">
        <f t="shared" si="12"/>
        <v>0</v>
      </c>
      <c r="BX78" s="432">
        <f t="shared" si="12"/>
        <v>6725</v>
      </c>
      <c r="BY78" s="432">
        <f t="shared" si="12"/>
        <v>0</v>
      </c>
      <c r="BZ78" s="432">
        <f t="shared" si="12"/>
        <v>0</v>
      </c>
      <c r="CA78" s="432">
        <f t="shared" si="12"/>
        <v>9774</v>
      </c>
      <c r="CB78" s="432">
        <f t="shared" si="12"/>
        <v>20228</v>
      </c>
      <c r="CC78" s="432">
        <f t="shared" si="12"/>
        <v>32948</v>
      </c>
      <c r="CD78" s="432">
        <f t="shared" si="12"/>
        <v>8541</v>
      </c>
      <c r="CE78" s="431">
        <f t="shared" si="12"/>
        <v>6329</v>
      </c>
      <c r="CF78" s="437">
        <f t="shared" si="12"/>
        <v>0</v>
      </c>
      <c r="CG78" s="430">
        <f t="shared" si="12"/>
        <v>48515</v>
      </c>
      <c r="CH78" s="432">
        <f t="shared" si="12"/>
        <v>16209</v>
      </c>
      <c r="CI78" s="432">
        <f t="shared" si="12"/>
        <v>0</v>
      </c>
      <c r="CJ78" s="432">
        <f t="shared" si="12"/>
        <v>20000</v>
      </c>
      <c r="CK78" s="432">
        <f t="shared" si="12"/>
        <v>0</v>
      </c>
      <c r="CL78" s="431">
        <f t="shared" si="12"/>
        <v>0</v>
      </c>
      <c r="CN78" s="431">
        <f>SUM(CN75:CN77)</f>
        <v>0</v>
      </c>
      <c r="CO78" s="431">
        <f>SUM(CO75:CO77)</f>
        <v>0</v>
      </c>
      <c r="CP78" s="431">
        <f>SUM(CP75:CP77)</f>
        <v>0</v>
      </c>
      <c r="CQ78" s="431">
        <f>SUM(CQ75:CQ77)</f>
        <v>0</v>
      </c>
    </row>
    <row r="79" spans="1:95">
      <c r="A79" s="468"/>
      <c r="B79" s="468"/>
      <c r="C79" s="469"/>
      <c r="D79" s="470"/>
      <c r="E79" s="469"/>
      <c r="F79" s="468"/>
      <c r="G79" s="470"/>
      <c r="H79" s="438"/>
      <c r="I79" s="439"/>
      <c r="J79" s="438"/>
      <c r="K79" s="372"/>
      <c r="L79" s="372"/>
      <c r="M79" s="372"/>
      <c r="N79" s="372"/>
      <c r="O79" s="372"/>
      <c r="P79" s="372"/>
      <c r="Q79" s="372"/>
      <c r="R79" s="373"/>
      <c r="S79" s="372"/>
      <c r="T79" s="372"/>
      <c r="U79" s="372"/>
      <c r="V79" s="372"/>
      <c r="W79" s="372"/>
      <c r="X79" s="372"/>
      <c r="Y79" s="372"/>
      <c r="Z79" s="372"/>
      <c r="AA79" s="372"/>
      <c r="AB79" s="372"/>
      <c r="AC79" s="372"/>
      <c r="AD79" s="372"/>
      <c r="AE79" s="477"/>
      <c r="AF79" s="372"/>
      <c r="AG79" s="372"/>
      <c r="AH79" s="372"/>
      <c r="AI79" s="372"/>
      <c r="AJ79" s="372"/>
      <c r="AK79" s="372"/>
      <c r="AL79" s="372"/>
      <c r="AM79" s="372"/>
      <c r="AN79" s="372"/>
      <c r="AO79" s="372"/>
      <c r="AP79" s="372"/>
      <c r="AQ79" s="372"/>
      <c r="AR79" s="372"/>
      <c r="AS79" s="372"/>
      <c r="AT79" s="372"/>
      <c r="AU79" s="372"/>
      <c r="AV79" s="372"/>
      <c r="AW79" s="372"/>
      <c r="AX79" s="372"/>
      <c r="AY79" s="372"/>
      <c r="AZ79" s="372"/>
      <c r="BA79" s="372"/>
      <c r="BB79" s="372"/>
      <c r="BC79" s="372"/>
      <c r="BD79" s="372"/>
      <c r="BE79" s="372"/>
      <c r="BF79" s="372"/>
      <c r="BG79" s="372"/>
      <c r="BH79" s="372"/>
      <c r="BI79" s="372"/>
      <c r="BJ79" s="372"/>
      <c r="BK79" s="372"/>
      <c r="BL79" s="372"/>
      <c r="BM79" s="372"/>
      <c r="BN79" s="372"/>
      <c r="BO79" s="372"/>
      <c r="BP79" s="372"/>
      <c r="BQ79" s="372"/>
      <c r="BR79" s="372"/>
      <c r="BS79" s="372"/>
      <c r="BT79" s="372"/>
      <c r="BU79" s="372"/>
      <c r="BV79" s="372"/>
      <c r="BW79" s="372"/>
      <c r="BX79" s="372"/>
      <c r="BY79" s="372"/>
      <c r="BZ79" s="372"/>
      <c r="CA79" s="372"/>
      <c r="CB79" s="372"/>
      <c r="CC79" s="372"/>
      <c r="CD79" s="372"/>
      <c r="CE79" s="439"/>
      <c r="CF79" s="441"/>
      <c r="CG79" s="438"/>
      <c r="CH79" s="372"/>
      <c r="CI79" s="372"/>
      <c r="CJ79" s="372"/>
      <c r="CK79" s="372"/>
      <c r="CL79" s="439"/>
      <c r="CN79" s="439"/>
      <c r="CO79" s="439"/>
      <c r="CP79" s="439"/>
      <c r="CQ79" s="439"/>
    </row>
    <row r="80" spans="1:95">
      <c r="A80" s="400" t="s">
        <v>685</v>
      </c>
      <c r="B80" s="400"/>
      <c r="C80" s="400"/>
      <c r="D80" s="400"/>
      <c r="E80" s="400"/>
      <c r="F80" s="400"/>
      <c r="G80" s="400"/>
      <c r="H80" s="400"/>
      <c r="I80" s="400"/>
      <c r="J80" s="400"/>
      <c r="K80" s="400"/>
      <c r="L80" s="400"/>
      <c r="M80" s="400"/>
      <c r="N80" s="400"/>
      <c r="O80" s="400"/>
      <c r="P80" s="400"/>
      <c r="Q80" s="400"/>
      <c r="R80" s="442"/>
      <c r="S80" s="400"/>
      <c r="T80" s="400"/>
      <c r="U80" s="400"/>
      <c r="V80" s="400"/>
      <c r="W80" s="400"/>
      <c r="X80" s="400"/>
      <c r="Y80" s="400"/>
      <c r="Z80" s="400"/>
      <c r="AA80" s="400"/>
      <c r="AB80" s="400"/>
      <c r="AC80" s="400"/>
      <c r="AD80" s="400"/>
      <c r="AE80" s="435"/>
      <c r="AF80" s="400"/>
      <c r="AG80" s="400"/>
      <c r="AH80" s="400"/>
      <c r="AI80" s="400"/>
      <c r="AJ80" s="400"/>
      <c r="AK80" s="400"/>
      <c r="AL80" s="400"/>
      <c r="AM80" s="400"/>
      <c r="AN80" s="400"/>
      <c r="AO80" s="400"/>
      <c r="AP80" s="400"/>
      <c r="AQ80" s="400"/>
      <c r="AR80" s="400"/>
      <c r="AS80" s="400"/>
      <c r="AT80" s="400"/>
      <c r="AU80" s="400"/>
      <c r="AV80" s="400"/>
      <c r="AW80" s="400"/>
      <c r="AX80" s="400"/>
      <c r="AY80" s="400"/>
      <c r="AZ80" s="400"/>
      <c r="BA80" s="400"/>
      <c r="BB80" s="400"/>
      <c r="BC80" s="400"/>
      <c r="BD80" s="400"/>
      <c r="BE80" s="400"/>
      <c r="BF80" s="400"/>
      <c r="BG80" s="400"/>
      <c r="BH80" s="400"/>
      <c r="BI80" s="400"/>
      <c r="BJ80" s="400"/>
      <c r="BK80" s="400"/>
      <c r="BL80" s="400"/>
      <c r="BM80" s="400"/>
      <c r="BN80" s="400"/>
      <c r="BO80" s="400"/>
      <c r="BP80" s="400"/>
      <c r="BQ80" s="400"/>
      <c r="BR80" s="400"/>
      <c r="BS80" s="400"/>
      <c r="BT80" s="400"/>
      <c r="BU80" s="400"/>
      <c r="BV80" s="400"/>
      <c r="BW80" s="400"/>
      <c r="BX80" s="400"/>
      <c r="BY80" s="400"/>
      <c r="BZ80" s="400"/>
      <c r="CA80" s="400"/>
      <c r="CB80" s="400"/>
      <c r="CC80" s="400"/>
      <c r="CD80" s="400"/>
      <c r="CE80" s="400"/>
      <c r="CF80" s="400"/>
      <c r="CG80" s="400"/>
      <c r="CH80" s="400"/>
      <c r="CI80" s="400"/>
      <c r="CJ80" s="400"/>
      <c r="CK80" s="400"/>
      <c r="CL80" s="400"/>
      <c r="CN80" s="400"/>
      <c r="CO80" s="400"/>
      <c r="CP80" s="400"/>
      <c r="CQ80" s="400"/>
    </row>
    <row r="81" spans="1:95">
      <c r="A81" s="404" t="s">
        <v>96</v>
      </c>
      <c r="B81" s="405" t="s">
        <v>686</v>
      </c>
      <c r="C81" s="444">
        <v>0</v>
      </c>
      <c r="D81" s="444">
        <v>0</v>
      </c>
      <c r="E81" s="444">
        <v>0</v>
      </c>
      <c r="F81" s="407">
        <v>0</v>
      </c>
      <c r="G81" s="444">
        <v>0</v>
      </c>
      <c r="H81" s="408">
        <v>0</v>
      </c>
      <c r="I81" s="409">
        <v>0</v>
      </c>
      <c r="J81" s="410">
        <v>0</v>
      </c>
      <c r="K81" s="444">
        <v>0</v>
      </c>
      <c r="L81" s="410">
        <v>0</v>
      </c>
      <c r="M81" s="411">
        <v>0</v>
      </c>
      <c r="N81" s="413">
        <v>0</v>
      </c>
      <c r="O81" s="444">
        <v>0</v>
      </c>
      <c r="P81" s="413"/>
      <c r="Q81" s="411">
        <v>0</v>
      </c>
      <c r="R81" s="452"/>
      <c r="S81" s="411">
        <v>0</v>
      </c>
      <c r="T81" s="410">
        <v>0</v>
      </c>
      <c r="U81" s="410">
        <v>0</v>
      </c>
      <c r="V81" s="410">
        <v>0</v>
      </c>
      <c r="W81" s="444">
        <v>0</v>
      </c>
      <c r="X81" s="410">
        <v>0</v>
      </c>
      <c r="Y81" s="410">
        <v>0</v>
      </c>
      <c r="Z81" s="410">
        <v>0</v>
      </c>
      <c r="AA81" s="409"/>
      <c r="AB81" s="410">
        <v>0</v>
      </c>
      <c r="AC81" s="408"/>
      <c r="AD81" s="410">
        <v>0</v>
      </c>
      <c r="AE81" s="410">
        <v>0</v>
      </c>
      <c r="AF81" s="478">
        <v>0</v>
      </c>
      <c r="AG81" s="415">
        <v>0</v>
      </c>
      <c r="AH81" s="410">
        <v>0</v>
      </c>
      <c r="AI81" s="444">
        <v>0</v>
      </c>
      <c r="AJ81" s="444">
        <v>0</v>
      </c>
      <c r="AK81" s="410">
        <v>0</v>
      </c>
      <c r="AL81" s="410">
        <v>0</v>
      </c>
      <c r="AM81" s="411">
        <v>0</v>
      </c>
      <c r="AN81" s="410">
        <v>0</v>
      </c>
      <c r="AO81" s="410">
        <v>0</v>
      </c>
      <c r="AP81" s="410">
        <v>0</v>
      </c>
      <c r="AQ81" s="410">
        <v>0</v>
      </c>
      <c r="AR81" s="416">
        <v>0</v>
      </c>
      <c r="AS81" s="408"/>
      <c r="AT81" s="472">
        <v>0</v>
      </c>
      <c r="AU81" s="413">
        <v>0</v>
      </c>
      <c r="AV81" s="413">
        <v>0</v>
      </c>
      <c r="AW81" s="473">
        <v>0</v>
      </c>
      <c r="AX81" s="413">
        <v>0</v>
      </c>
      <c r="AY81" s="472">
        <v>0</v>
      </c>
      <c r="AZ81" s="408">
        <v>0</v>
      </c>
      <c r="BA81" s="413">
        <v>0</v>
      </c>
      <c r="BB81" s="413">
        <v>0</v>
      </c>
      <c r="BC81" s="413">
        <v>0</v>
      </c>
      <c r="BD81" s="409">
        <v>0</v>
      </c>
      <c r="BE81" s="408">
        <v>0</v>
      </c>
      <c r="BF81" s="413"/>
      <c r="BG81" s="416">
        <v>0</v>
      </c>
      <c r="BH81" s="472"/>
      <c r="BI81" s="472">
        <v>0</v>
      </c>
      <c r="BJ81" s="372">
        <v>0</v>
      </c>
      <c r="BK81" s="413">
        <v>0</v>
      </c>
      <c r="BL81" s="413">
        <v>0</v>
      </c>
      <c r="BM81" s="413">
        <v>0</v>
      </c>
      <c r="BN81" s="413">
        <v>0</v>
      </c>
      <c r="BO81" s="413">
        <v>0</v>
      </c>
      <c r="BP81" s="413">
        <v>0</v>
      </c>
      <c r="BQ81" s="413">
        <v>0</v>
      </c>
      <c r="BR81" s="413">
        <v>0</v>
      </c>
      <c r="BS81" s="372">
        <v>0</v>
      </c>
      <c r="BT81" s="413">
        <v>0</v>
      </c>
      <c r="BU81" s="413">
        <v>0</v>
      </c>
      <c r="BV81" s="413"/>
      <c r="BW81" s="409">
        <v>0</v>
      </c>
      <c r="BX81" s="472">
        <v>0</v>
      </c>
      <c r="BY81" s="413">
        <v>0</v>
      </c>
      <c r="BZ81" s="413"/>
      <c r="CA81" s="413">
        <v>0</v>
      </c>
      <c r="CB81" s="413">
        <v>0</v>
      </c>
      <c r="CC81" s="413">
        <v>0</v>
      </c>
      <c r="CD81" s="408">
        <v>0</v>
      </c>
      <c r="CE81" s="409">
        <v>0</v>
      </c>
      <c r="CF81" s="408"/>
      <c r="CG81" s="475">
        <v>0</v>
      </c>
      <c r="CH81" s="475">
        <v>0</v>
      </c>
      <c r="CI81" s="413">
        <v>0</v>
      </c>
      <c r="CJ81" s="413">
        <v>0</v>
      </c>
      <c r="CK81" s="422">
        <v>0</v>
      </c>
      <c r="CL81" s="422">
        <v>0</v>
      </c>
      <c r="CN81" s="422">
        <v>0</v>
      </c>
      <c r="CO81" s="422">
        <v>0</v>
      </c>
      <c r="CP81" s="422">
        <v>0</v>
      </c>
      <c r="CQ81" s="422">
        <v>0</v>
      </c>
    </row>
    <row r="82" spans="1:95">
      <c r="A82" s="404" t="s">
        <v>97</v>
      </c>
      <c r="B82" s="405" t="s">
        <v>687</v>
      </c>
      <c r="C82" s="444">
        <v>40000</v>
      </c>
      <c r="D82" s="444">
        <v>37105</v>
      </c>
      <c r="E82" s="444">
        <v>21000</v>
      </c>
      <c r="F82" s="407">
        <v>0</v>
      </c>
      <c r="G82" s="444">
        <v>0</v>
      </c>
      <c r="H82" s="408">
        <v>0</v>
      </c>
      <c r="I82" s="409">
        <v>6329</v>
      </c>
      <c r="J82" s="410">
        <v>0</v>
      </c>
      <c r="K82" s="444">
        <v>0</v>
      </c>
      <c r="L82" s="410">
        <v>0</v>
      </c>
      <c r="M82" s="411">
        <v>0</v>
      </c>
      <c r="N82" s="413">
        <v>0</v>
      </c>
      <c r="O82" s="444">
        <v>0</v>
      </c>
      <c r="P82" s="413"/>
      <c r="Q82" s="411">
        <v>0</v>
      </c>
      <c r="R82" s="452"/>
      <c r="S82" s="411">
        <v>0</v>
      </c>
      <c r="T82" s="410">
        <v>0</v>
      </c>
      <c r="U82" s="410">
        <v>10971</v>
      </c>
      <c r="V82" s="410">
        <v>9054</v>
      </c>
      <c r="W82" s="444">
        <v>10000</v>
      </c>
      <c r="X82" s="410">
        <v>0</v>
      </c>
      <c r="Y82" s="410">
        <v>20836</v>
      </c>
      <c r="Z82" s="410">
        <v>51825</v>
      </c>
      <c r="AA82" s="409"/>
      <c r="AB82" s="410">
        <v>0</v>
      </c>
      <c r="AC82" s="408"/>
      <c r="AD82" s="410">
        <v>33000</v>
      </c>
      <c r="AE82" s="410">
        <v>0</v>
      </c>
      <c r="AF82" s="478">
        <v>0</v>
      </c>
      <c r="AG82" s="415">
        <v>18040</v>
      </c>
      <c r="AH82" s="410">
        <v>0</v>
      </c>
      <c r="AI82" s="444">
        <v>9000</v>
      </c>
      <c r="AJ82" s="444">
        <v>0</v>
      </c>
      <c r="AK82" s="410">
        <v>14614</v>
      </c>
      <c r="AL82" s="410">
        <v>35319</v>
      </c>
      <c r="AM82" s="411">
        <v>0</v>
      </c>
      <c r="AN82" s="410">
        <v>0</v>
      </c>
      <c r="AO82" s="410">
        <v>20000</v>
      </c>
      <c r="AP82" s="410">
        <v>9906</v>
      </c>
      <c r="AQ82" s="410">
        <v>0</v>
      </c>
      <c r="AR82" s="416">
        <v>50000</v>
      </c>
      <c r="AS82" s="408"/>
      <c r="AT82" s="472">
        <v>0</v>
      </c>
      <c r="AU82" s="413">
        <v>0</v>
      </c>
      <c r="AV82" s="413">
        <v>0</v>
      </c>
      <c r="AW82" s="473">
        <v>0</v>
      </c>
      <c r="AX82" s="413">
        <v>0</v>
      </c>
      <c r="AY82" s="472">
        <v>0</v>
      </c>
      <c r="AZ82" s="408">
        <v>52409</v>
      </c>
      <c r="BA82" s="413">
        <v>27807</v>
      </c>
      <c r="BB82" s="413">
        <v>0</v>
      </c>
      <c r="BC82" s="413">
        <v>0</v>
      </c>
      <c r="BD82" s="409">
        <v>0</v>
      </c>
      <c r="BE82" s="408">
        <v>57006</v>
      </c>
      <c r="BF82" s="413"/>
      <c r="BG82" s="416">
        <v>0</v>
      </c>
      <c r="BH82" s="472"/>
      <c r="BI82" s="472">
        <v>34409</v>
      </c>
      <c r="BJ82" s="372">
        <v>0</v>
      </c>
      <c r="BK82" s="413">
        <v>0</v>
      </c>
      <c r="BL82" s="413">
        <v>0</v>
      </c>
      <c r="BM82" s="413">
        <v>0</v>
      </c>
      <c r="BN82" s="413">
        <v>0</v>
      </c>
      <c r="BO82" s="413">
        <v>0</v>
      </c>
      <c r="BP82" s="413">
        <v>0</v>
      </c>
      <c r="BQ82" s="413">
        <v>0</v>
      </c>
      <c r="BR82" s="413">
        <v>0</v>
      </c>
      <c r="BS82" s="372">
        <v>0</v>
      </c>
      <c r="BT82" s="413">
        <v>0</v>
      </c>
      <c r="BU82" s="413">
        <v>0</v>
      </c>
      <c r="BV82" s="413"/>
      <c r="BW82" s="409">
        <v>0</v>
      </c>
      <c r="BX82" s="472">
        <v>0</v>
      </c>
      <c r="BY82" s="413">
        <v>0</v>
      </c>
      <c r="BZ82" s="413"/>
      <c r="CA82" s="413">
        <v>14000</v>
      </c>
      <c r="CB82" s="413">
        <v>40634</v>
      </c>
      <c r="CC82" s="413">
        <v>20000</v>
      </c>
      <c r="CD82" s="408">
        <v>8541</v>
      </c>
      <c r="CE82" s="409">
        <v>0</v>
      </c>
      <c r="CF82" s="408"/>
      <c r="CG82" s="475">
        <v>0</v>
      </c>
      <c r="CH82" s="475">
        <v>0</v>
      </c>
      <c r="CI82" s="413">
        <v>0</v>
      </c>
      <c r="CJ82" s="413">
        <v>0</v>
      </c>
      <c r="CK82" s="422">
        <v>0</v>
      </c>
      <c r="CL82" s="422">
        <v>0</v>
      </c>
      <c r="CN82" s="422">
        <v>0</v>
      </c>
      <c r="CO82" s="422">
        <v>0</v>
      </c>
      <c r="CP82" s="422">
        <v>0</v>
      </c>
      <c r="CQ82" s="422">
        <v>0</v>
      </c>
    </row>
    <row r="83" spans="1:95">
      <c r="A83" s="404" t="s">
        <v>98</v>
      </c>
      <c r="B83" s="405" t="s">
        <v>688</v>
      </c>
      <c r="C83" s="444">
        <v>0</v>
      </c>
      <c r="D83" s="444">
        <v>0</v>
      </c>
      <c r="E83" s="444">
        <v>0</v>
      </c>
      <c r="F83" s="407">
        <v>0</v>
      </c>
      <c r="G83" s="444">
        <v>0</v>
      </c>
      <c r="H83" s="408">
        <v>0</v>
      </c>
      <c r="I83" s="409">
        <v>0</v>
      </c>
      <c r="J83" s="410">
        <v>0</v>
      </c>
      <c r="K83" s="444">
        <v>0</v>
      </c>
      <c r="L83" s="410">
        <v>0</v>
      </c>
      <c r="M83" s="411">
        <v>0</v>
      </c>
      <c r="N83" s="413">
        <v>0</v>
      </c>
      <c r="O83" s="444">
        <v>0</v>
      </c>
      <c r="P83" s="413"/>
      <c r="Q83" s="411">
        <v>0</v>
      </c>
      <c r="R83" s="452"/>
      <c r="S83" s="411">
        <v>0</v>
      </c>
      <c r="T83" s="410">
        <v>0</v>
      </c>
      <c r="U83" s="410">
        <v>0</v>
      </c>
      <c r="V83" s="410">
        <v>0</v>
      </c>
      <c r="W83" s="444">
        <v>0</v>
      </c>
      <c r="X83" s="410">
        <v>0</v>
      </c>
      <c r="Y83" s="410">
        <v>0</v>
      </c>
      <c r="Z83" s="410">
        <v>0</v>
      </c>
      <c r="AA83" s="409"/>
      <c r="AB83" s="410">
        <v>0</v>
      </c>
      <c r="AC83" s="408"/>
      <c r="AD83" s="410">
        <v>0</v>
      </c>
      <c r="AE83" s="410">
        <v>0</v>
      </c>
      <c r="AF83" s="478">
        <v>0</v>
      </c>
      <c r="AG83" s="415">
        <v>0</v>
      </c>
      <c r="AH83" s="410">
        <v>0</v>
      </c>
      <c r="AI83" s="444">
        <v>0</v>
      </c>
      <c r="AJ83" s="444">
        <v>30275</v>
      </c>
      <c r="AK83" s="410">
        <v>0</v>
      </c>
      <c r="AL83" s="410">
        <v>0</v>
      </c>
      <c r="AM83" s="411">
        <v>0</v>
      </c>
      <c r="AN83" s="410">
        <v>0</v>
      </c>
      <c r="AO83" s="410">
        <v>0</v>
      </c>
      <c r="AP83" s="410">
        <v>0</v>
      </c>
      <c r="AQ83" s="410">
        <v>0</v>
      </c>
      <c r="AR83" s="416">
        <v>0</v>
      </c>
      <c r="AS83" s="408"/>
      <c r="AT83" s="472">
        <v>0</v>
      </c>
      <c r="AU83" s="413">
        <v>0</v>
      </c>
      <c r="AV83" s="413">
        <v>0</v>
      </c>
      <c r="AW83" s="473">
        <v>0</v>
      </c>
      <c r="AX83" s="413">
        <v>0</v>
      </c>
      <c r="AY83" s="472">
        <v>0</v>
      </c>
      <c r="AZ83" s="408">
        <v>0</v>
      </c>
      <c r="BA83" s="413">
        <v>0</v>
      </c>
      <c r="BB83" s="413">
        <v>0</v>
      </c>
      <c r="BC83" s="413">
        <v>0</v>
      </c>
      <c r="BD83" s="409">
        <v>0</v>
      </c>
      <c r="BE83" s="408">
        <v>0</v>
      </c>
      <c r="BF83" s="413"/>
      <c r="BG83" s="416">
        <v>0</v>
      </c>
      <c r="BH83" s="472"/>
      <c r="BI83" s="472">
        <v>8000</v>
      </c>
      <c r="BJ83" s="372">
        <v>0</v>
      </c>
      <c r="BK83" s="413">
        <v>0</v>
      </c>
      <c r="BL83" s="413">
        <v>0</v>
      </c>
      <c r="BM83" s="413">
        <v>0</v>
      </c>
      <c r="BN83" s="413">
        <v>0</v>
      </c>
      <c r="BO83" s="413">
        <v>0</v>
      </c>
      <c r="BP83" s="413">
        <v>0</v>
      </c>
      <c r="BQ83" s="413">
        <v>0</v>
      </c>
      <c r="BR83" s="413">
        <v>0</v>
      </c>
      <c r="BS83" s="372">
        <v>0</v>
      </c>
      <c r="BT83" s="413">
        <v>0</v>
      </c>
      <c r="BU83" s="413">
        <v>0</v>
      </c>
      <c r="BV83" s="413"/>
      <c r="BW83" s="409">
        <v>0</v>
      </c>
      <c r="BX83" s="472">
        <v>0</v>
      </c>
      <c r="BY83" s="413">
        <v>0</v>
      </c>
      <c r="BZ83" s="413"/>
      <c r="CA83" s="413">
        <v>17000</v>
      </c>
      <c r="CB83" s="413">
        <v>0</v>
      </c>
      <c r="CC83" s="413">
        <v>23015</v>
      </c>
      <c r="CD83" s="408">
        <v>0</v>
      </c>
      <c r="CE83" s="409">
        <v>0</v>
      </c>
      <c r="CF83" s="408"/>
      <c r="CG83" s="475">
        <v>48515</v>
      </c>
      <c r="CH83" s="475">
        <v>0</v>
      </c>
      <c r="CI83" s="413">
        <v>0</v>
      </c>
      <c r="CJ83" s="413">
        <v>0</v>
      </c>
      <c r="CK83" s="422">
        <v>0</v>
      </c>
      <c r="CL83" s="422">
        <v>0</v>
      </c>
      <c r="CN83" s="422">
        <v>0</v>
      </c>
      <c r="CO83" s="422">
        <v>0</v>
      </c>
      <c r="CP83" s="422">
        <v>0</v>
      </c>
      <c r="CQ83" s="422">
        <v>0</v>
      </c>
    </row>
    <row r="84" spans="1:95">
      <c r="A84" s="404" t="s">
        <v>99</v>
      </c>
      <c r="B84" s="405" t="s">
        <v>689</v>
      </c>
      <c r="C84" s="444">
        <v>6000</v>
      </c>
      <c r="D84" s="444">
        <v>0</v>
      </c>
      <c r="E84" s="444">
        <v>0</v>
      </c>
      <c r="F84" s="407">
        <v>10176</v>
      </c>
      <c r="G84" s="444">
        <v>11179</v>
      </c>
      <c r="H84" s="408">
        <v>0</v>
      </c>
      <c r="I84" s="409">
        <v>0</v>
      </c>
      <c r="J84" s="410">
        <v>0</v>
      </c>
      <c r="K84" s="444">
        <v>0</v>
      </c>
      <c r="L84" s="410">
        <v>0</v>
      </c>
      <c r="M84" s="411">
        <v>0</v>
      </c>
      <c r="N84" s="413">
        <v>0</v>
      </c>
      <c r="O84" s="444">
        <v>0</v>
      </c>
      <c r="P84" s="413"/>
      <c r="Q84" s="411">
        <v>0</v>
      </c>
      <c r="R84" s="452"/>
      <c r="S84" s="411">
        <v>0</v>
      </c>
      <c r="T84" s="410">
        <v>8144</v>
      </c>
      <c r="U84" s="410">
        <v>0</v>
      </c>
      <c r="V84" s="410">
        <v>0</v>
      </c>
      <c r="W84" s="444">
        <v>0</v>
      </c>
      <c r="X84" s="410">
        <v>0</v>
      </c>
      <c r="Y84" s="410">
        <v>0</v>
      </c>
      <c r="Z84" s="410">
        <v>35000</v>
      </c>
      <c r="AA84" s="409"/>
      <c r="AB84" s="410">
        <v>36676</v>
      </c>
      <c r="AC84" s="408"/>
      <c r="AD84" s="410">
        <v>0</v>
      </c>
      <c r="AE84" s="410">
        <v>8458</v>
      </c>
      <c r="AF84" s="478">
        <v>0</v>
      </c>
      <c r="AG84" s="415">
        <v>0</v>
      </c>
      <c r="AH84" s="410">
        <v>6794</v>
      </c>
      <c r="AI84" s="444">
        <v>0</v>
      </c>
      <c r="AJ84" s="444">
        <v>0</v>
      </c>
      <c r="AK84" s="410">
        <v>6115</v>
      </c>
      <c r="AL84" s="410">
        <v>0</v>
      </c>
      <c r="AM84" s="411">
        <v>25000</v>
      </c>
      <c r="AN84" s="410">
        <v>0</v>
      </c>
      <c r="AO84" s="410">
        <v>7079</v>
      </c>
      <c r="AP84" s="410">
        <v>0</v>
      </c>
      <c r="AQ84" s="413"/>
      <c r="AR84" s="416">
        <v>7553</v>
      </c>
      <c r="AS84" s="408"/>
      <c r="AT84" s="472">
        <v>8000</v>
      </c>
      <c r="AU84" s="413">
        <v>0</v>
      </c>
      <c r="AV84" s="413">
        <v>0</v>
      </c>
      <c r="AW84" s="473">
        <v>0</v>
      </c>
      <c r="AX84" s="413">
        <v>0</v>
      </c>
      <c r="AY84" s="472">
        <v>12000</v>
      </c>
      <c r="AZ84" s="408">
        <v>7904</v>
      </c>
      <c r="BA84" s="413">
        <v>8961</v>
      </c>
      <c r="BB84" s="413">
        <v>0</v>
      </c>
      <c r="BC84" s="413">
        <v>0</v>
      </c>
      <c r="BD84" s="409">
        <v>19432</v>
      </c>
      <c r="BE84" s="408">
        <v>0</v>
      </c>
      <c r="BF84" s="413"/>
      <c r="BG84" s="416">
        <v>0</v>
      </c>
      <c r="BH84" s="472"/>
      <c r="BI84" s="472">
        <v>2635</v>
      </c>
      <c r="BJ84" s="413">
        <v>6500</v>
      </c>
      <c r="BK84" s="413">
        <v>0</v>
      </c>
      <c r="BL84" s="413">
        <v>0</v>
      </c>
      <c r="BM84" s="413">
        <v>0</v>
      </c>
      <c r="BN84" s="413">
        <v>0</v>
      </c>
      <c r="BO84" s="413">
        <v>0</v>
      </c>
      <c r="BP84" s="413">
        <v>0</v>
      </c>
      <c r="BQ84" s="413">
        <v>0</v>
      </c>
      <c r="BR84" s="413">
        <v>0</v>
      </c>
      <c r="BS84" s="372">
        <v>0</v>
      </c>
      <c r="BT84" s="413">
        <v>0</v>
      </c>
      <c r="BU84" s="413">
        <v>0</v>
      </c>
      <c r="BV84" s="413"/>
      <c r="BW84" s="413">
        <v>0</v>
      </c>
      <c r="BX84" s="472">
        <v>0</v>
      </c>
      <c r="BY84" s="413">
        <v>0</v>
      </c>
      <c r="BZ84" s="413"/>
      <c r="CA84" s="413">
        <v>0</v>
      </c>
      <c r="CB84" s="413">
        <v>0</v>
      </c>
      <c r="CC84" s="413">
        <v>6000</v>
      </c>
      <c r="CD84" s="408">
        <v>0</v>
      </c>
      <c r="CE84" s="409">
        <v>13283</v>
      </c>
      <c r="CF84" s="408"/>
      <c r="CG84" s="475">
        <v>0</v>
      </c>
      <c r="CH84" s="475">
        <v>25000</v>
      </c>
      <c r="CI84" s="413"/>
      <c r="CJ84" s="413">
        <v>20000</v>
      </c>
      <c r="CK84" s="422">
        <v>0</v>
      </c>
      <c r="CL84" s="422">
        <v>0</v>
      </c>
      <c r="CN84" s="422">
        <v>0</v>
      </c>
      <c r="CO84" s="422">
        <v>0</v>
      </c>
      <c r="CP84" s="422">
        <v>0</v>
      </c>
      <c r="CQ84" s="422">
        <v>0</v>
      </c>
    </row>
    <row r="85" spans="1:95">
      <c r="A85" s="400" t="s">
        <v>690</v>
      </c>
      <c r="B85" s="429"/>
      <c r="C85" s="430">
        <f t="shared" ref="C85:BN85" si="13">SUM(C81:C84)</f>
        <v>46000</v>
      </c>
      <c r="D85" s="431">
        <f t="shared" si="13"/>
        <v>37105</v>
      </c>
      <c r="E85" s="430">
        <f t="shared" si="13"/>
        <v>21000</v>
      </c>
      <c r="F85" s="432">
        <f t="shared" si="13"/>
        <v>10176</v>
      </c>
      <c r="G85" s="431">
        <f t="shared" si="13"/>
        <v>11179</v>
      </c>
      <c r="H85" s="430">
        <f t="shared" si="13"/>
        <v>0</v>
      </c>
      <c r="I85" s="431">
        <f t="shared" si="13"/>
        <v>6329</v>
      </c>
      <c r="J85" s="430">
        <f t="shared" si="13"/>
        <v>0</v>
      </c>
      <c r="K85" s="432">
        <f t="shared" si="13"/>
        <v>0</v>
      </c>
      <c r="L85" s="432">
        <f t="shared" si="13"/>
        <v>0</v>
      </c>
      <c r="M85" s="432">
        <f t="shared" si="13"/>
        <v>0</v>
      </c>
      <c r="N85" s="432">
        <f t="shared" si="13"/>
        <v>0</v>
      </c>
      <c r="O85" s="432">
        <f t="shared" si="13"/>
        <v>0</v>
      </c>
      <c r="P85" s="432">
        <f t="shared" si="13"/>
        <v>0</v>
      </c>
      <c r="Q85" s="432">
        <f t="shared" si="13"/>
        <v>0</v>
      </c>
      <c r="R85" s="433">
        <f t="shared" si="13"/>
        <v>0</v>
      </c>
      <c r="S85" s="432">
        <f t="shared" si="13"/>
        <v>0</v>
      </c>
      <c r="T85" s="432">
        <f t="shared" si="13"/>
        <v>8144</v>
      </c>
      <c r="U85" s="432">
        <f t="shared" si="13"/>
        <v>10971</v>
      </c>
      <c r="V85" s="432">
        <f t="shared" si="13"/>
        <v>9054</v>
      </c>
      <c r="W85" s="432">
        <f t="shared" si="13"/>
        <v>10000</v>
      </c>
      <c r="X85" s="432">
        <f t="shared" si="13"/>
        <v>0</v>
      </c>
      <c r="Y85" s="432">
        <f t="shared" si="13"/>
        <v>20836</v>
      </c>
      <c r="Z85" s="432">
        <f t="shared" si="13"/>
        <v>86825</v>
      </c>
      <c r="AA85" s="432">
        <f t="shared" si="13"/>
        <v>0</v>
      </c>
      <c r="AB85" s="432">
        <f t="shared" si="13"/>
        <v>36676</v>
      </c>
      <c r="AC85" s="432">
        <f t="shared" si="13"/>
        <v>0</v>
      </c>
      <c r="AD85" s="434">
        <f t="shared" si="13"/>
        <v>33000</v>
      </c>
      <c r="AE85" s="435">
        <f t="shared" si="13"/>
        <v>8458</v>
      </c>
      <c r="AF85" s="436">
        <f t="shared" si="13"/>
        <v>0</v>
      </c>
      <c r="AG85" s="432">
        <f t="shared" si="13"/>
        <v>18040</v>
      </c>
      <c r="AH85" s="432">
        <f t="shared" si="13"/>
        <v>6794</v>
      </c>
      <c r="AI85" s="432">
        <f t="shared" si="13"/>
        <v>9000</v>
      </c>
      <c r="AJ85" s="432">
        <f t="shared" si="13"/>
        <v>30275</v>
      </c>
      <c r="AK85" s="432">
        <f t="shared" si="13"/>
        <v>20729</v>
      </c>
      <c r="AL85" s="432">
        <f t="shared" si="13"/>
        <v>35319</v>
      </c>
      <c r="AM85" s="432">
        <f t="shared" si="13"/>
        <v>25000</v>
      </c>
      <c r="AN85" s="432">
        <f t="shared" si="13"/>
        <v>0</v>
      </c>
      <c r="AO85" s="432">
        <f t="shared" si="13"/>
        <v>27079</v>
      </c>
      <c r="AP85" s="432">
        <f t="shared" si="13"/>
        <v>9906</v>
      </c>
      <c r="AQ85" s="432">
        <f t="shared" si="13"/>
        <v>0</v>
      </c>
      <c r="AR85" s="432">
        <f t="shared" si="13"/>
        <v>57553</v>
      </c>
      <c r="AS85" s="432">
        <f t="shared" si="13"/>
        <v>0</v>
      </c>
      <c r="AT85" s="432">
        <f t="shared" si="13"/>
        <v>8000</v>
      </c>
      <c r="AU85" s="432">
        <f t="shared" si="13"/>
        <v>0</v>
      </c>
      <c r="AV85" s="432">
        <f t="shared" si="13"/>
        <v>0</v>
      </c>
      <c r="AW85" s="432">
        <f t="shared" si="13"/>
        <v>0</v>
      </c>
      <c r="AX85" s="432">
        <f t="shared" si="13"/>
        <v>0</v>
      </c>
      <c r="AY85" s="432">
        <f t="shared" si="13"/>
        <v>12000</v>
      </c>
      <c r="AZ85" s="432">
        <f t="shared" si="13"/>
        <v>60313</v>
      </c>
      <c r="BA85" s="432">
        <f t="shared" si="13"/>
        <v>36768</v>
      </c>
      <c r="BB85" s="432">
        <f t="shared" si="13"/>
        <v>0</v>
      </c>
      <c r="BC85" s="432">
        <f t="shared" si="13"/>
        <v>0</v>
      </c>
      <c r="BD85" s="432">
        <f t="shared" si="13"/>
        <v>19432</v>
      </c>
      <c r="BE85" s="432">
        <f t="shared" si="13"/>
        <v>57006</v>
      </c>
      <c r="BF85" s="432">
        <f t="shared" si="13"/>
        <v>0</v>
      </c>
      <c r="BG85" s="432">
        <f t="shared" si="13"/>
        <v>0</v>
      </c>
      <c r="BH85" s="432">
        <f t="shared" si="13"/>
        <v>0</v>
      </c>
      <c r="BI85" s="432">
        <f t="shared" si="13"/>
        <v>45044</v>
      </c>
      <c r="BJ85" s="432">
        <f t="shared" si="13"/>
        <v>6500</v>
      </c>
      <c r="BK85" s="432">
        <f t="shared" si="13"/>
        <v>0</v>
      </c>
      <c r="BL85" s="432">
        <f t="shared" si="13"/>
        <v>0</v>
      </c>
      <c r="BM85" s="432">
        <f t="shared" si="13"/>
        <v>0</v>
      </c>
      <c r="BN85" s="432">
        <f t="shared" si="13"/>
        <v>0</v>
      </c>
      <c r="BO85" s="432">
        <f t="shared" ref="BO85:CL85" si="14">SUM(BO81:BO84)</f>
        <v>0</v>
      </c>
      <c r="BP85" s="432">
        <f t="shared" si="14"/>
        <v>0</v>
      </c>
      <c r="BQ85" s="432">
        <f t="shared" si="14"/>
        <v>0</v>
      </c>
      <c r="BR85" s="432">
        <f t="shared" si="14"/>
        <v>0</v>
      </c>
      <c r="BS85" s="432">
        <f t="shared" si="14"/>
        <v>0</v>
      </c>
      <c r="BT85" s="432">
        <f t="shared" si="14"/>
        <v>0</v>
      </c>
      <c r="BU85" s="432">
        <f t="shared" si="14"/>
        <v>0</v>
      </c>
      <c r="BV85" s="432">
        <f t="shared" si="14"/>
        <v>0</v>
      </c>
      <c r="BW85" s="432">
        <f t="shared" si="14"/>
        <v>0</v>
      </c>
      <c r="BX85" s="432">
        <f t="shared" si="14"/>
        <v>0</v>
      </c>
      <c r="BY85" s="432">
        <f t="shared" si="14"/>
        <v>0</v>
      </c>
      <c r="BZ85" s="432">
        <f t="shared" si="14"/>
        <v>0</v>
      </c>
      <c r="CA85" s="432">
        <v>0</v>
      </c>
      <c r="CB85" s="432">
        <v>0</v>
      </c>
      <c r="CC85" s="432">
        <f t="shared" si="14"/>
        <v>49015</v>
      </c>
      <c r="CD85" s="432">
        <f t="shared" si="14"/>
        <v>8541</v>
      </c>
      <c r="CE85" s="431">
        <f t="shared" si="14"/>
        <v>13283</v>
      </c>
      <c r="CF85" s="437">
        <f t="shared" si="14"/>
        <v>0</v>
      </c>
      <c r="CG85" s="430">
        <f t="shared" si="14"/>
        <v>48515</v>
      </c>
      <c r="CH85" s="432">
        <f t="shared" si="14"/>
        <v>25000</v>
      </c>
      <c r="CI85" s="432">
        <f t="shared" si="14"/>
        <v>0</v>
      </c>
      <c r="CJ85" s="432">
        <f t="shared" si="14"/>
        <v>20000</v>
      </c>
      <c r="CK85" s="432">
        <f t="shared" si="14"/>
        <v>0</v>
      </c>
      <c r="CL85" s="431">
        <f t="shared" si="14"/>
        <v>0</v>
      </c>
      <c r="CN85" s="431">
        <f>SUM(CN81:CN84)</f>
        <v>0</v>
      </c>
      <c r="CO85" s="431">
        <f>SUM(CO81:CO84)</f>
        <v>0</v>
      </c>
      <c r="CP85" s="431">
        <f>SUM(CP81:CP84)</f>
        <v>0</v>
      </c>
      <c r="CQ85" s="431">
        <f>SUM(CQ81:CQ84)</f>
        <v>0</v>
      </c>
    </row>
    <row r="86" spans="1:95">
      <c r="A86" s="468"/>
      <c r="B86" s="468"/>
      <c r="C86" s="469"/>
      <c r="D86" s="470"/>
      <c r="E86" s="469"/>
      <c r="F86" s="468"/>
      <c r="G86" s="470"/>
      <c r="H86" s="438"/>
      <c r="I86" s="439"/>
      <c r="J86" s="438"/>
      <c r="K86" s="372"/>
      <c r="L86" s="372"/>
      <c r="M86" s="372"/>
      <c r="N86" s="372"/>
      <c r="O86" s="372"/>
      <c r="P86" s="372"/>
      <c r="Q86" s="372"/>
      <c r="R86" s="373"/>
      <c r="S86" s="372"/>
      <c r="T86" s="372"/>
      <c r="U86" s="372"/>
      <c r="V86" s="372"/>
      <c r="W86" s="372"/>
      <c r="X86" s="372"/>
      <c r="Y86" s="372"/>
      <c r="Z86" s="372"/>
      <c r="AA86" s="372"/>
      <c r="AB86" s="372"/>
      <c r="AC86" s="372"/>
      <c r="AD86" s="372"/>
      <c r="AE86" s="440"/>
      <c r="AF86" s="372"/>
      <c r="AG86" s="372"/>
      <c r="AH86" s="372"/>
      <c r="AI86" s="372"/>
      <c r="AJ86" s="372"/>
      <c r="AK86" s="372"/>
      <c r="AL86" s="372"/>
      <c r="AM86" s="372"/>
      <c r="AN86" s="372"/>
      <c r="AO86" s="372"/>
      <c r="AP86" s="372"/>
      <c r="AQ86" s="372"/>
      <c r="AR86" s="372"/>
      <c r="AS86" s="372"/>
      <c r="AT86" s="372"/>
      <c r="AU86" s="372"/>
      <c r="AV86" s="372"/>
      <c r="AW86" s="372"/>
      <c r="AX86" s="372"/>
      <c r="AY86" s="372"/>
      <c r="AZ86" s="372"/>
      <c r="BA86" s="372"/>
      <c r="BB86" s="476">
        <v>0</v>
      </c>
      <c r="BC86" s="372"/>
      <c r="BD86" s="372"/>
      <c r="BE86" s="372"/>
      <c r="BF86" s="372"/>
      <c r="BG86" s="372"/>
      <c r="BH86" s="372"/>
      <c r="BI86" s="372"/>
      <c r="BJ86" s="372"/>
      <c r="BK86" s="372"/>
      <c r="BL86" s="372"/>
      <c r="BM86" s="372"/>
      <c r="BN86" s="372"/>
      <c r="BO86" s="372"/>
      <c r="BP86" s="372"/>
      <c r="BQ86" s="372"/>
      <c r="BR86" s="372"/>
      <c r="BS86" s="372"/>
      <c r="BT86" s="372"/>
      <c r="BU86" s="372"/>
      <c r="BV86" s="372"/>
      <c r="BW86" s="372"/>
      <c r="BX86" s="372"/>
      <c r="BY86" s="372"/>
      <c r="BZ86" s="372"/>
      <c r="CA86" s="372">
        <v>20000</v>
      </c>
      <c r="CB86" s="372"/>
      <c r="CC86" s="372"/>
      <c r="CD86" s="372"/>
      <c r="CE86" s="439"/>
      <c r="CF86" s="441"/>
      <c r="CG86" s="438"/>
      <c r="CH86" s="372"/>
      <c r="CI86" s="372"/>
      <c r="CJ86" s="372"/>
      <c r="CK86" s="372"/>
      <c r="CL86" s="439"/>
      <c r="CN86" s="439"/>
      <c r="CO86" s="439"/>
      <c r="CP86" s="439"/>
      <c r="CQ86" s="439"/>
    </row>
    <row r="87" spans="1:95" ht="15" thickBot="1">
      <c r="A87" s="429" t="s">
        <v>679</v>
      </c>
      <c r="B87" s="429"/>
      <c r="C87" s="430">
        <f t="shared" ref="C87:AG87" si="15">C78-C85</f>
        <v>-31366</v>
      </c>
      <c r="D87" s="431">
        <f>D78-D85</f>
        <v>-32254</v>
      </c>
      <c r="E87" s="430">
        <f t="shared" si="15"/>
        <v>-11735</v>
      </c>
      <c r="F87" s="432">
        <f t="shared" si="15"/>
        <v>0</v>
      </c>
      <c r="G87" s="431">
        <f t="shared" si="15"/>
        <v>0</v>
      </c>
      <c r="H87" s="430">
        <f t="shared" si="15"/>
        <v>0</v>
      </c>
      <c r="I87" s="431">
        <f t="shared" si="15"/>
        <v>0</v>
      </c>
      <c r="J87" s="430">
        <f t="shared" si="15"/>
        <v>0</v>
      </c>
      <c r="K87" s="432">
        <f t="shared" si="15"/>
        <v>0</v>
      </c>
      <c r="L87" s="432">
        <f t="shared" si="15"/>
        <v>0</v>
      </c>
      <c r="M87" s="432">
        <f t="shared" si="15"/>
        <v>0</v>
      </c>
      <c r="N87" s="432">
        <f t="shared" si="15"/>
        <v>0</v>
      </c>
      <c r="O87" s="432">
        <f t="shared" si="15"/>
        <v>8892</v>
      </c>
      <c r="P87" s="432">
        <f t="shared" si="15"/>
        <v>0</v>
      </c>
      <c r="Q87" s="432">
        <f t="shared" si="15"/>
        <v>0</v>
      </c>
      <c r="R87" s="433">
        <f t="shared" si="15"/>
        <v>0</v>
      </c>
      <c r="S87" s="432">
        <f t="shared" si="15"/>
        <v>0</v>
      </c>
      <c r="T87" s="432">
        <f t="shared" si="15"/>
        <v>-758</v>
      </c>
      <c r="U87" s="432">
        <f t="shared" si="15"/>
        <v>0</v>
      </c>
      <c r="V87" s="432">
        <f t="shared" si="15"/>
        <v>0</v>
      </c>
      <c r="W87" s="432">
        <f t="shared" si="15"/>
        <v>-3491</v>
      </c>
      <c r="X87" s="432">
        <f t="shared" si="15"/>
        <v>0</v>
      </c>
      <c r="Y87" s="432">
        <f t="shared" si="15"/>
        <v>-14473</v>
      </c>
      <c r="Z87" s="432">
        <f t="shared" si="15"/>
        <v>-0.13959999999497086</v>
      </c>
      <c r="AA87" s="432">
        <f t="shared" si="15"/>
        <v>0</v>
      </c>
      <c r="AB87" s="432">
        <f t="shared" si="15"/>
        <v>-30325</v>
      </c>
      <c r="AC87" s="432">
        <f t="shared" si="15"/>
        <v>0</v>
      </c>
      <c r="AD87" s="434">
        <f t="shared" si="15"/>
        <v>-12054</v>
      </c>
      <c r="AE87" s="435">
        <f t="shared" si="15"/>
        <v>-1438</v>
      </c>
      <c r="AF87" s="436">
        <f t="shared" si="15"/>
        <v>9197</v>
      </c>
      <c r="AG87" s="432">
        <f t="shared" si="15"/>
        <v>-8701</v>
      </c>
      <c r="AH87" s="432">
        <f>AH78-AH85</f>
        <v>0</v>
      </c>
      <c r="AI87" s="432">
        <f t="shared" ref="AI87:CL87" si="16">AI78-AI85</f>
        <v>-1434</v>
      </c>
      <c r="AJ87" s="432">
        <f t="shared" si="16"/>
        <v>-20603</v>
      </c>
      <c r="AK87" s="432">
        <f t="shared" si="16"/>
        <v>-14796</v>
      </c>
      <c r="AL87" s="432">
        <f t="shared" si="16"/>
        <v>-27756</v>
      </c>
      <c r="AM87" s="432">
        <f t="shared" si="16"/>
        <v>-15814</v>
      </c>
      <c r="AN87" s="432">
        <f t="shared" si="16"/>
        <v>0</v>
      </c>
      <c r="AO87" s="432">
        <f t="shared" si="16"/>
        <v>-20796.599999999999</v>
      </c>
      <c r="AP87" s="432">
        <f t="shared" si="16"/>
        <v>0</v>
      </c>
      <c r="AQ87" s="432">
        <f t="shared" si="16"/>
        <v>0</v>
      </c>
      <c r="AR87" s="432">
        <f>AR78-AR85</f>
        <v>0</v>
      </c>
      <c r="AS87" s="432">
        <f t="shared" si="16"/>
        <v>0</v>
      </c>
      <c r="AT87" s="432">
        <f t="shared" si="16"/>
        <v>3542</v>
      </c>
      <c r="AU87" s="432">
        <f t="shared" si="16"/>
        <v>0</v>
      </c>
      <c r="AV87" s="432">
        <f t="shared" si="16"/>
        <v>0</v>
      </c>
      <c r="AW87" s="432">
        <f t="shared" si="16"/>
        <v>0</v>
      </c>
      <c r="AX87" s="432">
        <f t="shared" si="16"/>
        <v>0</v>
      </c>
      <c r="AY87" s="432">
        <f t="shared" si="16"/>
        <v>-3241.25</v>
      </c>
      <c r="AZ87" s="432">
        <f t="shared" si="16"/>
        <v>0</v>
      </c>
      <c r="BA87" s="432">
        <f t="shared" si="16"/>
        <v>0</v>
      </c>
      <c r="BB87" s="432">
        <f t="shared" si="16"/>
        <v>0</v>
      </c>
      <c r="BC87" s="432">
        <f t="shared" si="16"/>
        <v>6844</v>
      </c>
      <c r="BD87" s="432">
        <f t="shared" si="16"/>
        <v>-4432</v>
      </c>
      <c r="BE87" s="432">
        <f t="shared" si="16"/>
        <v>-26563</v>
      </c>
      <c r="BF87" s="432">
        <f t="shared" si="16"/>
        <v>0</v>
      </c>
      <c r="BG87" s="432">
        <f t="shared" si="16"/>
        <v>0</v>
      </c>
      <c r="BH87" s="432">
        <f t="shared" si="16"/>
        <v>0</v>
      </c>
      <c r="BI87" s="432">
        <f t="shared" si="16"/>
        <v>-31044</v>
      </c>
      <c r="BJ87" s="432">
        <f t="shared" si="16"/>
        <v>0</v>
      </c>
      <c r="BK87" s="432">
        <f t="shared" si="16"/>
        <v>0</v>
      </c>
      <c r="BL87" s="432">
        <f t="shared" si="16"/>
        <v>0</v>
      </c>
      <c r="BM87" s="432">
        <f t="shared" si="16"/>
        <v>0</v>
      </c>
      <c r="BN87" s="432">
        <f t="shared" si="16"/>
        <v>0</v>
      </c>
      <c r="BO87" s="432">
        <f t="shared" si="16"/>
        <v>0</v>
      </c>
      <c r="BP87" s="432">
        <f t="shared" si="16"/>
        <v>0</v>
      </c>
      <c r="BQ87" s="432">
        <f t="shared" si="16"/>
        <v>0</v>
      </c>
      <c r="BR87" s="432">
        <f t="shared" si="16"/>
        <v>0</v>
      </c>
      <c r="BS87" s="432">
        <f t="shared" si="16"/>
        <v>0</v>
      </c>
      <c r="BT87" s="432">
        <f t="shared" si="16"/>
        <v>0</v>
      </c>
      <c r="BU87" s="432">
        <f t="shared" si="16"/>
        <v>0</v>
      </c>
      <c r="BV87" s="432">
        <f t="shared" si="16"/>
        <v>0</v>
      </c>
      <c r="BW87" s="432">
        <f t="shared" si="16"/>
        <v>0</v>
      </c>
      <c r="BX87" s="432">
        <f t="shared" si="16"/>
        <v>6725</v>
      </c>
      <c r="BY87" s="432">
        <f t="shared" si="16"/>
        <v>0</v>
      </c>
      <c r="BZ87" s="432">
        <f t="shared" si="16"/>
        <v>0</v>
      </c>
      <c r="CA87" s="432">
        <v>23015</v>
      </c>
      <c r="CB87" s="432">
        <f t="shared" si="16"/>
        <v>20228</v>
      </c>
      <c r="CC87" s="432">
        <f t="shared" si="16"/>
        <v>-16067</v>
      </c>
      <c r="CD87" s="432">
        <f t="shared" si="16"/>
        <v>0</v>
      </c>
      <c r="CE87" s="431">
        <f t="shared" si="16"/>
        <v>-6954</v>
      </c>
      <c r="CF87" s="437">
        <f t="shared" si="16"/>
        <v>0</v>
      </c>
      <c r="CG87" s="430">
        <f t="shared" si="16"/>
        <v>0</v>
      </c>
      <c r="CH87" s="432">
        <f t="shared" si="16"/>
        <v>-8791</v>
      </c>
      <c r="CI87" s="432">
        <f t="shared" si="16"/>
        <v>0</v>
      </c>
      <c r="CJ87" s="432">
        <f t="shared" si="16"/>
        <v>0</v>
      </c>
      <c r="CK87" s="432">
        <f t="shared" si="16"/>
        <v>0</v>
      </c>
      <c r="CL87" s="431">
        <f t="shared" si="16"/>
        <v>0</v>
      </c>
      <c r="CN87" s="431">
        <f>CN78-CN85</f>
        <v>0</v>
      </c>
      <c r="CO87" s="431">
        <f>CO78-CO85</f>
        <v>0</v>
      </c>
      <c r="CP87" s="431">
        <f>CP78-CP85</f>
        <v>0</v>
      </c>
      <c r="CQ87" s="431">
        <f>CQ78-CQ85</f>
        <v>0</v>
      </c>
    </row>
    <row r="88" spans="1:95" ht="15" thickBot="1">
      <c r="A88" s="405" t="s">
        <v>691</v>
      </c>
      <c r="B88" s="479"/>
      <c r="C88" s="480">
        <v>61017</v>
      </c>
      <c r="D88" s="480">
        <v>32254</v>
      </c>
      <c r="E88" s="480">
        <v>38662</v>
      </c>
      <c r="F88" s="455">
        <v>0</v>
      </c>
      <c r="G88" s="480">
        <v>0</v>
      </c>
      <c r="H88" s="455">
        <v>0</v>
      </c>
      <c r="I88" s="455">
        <v>50303</v>
      </c>
      <c r="J88" s="456">
        <v>0</v>
      </c>
      <c r="K88" s="480">
        <v>0</v>
      </c>
      <c r="L88" s="456">
        <v>0</v>
      </c>
      <c r="M88" s="457">
        <v>0</v>
      </c>
      <c r="N88" s="458"/>
      <c r="O88" s="480">
        <v>0</v>
      </c>
      <c r="P88" s="458"/>
      <c r="Q88" s="457">
        <v>0</v>
      </c>
      <c r="R88" s="459"/>
      <c r="S88" s="457">
        <v>0</v>
      </c>
      <c r="T88" s="456">
        <v>758</v>
      </c>
      <c r="U88" s="456">
        <v>0</v>
      </c>
      <c r="V88" s="456">
        <v>0</v>
      </c>
      <c r="W88" s="480">
        <v>12849</v>
      </c>
      <c r="X88" s="456">
        <v>0</v>
      </c>
      <c r="Y88" s="456">
        <v>14473</v>
      </c>
      <c r="Z88" s="456">
        <v>5899</v>
      </c>
      <c r="AA88" s="458"/>
      <c r="AB88" s="456">
        <v>30325</v>
      </c>
      <c r="AC88" s="458"/>
      <c r="AD88" s="456">
        <v>12055</v>
      </c>
      <c r="AE88" s="456">
        <v>1438</v>
      </c>
      <c r="AF88" s="481">
        <v>12671</v>
      </c>
      <c r="AG88" s="461">
        <v>8701</v>
      </c>
      <c r="AH88" s="456">
        <v>27813</v>
      </c>
      <c r="AI88" s="480">
        <v>23245</v>
      </c>
      <c r="AJ88" s="480">
        <v>20603</v>
      </c>
      <c r="AK88" s="456">
        <v>14796</v>
      </c>
      <c r="AL88" s="456">
        <v>27756</v>
      </c>
      <c r="AM88" s="482">
        <v>25062.25</v>
      </c>
      <c r="AN88" s="456">
        <v>0</v>
      </c>
      <c r="AO88" s="456">
        <v>30039.23</v>
      </c>
      <c r="AP88" s="456">
        <v>0</v>
      </c>
      <c r="AQ88" s="456">
        <v>0</v>
      </c>
      <c r="AR88" s="458"/>
      <c r="AS88" s="458"/>
      <c r="AT88" s="458"/>
      <c r="AU88" s="458"/>
      <c r="AV88" s="458">
        <v>0</v>
      </c>
      <c r="AW88" s="458"/>
      <c r="AX88" s="458"/>
      <c r="AY88" s="458">
        <v>25687.27</v>
      </c>
      <c r="AZ88" s="458">
        <v>32747</v>
      </c>
      <c r="BA88" s="458">
        <v>33421</v>
      </c>
      <c r="BB88" s="458">
        <v>0</v>
      </c>
      <c r="BC88" s="458">
        <v>0</v>
      </c>
      <c r="BD88" s="458"/>
      <c r="BE88" s="458">
        <v>26563</v>
      </c>
      <c r="BF88" s="458"/>
      <c r="BG88" s="475">
        <v>0</v>
      </c>
      <c r="BH88" s="458"/>
      <c r="BI88" s="458">
        <v>31044</v>
      </c>
      <c r="BJ88" s="458">
        <v>0</v>
      </c>
      <c r="BK88" s="458"/>
      <c r="BL88" s="458"/>
      <c r="BM88" s="458">
        <v>0</v>
      </c>
      <c r="BN88" s="458">
        <v>0</v>
      </c>
      <c r="BO88" s="458">
        <v>0</v>
      </c>
      <c r="BP88" s="458">
        <v>0</v>
      </c>
      <c r="BQ88" s="475">
        <v>0</v>
      </c>
      <c r="BR88" s="458">
        <v>0</v>
      </c>
      <c r="BS88" s="458">
        <v>0</v>
      </c>
      <c r="BT88" s="458"/>
      <c r="BU88" s="458"/>
      <c r="BV88" s="458"/>
      <c r="BW88" s="458">
        <v>0</v>
      </c>
      <c r="BX88" s="458">
        <v>0</v>
      </c>
      <c r="BY88" s="458">
        <v>0</v>
      </c>
      <c r="BZ88" s="458"/>
      <c r="CA88" s="458">
        <v>6000</v>
      </c>
      <c r="CB88" s="458">
        <v>20406</v>
      </c>
      <c r="CC88" s="458">
        <v>16067</v>
      </c>
      <c r="CD88" s="458"/>
      <c r="CE88" s="458">
        <v>6954</v>
      </c>
      <c r="CF88" s="458"/>
      <c r="CG88" s="458"/>
      <c r="CH88" s="458">
        <v>16737</v>
      </c>
      <c r="CI88" s="458"/>
      <c r="CJ88" s="455">
        <v>0</v>
      </c>
      <c r="CK88" s="458">
        <v>0</v>
      </c>
      <c r="CL88" s="458">
        <v>766</v>
      </c>
      <c r="CN88" s="458">
        <v>0</v>
      </c>
      <c r="CO88" s="458">
        <v>0</v>
      </c>
      <c r="CP88" s="458">
        <v>0</v>
      </c>
      <c r="CQ88" s="458">
        <v>0</v>
      </c>
    </row>
    <row r="89" spans="1:95" ht="15" thickBot="1">
      <c r="A89" s="465" t="s">
        <v>681</v>
      </c>
      <c r="B89" s="465"/>
      <c r="C89" s="483">
        <f>SUM(C87:C88)</f>
        <v>29651</v>
      </c>
      <c r="D89" s="484">
        <f>SUM(D87:D88)</f>
        <v>0</v>
      </c>
      <c r="E89" s="483">
        <f>SUM(E87:E88)</f>
        <v>26927</v>
      </c>
      <c r="F89" s="485">
        <f>SUM(F87:F88)</f>
        <v>0</v>
      </c>
      <c r="G89" s="484">
        <f>SUM(G87:G88)</f>
        <v>0</v>
      </c>
      <c r="H89" s="483">
        <f t="shared" ref="H89:BS89" si="17">SUM(H87:H88)</f>
        <v>0</v>
      </c>
      <c r="I89" s="484">
        <f t="shared" si="17"/>
        <v>50303</v>
      </c>
      <c r="J89" s="483">
        <f t="shared" si="17"/>
        <v>0</v>
      </c>
      <c r="K89" s="485">
        <f t="shared" si="17"/>
        <v>0</v>
      </c>
      <c r="L89" s="485">
        <f t="shared" si="17"/>
        <v>0</v>
      </c>
      <c r="M89" s="485">
        <f t="shared" si="17"/>
        <v>0</v>
      </c>
      <c r="N89" s="485">
        <f t="shared" si="17"/>
        <v>0</v>
      </c>
      <c r="O89" s="485">
        <f t="shared" si="17"/>
        <v>8892</v>
      </c>
      <c r="P89" s="485">
        <f t="shared" si="17"/>
        <v>0</v>
      </c>
      <c r="Q89" s="485">
        <f t="shared" si="17"/>
        <v>0</v>
      </c>
      <c r="R89" s="486">
        <f t="shared" si="17"/>
        <v>0</v>
      </c>
      <c r="S89" s="485">
        <f t="shared" si="17"/>
        <v>0</v>
      </c>
      <c r="T89" s="485">
        <f t="shared" si="17"/>
        <v>0</v>
      </c>
      <c r="U89" s="485">
        <f t="shared" si="17"/>
        <v>0</v>
      </c>
      <c r="V89" s="485">
        <f t="shared" si="17"/>
        <v>0</v>
      </c>
      <c r="W89" s="485">
        <f t="shared" si="17"/>
        <v>9358</v>
      </c>
      <c r="X89" s="485">
        <f t="shared" si="17"/>
        <v>0</v>
      </c>
      <c r="Y89" s="485">
        <f t="shared" si="17"/>
        <v>0</v>
      </c>
      <c r="Z89" s="485">
        <f t="shared" si="17"/>
        <v>5898.860400000005</v>
      </c>
      <c r="AA89" s="485">
        <f t="shared" si="17"/>
        <v>0</v>
      </c>
      <c r="AB89" s="485">
        <f t="shared" si="17"/>
        <v>0</v>
      </c>
      <c r="AC89" s="485">
        <f t="shared" si="17"/>
        <v>0</v>
      </c>
      <c r="AD89" s="485">
        <f t="shared" si="17"/>
        <v>1</v>
      </c>
      <c r="AE89" s="487">
        <f t="shared" si="17"/>
        <v>0</v>
      </c>
      <c r="AF89" s="485">
        <f t="shared" si="17"/>
        <v>21868</v>
      </c>
      <c r="AG89" s="485">
        <f t="shared" si="17"/>
        <v>0</v>
      </c>
      <c r="AH89" s="485">
        <f>SUM(AH87:AH88)</f>
        <v>27813</v>
      </c>
      <c r="AI89" s="485">
        <f t="shared" si="17"/>
        <v>21811</v>
      </c>
      <c r="AJ89" s="485">
        <f t="shared" si="17"/>
        <v>0</v>
      </c>
      <c r="AK89" s="485">
        <f t="shared" si="17"/>
        <v>0</v>
      </c>
      <c r="AL89" s="485">
        <f t="shared" si="17"/>
        <v>0</v>
      </c>
      <c r="AM89" s="485">
        <f t="shared" si="17"/>
        <v>9248.25</v>
      </c>
      <c r="AN89" s="485">
        <f t="shared" si="17"/>
        <v>0</v>
      </c>
      <c r="AO89" s="485">
        <f t="shared" si="17"/>
        <v>9242.630000000001</v>
      </c>
      <c r="AP89" s="485">
        <f t="shared" si="17"/>
        <v>0</v>
      </c>
      <c r="AQ89" s="485">
        <f t="shared" si="17"/>
        <v>0</v>
      </c>
      <c r="AR89" s="485">
        <f>SUM(AR87:AR88)</f>
        <v>0</v>
      </c>
      <c r="AS89" s="485">
        <f t="shared" si="17"/>
        <v>0</v>
      </c>
      <c r="AT89" s="485">
        <f t="shared" si="17"/>
        <v>3542</v>
      </c>
      <c r="AU89" s="485">
        <f t="shared" si="17"/>
        <v>0</v>
      </c>
      <c r="AV89" s="485">
        <f t="shared" si="17"/>
        <v>0</v>
      </c>
      <c r="AW89" s="485">
        <f t="shared" si="17"/>
        <v>0</v>
      </c>
      <c r="AX89" s="485">
        <f t="shared" si="17"/>
        <v>0</v>
      </c>
      <c r="AY89" s="485">
        <f t="shared" si="17"/>
        <v>22446.02</v>
      </c>
      <c r="AZ89" s="485">
        <f t="shared" si="17"/>
        <v>32747</v>
      </c>
      <c r="BA89" s="485">
        <f t="shared" si="17"/>
        <v>33421</v>
      </c>
      <c r="BB89" s="485">
        <f t="shared" si="17"/>
        <v>0</v>
      </c>
      <c r="BC89" s="485">
        <f t="shared" si="17"/>
        <v>6844</v>
      </c>
      <c r="BD89" s="485">
        <f t="shared" si="17"/>
        <v>-4432</v>
      </c>
      <c r="BE89" s="485">
        <f t="shared" si="17"/>
        <v>0</v>
      </c>
      <c r="BF89" s="485">
        <f t="shared" si="17"/>
        <v>0</v>
      </c>
      <c r="BG89" s="488">
        <f t="shared" si="17"/>
        <v>0</v>
      </c>
      <c r="BH89" s="485">
        <f t="shared" si="17"/>
        <v>0</v>
      </c>
      <c r="BI89" s="485">
        <f t="shared" si="17"/>
        <v>0</v>
      </c>
      <c r="BJ89" s="485">
        <f t="shared" si="17"/>
        <v>0</v>
      </c>
      <c r="BK89" s="485">
        <f t="shared" si="17"/>
        <v>0</v>
      </c>
      <c r="BL89" s="485">
        <f t="shared" si="17"/>
        <v>0</v>
      </c>
      <c r="BM89" s="485">
        <f t="shared" si="17"/>
        <v>0</v>
      </c>
      <c r="BN89" s="485">
        <f t="shared" si="17"/>
        <v>0</v>
      </c>
      <c r="BO89" s="485">
        <f t="shared" si="17"/>
        <v>0</v>
      </c>
      <c r="BP89" s="485">
        <f t="shared" si="17"/>
        <v>0</v>
      </c>
      <c r="BQ89" s="488">
        <f t="shared" si="17"/>
        <v>0</v>
      </c>
      <c r="BR89" s="485">
        <f t="shared" si="17"/>
        <v>0</v>
      </c>
      <c r="BS89" s="485">
        <f t="shared" si="17"/>
        <v>0</v>
      </c>
      <c r="BT89" s="485">
        <f t="shared" ref="BT89:CL89" si="18">SUM(BT87:BT88)</f>
        <v>0</v>
      </c>
      <c r="BU89" s="485">
        <f t="shared" si="18"/>
        <v>0</v>
      </c>
      <c r="BV89" s="485">
        <f t="shared" si="18"/>
        <v>0</v>
      </c>
      <c r="BW89" s="485">
        <f t="shared" si="18"/>
        <v>0</v>
      </c>
      <c r="BX89" s="485">
        <f t="shared" si="18"/>
        <v>6725</v>
      </c>
      <c r="BY89" s="485">
        <f t="shared" si="18"/>
        <v>0</v>
      </c>
      <c r="BZ89" s="485">
        <f t="shared" si="18"/>
        <v>0</v>
      </c>
      <c r="CA89" s="485">
        <f t="shared" si="18"/>
        <v>29015</v>
      </c>
      <c r="CB89" s="485">
        <f t="shared" si="18"/>
        <v>40634</v>
      </c>
      <c r="CC89" s="485">
        <f t="shared" si="18"/>
        <v>0</v>
      </c>
      <c r="CD89" s="485">
        <f>SUM(CD87:CD88)</f>
        <v>0</v>
      </c>
      <c r="CE89" s="484">
        <f t="shared" si="18"/>
        <v>0</v>
      </c>
      <c r="CF89" s="489">
        <f t="shared" si="18"/>
        <v>0</v>
      </c>
      <c r="CG89" s="483">
        <f t="shared" si="18"/>
        <v>0</v>
      </c>
      <c r="CH89" s="485">
        <f>SUM(CH87:CH88)</f>
        <v>7946</v>
      </c>
      <c r="CI89" s="485">
        <f t="shared" si="18"/>
        <v>0</v>
      </c>
      <c r="CJ89" s="485">
        <f t="shared" si="18"/>
        <v>0</v>
      </c>
      <c r="CK89" s="485">
        <f t="shared" si="18"/>
        <v>0</v>
      </c>
      <c r="CL89" s="484">
        <f t="shared" si="18"/>
        <v>766</v>
      </c>
      <c r="CN89" s="484">
        <f>SUM(CN87:CN88)</f>
        <v>0</v>
      </c>
      <c r="CO89" s="484">
        <f>SUM(CO87:CO88)</f>
        <v>0</v>
      </c>
      <c r="CP89" s="484">
        <f>SUM(CP87:CP88)</f>
        <v>0</v>
      </c>
      <c r="CQ89" s="484">
        <f>SUM(CQ87:CQ88)</f>
        <v>0</v>
      </c>
    </row>
    <row r="90" spans="1:95">
      <c r="A90" s="372"/>
      <c r="B90" s="372"/>
      <c r="C90" s="372"/>
      <c r="D90" s="372"/>
      <c r="E90" s="372"/>
      <c r="F90" s="372"/>
      <c r="G90" s="372"/>
      <c r="H90" s="372"/>
      <c r="I90" s="372"/>
      <c r="J90" s="372"/>
      <c r="K90" s="372"/>
      <c r="L90" s="372"/>
      <c r="M90" s="372"/>
      <c r="N90" s="372"/>
      <c r="O90" s="372"/>
      <c r="P90" s="372"/>
      <c r="Q90" s="372"/>
      <c r="R90" s="373"/>
      <c r="S90" s="372"/>
      <c r="T90" s="372"/>
      <c r="U90" s="372"/>
      <c r="V90" s="372"/>
      <c r="W90" s="490" t="s">
        <v>692</v>
      </c>
      <c r="X90" s="372"/>
      <c r="Y90" s="372"/>
      <c r="Z90" s="372"/>
      <c r="AA90" s="490"/>
      <c r="AB90" s="490" t="s">
        <v>692</v>
      </c>
      <c r="AC90" s="372"/>
      <c r="AD90" s="372"/>
      <c r="AE90" s="372"/>
      <c r="AF90" s="372"/>
      <c r="AG90" s="372"/>
      <c r="AH90" s="372"/>
      <c r="AI90" s="372"/>
      <c r="AJ90" s="372"/>
      <c r="AK90" s="372"/>
      <c r="AL90" s="372"/>
      <c r="AM90" s="372"/>
      <c r="AN90" s="372"/>
      <c r="AO90" s="372"/>
      <c r="AP90" s="372"/>
      <c r="AQ90" s="372"/>
      <c r="AR90" s="372"/>
      <c r="AS90" s="372"/>
      <c r="AT90" s="372"/>
      <c r="AU90" s="372"/>
      <c r="AV90" s="372"/>
      <c r="AW90" s="372"/>
      <c r="AX90" s="372"/>
      <c r="AY90" s="372"/>
      <c r="AZ90" s="372"/>
      <c r="BA90" s="372"/>
      <c r="BB90" s="372"/>
      <c r="BC90" s="372"/>
      <c r="BD90" s="372"/>
      <c r="BE90" s="372"/>
      <c r="BF90" s="372"/>
      <c r="BG90" s="372"/>
      <c r="BH90" s="372"/>
      <c r="BI90" s="372"/>
      <c r="BJ90" s="372"/>
      <c r="BK90" s="372"/>
      <c r="BL90" s="372"/>
      <c r="BM90" s="372"/>
      <c r="BN90" s="372"/>
      <c r="BO90" s="372"/>
      <c r="BP90" s="372"/>
      <c r="BQ90" s="372"/>
      <c r="BR90" s="372"/>
      <c r="BS90" s="372"/>
      <c r="BT90" s="372"/>
      <c r="BU90" s="372"/>
      <c r="BV90" s="372"/>
      <c r="BW90" s="372"/>
      <c r="BX90" s="372"/>
      <c r="BY90" s="372"/>
      <c r="BZ90" s="372"/>
      <c r="CA90" s="372"/>
      <c r="CB90" s="372"/>
      <c r="CC90" s="372"/>
      <c r="CD90" s="372"/>
      <c r="CE90" s="372"/>
      <c r="CF90" s="372"/>
      <c r="CG90" s="372"/>
      <c r="CH90" s="372"/>
      <c r="CI90" s="372"/>
      <c r="CJ90" s="372"/>
      <c r="CK90" s="372"/>
      <c r="CL90" s="372"/>
    </row>
    <row r="91" spans="1:95">
      <c r="A91" s="372"/>
      <c r="B91" s="372" t="s">
        <v>693</v>
      </c>
      <c r="C91" s="491">
        <f>C72</f>
        <v>-86546.924609987997</v>
      </c>
      <c r="D91" s="491">
        <f t="shared" ref="D91:BO91" si="19">D72</f>
        <v>5343.7880115078297</v>
      </c>
      <c r="E91" s="491">
        <f t="shared" si="19"/>
        <v>247081.87550083175</v>
      </c>
      <c r="F91" s="491">
        <f t="shared" si="19"/>
        <v>40846.500399999321</v>
      </c>
      <c r="G91" s="491">
        <f t="shared" si="19"/>
        <v>-245750.25693223905</v>
      </c>
      <c r="H91" s="491">
        <f t="shared" si="19"/>
        <v>-145744.54869999993</v>
      </c>
      <c r="I91" s="491">
        <f t="shared" si="19"/>
        <v>395691.01419999916</v>
      </c>
      <c r="J91" s="491">
        <f t="shared" si="19"/>
        <v>33697.701800000388</v>
      </c>
      <c r="K91" s="491">
        <f t="shared" si="19"/>
        <v>47000.315760307247</v>
      </c>
      <c r="L91" s="491">
        <f t="shared" si="19"/>
        <v>70572.524999999907</v>
      </c>
      <c r="M91" s="491">
        <f t="shared" si="19"/>
        <v>86581.418700000038</v>
      </c>
      <c r="N91" s="491">
        <f t="shared" si="19"/>
        <v>-6402.6015000001807</v>
      </c>
      <c r="O91" s="491">
        <f t="shared" si="19"/>
        <v>14881.642139882315</v>
      </c>
      <c r="P91" s="491">
        <f t="shared" si="19"/>
        <v>0</v>
      </c>
      <c r="Q91" s="491">
        <f t="shared" si="19"/>
        <v>72265.294099999825</v>
      </c>
      <c r="R91" s="491">
        <f t="shared" si="19"/>
        <v>0</v>
      </c>
      <c r="S91" s="491">
        <f t="shared" si="19"/>
        <v>131265.47420000052</v>
      </c>
      <c r="T91" s="491">
        <f t="shared" si="19"/>
        <v>5838.7935999999754</v>
      </c>
      <c r="U91" s="491">
        <f t="shared" si="19"/>
        <v>21739.106000000611</v>
      </c>
      <c r="V91" s="491">
        <f t="shared" si="19"/>
        <v>-100703.00009999983</v>
      </c>
      <c r="W91" s="491">
        <f t="shared" si="19"/>
        <v>-80525.714973912574</v>
      </c>
      <c r="X91" s="491">
        <f t="shared" si="19"/>
        <v>181538.24420000007</v>
      </c>
      <c r="Y91" s="491">
        <f t="shared" si="19"/>
        <v>-266513.18269999977</v>
      </c>
      <c r="Z91" s="491">
        <f t="shared" si="19"/>
        <v>98280.801699998308</v>
      </c>
      <c r="AA91" s="491">
        <f t="shared" si="19"/>
        <v>0</v>
      </c>
      <c r="AB91" s="491">
        <f t="shared" si="19"/>
        <v>-132723.80300000031</v>
      </c>
      <c r="AC91" s="491">
        <f t="shared" si="19"/>
        <v>0</v>
      </c>
      <c r="AD91" s="491">
        <f t="shared" si="19"/>
        <v>34406.284099999815</v>
      </c>
      <c r="AE91" s="491">
        <f t="shared" si="19"/>
        <v>-126686.97819999978</v>
      </c>
      <c r="AF91" s="491">
        <f t="shared" si="19"/>
        <v>19565.420107543934</v>
      </c>
      <c r="AG91" s="491">
        <f t="shared" si="19"/>
        <v>-147024</v>
      </c>
      <c r="AH91" s="491">
        <f t="shared" si="19"/>
        <v>-63577.529000000097</v>
      </c>
      <c r="AI91" s="491">
        <f t="shared" si="19"/>
        <v>11199.080516512273</v>
      </c>
      <c r="AJ91" s="491">
        <f t="shared" si="19"/>
        <v>25312.544003535528</v>
      </c>
      <c r="AK91" s="491">
        <f t="shared" si="19"/>
        <v>-247166.03619999997</v>
      </c>
      <c r="AL91" s="491">
        <f t="shared" si="19"/>
        <v>-272782.44319999963</v>
      </c>
      <c r="AM91" s="491">
        <f t="shared" si="19"/>
        <v>-202079.29739999989</v>
      </c>
      <c r="AN91" s="491">
        <f t="shared" si="19"/>
        <v>-320822.62479999987</v>
      </c>
      <c r="AO91" s="491">
        <f t="shared" si="19"/>
        <v>-226242.34009999968</v>
      </c>
      <c r="AP91" s="491">
        <f t="shared" si="19"/>
        <v>6685.3931999993511</v>
      </c>
      <c r="AQ91" s="491">
        <f t="shared" si="19"/>
        <v>30477.872099999804</v>
      </c>
      <c r="AR91" s="491">
        <f t="shared" si="19"/>
        <v>600108.30919999955</v>
      </c>
      <c r="AS91" s="491">
        <f t="shared" si="19"/>
        <v>0</v>
      </c>
      <c r="AT91" s="491">
        <f t="shared" si="19"/>
        <v>322107.30905227549</v>
      </c>
      <c r="AU91" s="491">
        <f t="shared" si="19"/>
        <v>72003.110000000102</v>
      </c>
      <c r="AV91" s="491">
        <f t="shared" si="19"/>
        <v>-19417.181685479358</v>
      </c>
      <c r="AW91" s="491">
        <f t="shared" si="19"/>
        <v>4.000000050291419E-2</v>
      </c>
      <c r="AX91" s="491">
        <f t="shared" si="19"/>
        <v>23404.430322621251</v>
      </c>
      <c r="AY91" s="491">
        <f t="shared" si="19"/>
        <v>57732.745308001526</v>
      </c>
      <c r="AZ91" s="491">
        <f t="shared" si="19"/>
        <v>-56427.279799999669</v>
      </c>
      <c r="BA91" s="491">
        <f t="shared" si="19"/>
        <v>25955.067600000184</v>
      </c>
      <c r="BB91" s="491">
        <f t="shared" si="19"/>
        <v>1.5409000003710389</v>
      </c>
      <c r="BC91" s="491">
        <f t="shared" si="19"/>
        <v>17782.208000000101</v>
      </c>
      <c r="BD91" s="491">
        <f t="shared" si="19"/>
        <v>-861728.18589999713</v>
      </c>
      <c r="BE91" s="491">
        <f t="shared" si="19"/>
        <v>265032.41709999973</v>
      </c>
      <c r="BF91" s="491">
        <f t="shared" si="19"/>
        <v>0</v>
      </c>
      <c r="BG91" s="491">
        <f t="shared" si="19"/>
        <v>100156.77320000017</v>
      </c>
      <c r="BH91" s="491">
        <f t="shared" si="19"/>
        <v>0</v>
      </c>
      <c r="BI91" s="491">
        <f t="shared" si="19"/>
        <v>170.86768253426999</v>
      </c>
      <c r="BJ91" s="491">
        <f t="shared" si="19"/>
        <v>-276444.94830000028</v>
      </c>
      <c r="BK91" s="491">
        <f t="shared" si="19"/>
        <v>107460.9561999999</v>
      </c>
      <c r="BL91" s="491">
        <f t="shared" si="19"/>
        <v>607760.69650000008</v>
      </c>
      <c r="BM91" s="491">
        <f t="shared" si="19"/>
        <v>63897.834600000177</v>
      </c>
      <c r="BN91" s="491">
        <f t="shared" si="19"/>
        <v>7972.5183000005782</v>
      </c>
      <c r="BO91" s="491">
        <f t="shared" si="19"/>
        <v>80500.096499999752</v>
      </c>
      <c r="BP91" s="491">
        <f t="shared" ref="BP91:CL91" si="20">BP72</f>
        <v>5286.9083461633418</v>
      </c>
      <c r="BQ91" s="491">
        <f t="shared" si="20"/>
        <v>20374.819099999499</v>
      </c>
      <c r="BR91" s="491">
        <f t="shared" si="20"/>
        <v>-62137.276499999687</v>
      </c>
      <c r="BS91" s="491">
        <f t="shared" si="20"/>
        <v>52770.539300000062</v>
      </c>
      <c r="BT91" s="491">
        <f t="shared" si="20"/>
        <v>52016.034958762815</v>
      </c>
      <c r="BU91" s="491">
        <f t="shared" si="20"/>
        <v>22874.210512331221</v>
      </c>
      <c r="BV91" s="491">
        <f t="shared" si="20"/>
        <v>0</v>
      </c>
      <c r="BW91" s="491">
        <f t="shared" si="20"/>
        <v>8.5615000000689179</v>
      </c>
      <c r="BX91" s="491">
        <f t="shared" si="20"/>
        <v>235800.73208560213</v>
      </c>
      <c r="BY91" s="491">
        <f t="shared" si="20"/>
        <v>-9939.6620551850647</v>
      </c>
      <c r="BZ91" s="491">
        <f t="shared" si="20"/>
        <v>0</v>
      </c>
      <c r="CA91" s="491">
        <f t="shared" si="20"/>
        <v>323327.93430215679</v>
      </c>
      <c r="CB91" s="491">
        <f t="shared" si="20"/>
        <v>105941.57960130041</v>
      </c>
      <c r="CC91" s="491">
        <f t="shared" si="20"/>
        <v>187188.89158678381</v>
      </c>
      <c r="CD91" s="491">
        <f t="shared" si="20"/>
        <v>-229247.09430000093</v>
      </c>
      <c r="CE91" s="491">
        <f t="shared" si="20"/>
        <v>6102.4995000001509</v>
      </c>
      <c r="CF91" s="491">
        <f t="shared" si="20"/>
        <v>0</v>
      </c>
      <c r="CG91" s="491">
        <f t="shared" si="20"/>
        <v>472405.86770000122</v>
      </c>
      <c r="CH91" s="491">
        <f t="shared" si="20"/>
        <v>1522</v>
      </c>
      <c r="CI91" s="491">
        <f t="shared" si="20"/>
        <v>1536.6894999984652</v>
      </c>
      <c r="CJ91" s="491">
        <f t="shared" si="20"/>
        <v>-334288.1696000006</v>
      </c>
      <c r="CK91" s="491">
        <f t="shared" si="20"/>
        <v>535734.04249999113</v>
      </c>
      <c r="CL91" s="491">
        <f t="shared" si="20"/>
        <v>-3.6500000394880772E-2</v>
      </c>
    </row>
  </sheetData>
  <conditionalFormatting sqref="C4:CL5">
    <cfRule type="duplicateValues" dxfId="29" priority="1"/>
  </conditionalFormatting>
  <conditionalFormatting sqref="C72:CL72">
    <cfRule type="cellIs" dxfId="28" priority="3" stopIfTrue="1" operator="lessThan">
      <formula>0</formula>
    </cfRule>
  </conditionalFormatting>
  <conditionalFormatting sqref="J3">
    <cfRule type="expression" dxfId="27" priority="4" stopIfTrue="1">
      <formula>#REF!&lt;1</formula>
    </cfRule>
  </conditionalFormatting>
  <conditionalFormatting sqref="CN72:CQ72">
    <cfRule type="cellIs" dxfId="26" priority="2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BAED5-CB7A-45C9-9991-CB3284AE6BA9}">
  <dimension ref="A1:CO94"/>
  <sheetViews>
    <sheetView zoomScale="80" zoomScaleNormal="80" workbookViewId="0">
      <selection activeCell="C67" sqref="C67"/>
    </sheetView>
  </sheetViews>
  <sheetFormatPr defaultRowHeight="14.4"/>
  <cols>
    <col min="1" max="1" width="38.33203125" bestFit="1" customWidth="1"/>
    <col min="2" max="2" width="10.5546875" bestFit="1" customWidth="1"/>
    <col min="3" max="3" width="7.5546875" bestFit="1" customWidth="1"/>
    <col min="4" max="4" width="16.44140625" bestFit="1" customWidth="1"/>
    <col min="5" max="5" width="5.44140625" bestFit="1" customWidth="1"/>
    <col min="6" max="6" width="7" bestFit="1" customWidth="1"/>
    <col min="7" max="7" width="9" bestFit="1" customWidth="1"/>
    <col min="8" max="8" width="8.33203125" bestFit="1" customWidth="1"/>
    <col min="9" max="10" width="11.5546875" customWidth="1"/>
    <col min="11" max="14" width="14.109375" bestFit="1" customWidth="1"/>
    <col min="15" max="15" width="5.44140625" bestFit="1" customWidth="1"/>
    <col min="16" max="21" width="12.33203125" bestFit="1" customWidth="1"/>
    <col min="22" max="23" width="11.33203125" bestFit="1" customWidth="1"/>
    <col min="24" max="25" width="14.109375" bestFit="1" customWidth="1"/>
    <col min="26" max="26" width="9.44140625" bestFit="1" customWidth="1"/>
    <col min="27" max="27" width="12.33203125" bestFit="1" customWidth="1"/>
    <col min="28" max="28" width="11.33203125" bestFit="1" customWidth="1"/>
    <col min="29" max="29" width="12.33203125" bestFit="1" customWidth="1"/>
    <col min="30" max="30" width="11.33203125" bestFit="1" customWidth="1"/>
    <col min="31" max="32" width="12.33203125" bestFit="1" customWidth="1"/>
    <col min="33" max="33" width="15.109375" style="17" bestFit="1" customWidth="1"/>
    <col min="34" max="34" width="14.109375" bestFit="1" customWidth="1"/>
    <col min="35" max="35" width="12.33203125" bestFit="1" customWidth="1"/>
    <col min="36" max="36" width="14.109375" bestFit="1" customWidth="1"/>
    <col min="37" max="41" width="12.33203125" bestFit="1" customWidth="1"/>
    <col min="42" max="43" width="11.33203125" bestFit="1" customWidth="1"/>
    <col min="44" max="44" width="10.109375" bestFit="1" customWidth="1"/>
    <col min="45" max="45" width="12.33203125" bestFit="1" customWidth="1"/>
    <col min="46" max="46" width="11.33203125" bestFit="1" customWidth="1"/>
    <col min="47" max="47" width="12.33203125" bestFit="1" customWidth="1"/>
    <col min="48" max="48" width="11.33203125" bestFit="1" customWidth="1"/>
    <col min="49" max="55" width="12.33203125" bestFit="1" customWidth="1"/>
    <col min="56" max="57" width="11.33203125" bestFit="1" customWidth="1"/>
    <col min="58" max="61" width="12.33203125" bestFit="1" customWidth="1"/>
    <col min="62" max="62" width="10.109375" bestFit="1" customWidth="1"/>
    <col min="63" max="63" width="5.44140625" bestFit="1" customWidth="1"/>
    <col min="64" max="65" width="12.33203125" bestFit="1" customWidth="1"/>
    <col min="66" max="66" width="11.33203125" bestFit="1" customWidth="1"/>
    <col min="67" max="67" width="15.109375" style="17" bestFit="1" customWidth="1"/>
    <col min="68" max="68" width="12.33203125" style="17" bestFit="1" customWidth="1"/>
    <col min="69" max="69" width="13.88671875" style="17" bestFit="1" customWidth="1"/>
    <col min="70" max="70" width="12.33203125" style="17" customWidth="1"/>
    <col min="71" max="71" width="15.5546875" style="17" bestFit="1" customWidth="1"/>
    <col min="72" max="72" width="12.33203125" bestFit="1" customWidth="1"/>
    <col min="73" max="75" width="11.33203125" bestFit="1" customWidth="1"/>
    <col min="76" max="76" width="12.33203125" style="17" bestFit="1" customWidth="1"/>
    <col min="77" max="77" width="11.33203125" bestFit="1" customWidth="1"/>
    <col min="78" max="78" width="12.33203125" bestFit="1" customWidth="1"/>
    <col min="79" max="80" width="11.33203125" bestFit="1" customWidth="1"/>
    <col min="81" max="81" width="12.33203125" style="17" bestFit="1" customWidth="1"/>
    <col min="82" max="83" width="11.33203125" bestFit="1" customWidth="1"/>
    <col min="84" max="84" width="14.109375" bestFit="1" customWidth="1"/>
    <col min="87" max="87" width="11.5546875" bestFit="1" customWidth="1"/>
    <col min="88" max="88" width="9.88671875" bestFit="1" customWidth="1"/>
    <col min="89" max="89" width="11.5546875" bestFit="1" customWidth="1"/>
    <col min="91" max="91" width="13.88671875" bestFit="1" customWidth="1"/>
    <col min="92" max="92" width="11.33203125" bestFit="1" customWidth="1"/>
    <col min="93" max="93" width="13.88671875" bestFit="1" customWidth="1"/>
  </cols>
  <sheetData>
    <row r="1" spans="1:93" ht="15" thickBot="1"/>
    <row r="2" spans="1:93" ht="72.599999999999994" thickBot="1">
      <c r="A2" s="492" t="s">
        <v>116</v>
      </c>
      <c r="B2" s="492" t="s">
        <v>123</v>
      </c>
      <c r="C2" s="492" t="s">
        <v>121</v>
      </c>
      <c r="D2" s="493" t="s">
        <v>122</v>
      </c>
      <c r="E2" s="494" t="s">
        <v>217</v>
      </c>
      <c r="F2" s="493" t="s">
        <v>254</v>
      </c>
      <c r="G2" s="493" t="s">
        <v>219</v>
      </c>
      <c r="H2" s="493" t="s">
        <v>694</v>
      </c>
      <c r="I2" s="493" t="s">
        <v>231</v>
      </c>
      <c r="J2" s="493" t="s">
        <v>233</v>
      </c>
      <c r="K2" s="495" t="s">
        <v>695</v>
      </c>
      <c r="L2" s="493" t="s">
        <v>224</v>
      </c>
      <c r="M2" s="493" t="s">
        <v>16</v>
      </c>
      <c r="N2" s="493" t="s">
        <v>225</v>
      </c>
      <c r="O2" s="493" t="s">
        <v>226</v>
      </c>
      <c r="P2" s="493" t="s">
        <v>227</v>
      </c>
      <c r="Q2" s="493" t="s">
        <v>17</v>
      </c>
      <c r="R2" s="493" t="s">
        <v>18</v>
      </c>
      <c r="S2" s="493" t="s">
        <v>259</v>
      </c>
      <c r="T2" s="493" t="s">
        <v>262</v>
      </c>
      <c r="U2" s="493" t="s">
        <v>19</v>
      </c>
      <c r="V2" s="493" t="s">
        <v>20</v>
      </c>
      <c r="W2" s="493" t="s">
        <v>21</v>
      </c>
      <c r="X2" s="493" t="s">
        <v>22</v>
      </c>
      <c r="Y2" s="493" t="s">
        <v>23</v>
      </c>
      <c r="Z2" s="493" t="s">
        <v>24</v>
      </c>
      <c r="AA2" s="493" t="s">
        <v>102</v>
      </c>
      <c r="AB2" s="493" t="s">
        <v>103</v>
      </c>
      <c r="AC2" s="493" t="s">
        <v>274</v>
      </c>
      <c r="AD2" s="493" t="s">
        <v>275</v>
      </c>
      <c r="AE2" s="493" t="s">
        <v>276</v>
      </c>
      <c r="AF2" s="493" t="s">
        <v>277</v>
      </c>
      <c r="AG2" s="493" t="s">
        <v>25</v>
      </c>
      <c r="AH2" s="493" t="s">
        <v>27</v>
      </c>
      <c r="AI2" s="493" t="s">
        <v>29</v>
      </c>
      <c r="AJ2" s="493" t="s">
        <v>31</v>
      </c>
      <c r="AK2" s="493" t="s">
        <v>33</v>
      </c>
      <c r="AL2" s="493" t="s">
        <v>35</v>
      </c>
      <c r="AM2" s="493" t="s">
        <v>37</v>
      </c>
      <c r="AN2" s="493" t="s">
        <v>39</v>
      </c>
      <c r="AO2" s="493" t="s">
        <v>41</v>
      </c>
      <c r="AP2" s="493" t="s">
        <v>43</v>
      </c>
      <c r="AQ2" s="493" t="s">
        <v>45</v>
      </c>
      <c r="AR2" s="493" t="s">
        <v>47</v>
      </c>
      <c r="AS2" s="493" t="s">
        <v>49</v>
      </c>
      <c r="AT2" s="493" t="s">
        <v>51</v>
      </c>
      <c r="AU2" s="493" t="s">
        <v>53</v>
      </c>
      <c r="AV2" s="493" t="s">
        <v>55</v>
      </c>
      <c r="AW2" s="493" t="s">
        <v>57</v>
      </c>
      <c r="AX2" s="493" t="s">
        <v>59</v>
      </c>
      <c r="AY2" s="493" t="s">
        <v>61</v>
      </c>
      <c r="AZ2" s="493" t="s">
        <v>63</v>
      </c>
      <c r="BA2" s="493" t="s">
        <v>64</v>
      </c>
      <c r="BB2" s="493" t="s">
        <v>66</v>
      </c>
      <c r="BC2" s="493" t="s">
        <v>68</v>
      </c>
      <c r="BD2" s="493" t="s">
        <v>70</v>
      </c>
      <c r="BE2" s="493" t="s">
        <v>72</v>
      </c>
      <c r="BF2" s="493" t="s">
        <v>74</v>
      </c>
      <c r="BG2" s="493" t="s">
        <v>76</v>
      </c>
      <c r="BH2" s="493" t="s">
        <v>78</v>
      </c>
      <c r="BI2" s="493" t="s">
        <v>229</v>
      </c>
      <c r="BJ2" s="493" t="s">
        <v>230</v>
      </c>
      <c r="BK2" s="493" t="s">
        <v>82</v>
      </c>
      <c r="BL2" s="493" t="s">
        <v>84</v>
      </c>
      <c r="BM2" s="493" t="s">
        <v>106</v>
      </c>
      <c r="BN2" s="493" t="s">
        <v>107</v>
      </c>
      <c r="BO2" s="493" t="s">
        <v>696</v>
      </c>
      <c r="BP2" s="493" t="s">
        <v>697</v>
      </c>
      <c r="BQ2" s="493" t="s">
        <v>280</v>
      </c>
      <c r="BR2" s="493" t="s">
        <v>270</v>
      </c>
      <c r="BS2" s="493" t="s">
        <v>698</v>
      </c>
      <c r="BT2" s="495" t="s">
        <v>232</v>
      </c>
      <c r="BU2" s="493" t="s">
        <v>89</v>
      </c>
      <c r="BV2" s="493" t="s">
        <v>90</v>
      </c>
      <c r="BW2" s="493" t="s">
        <v>91</v>
      </c>
      <c r="BX2" s="493" t="s">
        <v>699</v>
      </c>
      <c r="BY2" s="493" t="s">
        <v>96</v>
      </c>
      <c r="BZ2" s="493" t="s">
        <v>97</v>
      </c>
      <c r="CA2" s="493" t="s">
        <v>98</v>
      </c>
      <c r="CB2" s="493" t="s">
        <v>99</v>
      </c>
      <c r="CC2" s="493" t="s">
        <v>700</v>
      </c>
      <c r="CD2" s="493" t="s">
        <v>697</v>
      </c>
      <c r="CE2" s="493" t="s">
        <v>273</v>
      </c>
      <c r="CF2" s="493" t="s">
        <v>701</v>
      </c>
    </row>
    <row r="3" spans="1:93">
      <c r="A3" s="496" t="s">
        <v>702</v>
      </c>
      <c r="B3" s="496"/>
      <c r="C3" s="496"/>
      <c r="D3" s="497"/>
      <c r="E3" s="497"/>
      <c r="F3" s="497"/>
      <c r="G3" s="497"/>
      <c r="H3" s="497"/>
      <c r="I3" s="497"/>
      <c r="J3" s="497"/>
      <c r="K3" s="498" t="s">
        <v>537</v>
      </c>
      <c r="L3" s="497">
        <v>543970</v>
      </c>
      <c r="M3" s="497">
        <v>543971</v>
      </c>
      <c r="N3" s="497">
        <v>543972</v>
      </c>
      <c r="O3" s="499">
        <v>0</v>
      </c>
      <c r="P3" s="497">
        <v>543975</v>
      </c>
      <c r="Q3" s="497">
        <v>710020</v>
      </c>
      <c r="R3" s="497">
        <v>720000</v>
      </c>
      <c r="S3" s="497">
        <v>739001</v>
      </c>
      <c r="T3" s="497">
        <v>739002</v>
      </c>
      <c r="U3" s="497">
        <v>739010</v>
      </c>
      <c r="V3" s="497">
        <v>739020</v>
      </c>
      <c r="W3" s="497">
        <v>739030</v>
      </c>
      <c r="X3" s="497">
        <v>739040</v>
      </c>
      <c r="Y3" s="497">
        <v>739050</v>
      </c>
      <c r="Z3" s="497">
        <v>543952</v>
      </c>
      <c r="AA3" s="497">
        <v>543953</v>
      </c>
      <c r="AB3" s="497">
        <v>739080</v>
      </c>
      <c r="AC3" s="497">
        <v>739003</v>
      </c>
      <c r="AD3" s="497">
        <v>739004</v>
      </c>
      <c r="AE3" s="497">
        <v>739005</v>
      </c>
      <c r="AF3" s="497">
        <v>720010</v>
      </c>
      <c r="AG3" s="497"/>
      <c r="AH3" s="497">
        <v>111400</v>
      </c>
      <c r="AI3" s="497">
        <v>111500</v>
      </c>
      <c r="AJ3" s="497">
        <v>111600</v>
      </c>
      <c r="AK3" s="497">
        <v>111200</v>
      </c>
      <c r="AL3" s="497">
        <v>111100</v>
      </c>
      <c r="AM3" s="497">
        <v>111300</v>
      </c>
      <c r="AN3" s="497">
        <v>111700</v>
      </c>
      <c r="AO3" s="497">
        <v>138100</v>
      </c>
      <c r="AP3" s="497">
        <v>133100</v>
      </c>
      <c r="AQ3" s="497">
        <v>138110</v>
      </c>
      <c r="AR3" s="497">
        <v>138120</v>
      </c>
      <c r="AS3" s="497">
        <v>210000</v>
      </c>
      <c r="AT3" s="497">
        <v>220000</v>
      </c>
      <c r="AU3" s="497">
        <v>219010</v>
      </c>
      <c r="AV3" s="497">
        <v>216000</v>
      </c>
      <c r="AW3" s="497">
        <v>213020</v>
      </c>
      <c r="AX3" s="497">
        <v>215000</v>
      </c>
      <c r="AY3" s="497">
        <v>219030</v>
      </c>
      <c r="AZ3" s="497">
        <v>413050</v>
      </c>
      <c r="BA3" s="497">
        <v>422620</v>
      </c>
      <c r="BB3" s="497">
        <v>420050</v>
      </c>
      <c r="BC3" s="497">
        <v>413060</v>
      </c>
      <c r="BD3" s="497">
        <v>221000</v>
      </c>
      <c r="BE3" s="497">
        <v>413070</v>
      </c>
      <c r="BF3" s="497">
        <v>411020</v>
      </c>
      <c r="BG3" s="497">
        <v>420060</v>
      </c>
      <c r="BH3" s="497">
        <v>569010</v>
      </c>
      <c r="BI3" s="497">
        <v>569000</v>
      </c>
      <c r="BJ3" s="497">
        <v>569001</v>
      </c>
      <c r="BK3" s="497">
        <v>0</v>
      </c>
      <c r="BL3" s="497">
        <v>543955</v>
      </c>
      <c r="BM3" s="497">
        <v>111450</v>
      </c>
      <c r="BN3" s="497">
        <v>411025</v>
      </c>
      <c r="BO3" s="497"/>
      <c r="BP3" s="497"/>
      <c r="BQ3" s="497"/>
      <c r="BR3" s="497"/>
      <c r="BS3" s="497"/>
      <c r="BT3" s="497" t="s">
        <v>537</v>
      </c>
      <c r="BU3" s="497">
        <v>543980</v>
      </c>
      <c r="BV3" s="497">
        <v>739470</v>
      </c>
      <c r="BW3" s="497">
        <v>543995</v>
      </c>
      <c r="BX3" s="497"/>
      <c r="BY3" s="497"/>
      <c r="BZ3" s="497">
        <v>599010</v>
      </c>
      <c r="CA3" s="497">
        <v>599020</v>
      </c>
      <c r="CB3" s="497">
        <v>599030</v>
      </c>
      <c r="CC3" s="497"/>
    </row>
    <row r="4" spans="1:93">
      <c r="A4" t="s">
        <v>125</v>
      </c>
      <c r="B4" t="s">
        <v>126</v>
      </c>
      <c r="C4">
        <v>101251</v>
      </c>
      <c r="D4" s="3">
        <v>3021000</v>
      </c>
      <c r="E4" s="3">
        <v>1000</v>
      </c>
      <c r="F4">
        <v>10135</v>
      </c>
      <c r="G4">
        <v>90135</v>
      </c>
      <c r="H4">
        <v>938600</v>
      </c>
      <c r="I4">
        <v>-307438</v>
      </c>
      <c r="J4">
        <v>-35972.01</v>
      </c>
      <c r="K4">
        <v>-343410.01</v>
      </c>
      <c r="L4" s="500">
        <v>1906588.73</v>
      </c>
      <c r="M4" s="500">
        <v>0</v>
      </c>
      <c r="N4" s="500">
        <v>154604.78</v>
      </c>
      <c r="O4" s="500">
        <v>0</v>
      </c>
      <c r="P4" s="500">
        <v>0</v>
      </c>
      <c r="Q4" s="500">
        <v>0</v>
      </c>
      <c r="R4" s="500">
        <v>13560.89</v>
      </c>
      <c r="S4" s="500">
        <v>0</v>
      </c>
      <c r="T4" s="500">
        <v>26903.05</v>
      </c>
      <c r="U4" s="500">
        <v>0</v>
      </c>
      <c r="V4" s="500">
        <v>0</v>
      </c>
      <c r="W4" s="500">
        <v>0</v>
      </c>
      <c r="X4" s="500">
        <v>602709.4</v>
      </c>
      <c r="Y4" s="500">
        <v>3440.14</v>
      </c>
      <c r="Z4" s="500">
        <v>0</v>
      </c>
      <c r="AA4" s="500">
        <v>164223.41</v>
      </c>
      <c r="AB4" s="500">
        <v>21073.67</v>
      </c>
      <c r="AC4" s="500">
        <v>0</v>
      </c>
      <c r="AD4" s="500">
        <v>0</v>
      </c>
      <c r="AE4" s="500">
        <v>0</v>
      </c>
      <c r="AF4" s="500">
        <v>0</v>
      </c>
      <c r="AG4" s="501">
        <f>SUM(L4:AF4)</f>
        <v>2893104.07</v>
      </c>
      <c r="AH4" s="500">
        <v>440982.9</v>
      </c>
      <c r="AI4" s="500">
        <v>0</v>
      </c>
      <c r="AJ4" s="500">
        <v>1572158.85</v>
      </c>
      <c r="AK4" s="500">
        <v>65034.54</v>
      </c>
      <c r="AL4" s="500">
        <v>128440.3</v>
      </c>
      <c r="AM4" s="500">
        <v>0</v>
      </c>
      <c r="AN4" s="500">
        <v>76705.149999999994</v>
      </c>
      <c r="AO4" s="500">
        <v>12009.12</v>
      </c>
      <c r="AP4" s="500">
        <v>1696.79</v>
      </c>
      <c r="AQ4" s="500">
        <v>0</v>
      </c>
      <c r="AR4" s="500">
        <v>0</v>
      </c>
      <c r="AS4" s="500">
        <v>17508.95</v>
      </c>
      <c r="AT4" s="500">
        <v>5130</v>
      </c>
      <c r="AU4" s="500">
        <v>6771.51</v>
      </c>
      <c r="AV4" s="500">
        <v>5015.8999999999996</v>
      </c>
      <c r="AW4" s="500">
        <v>47138.85</v>
      </c>
      <c r="AX4" s="500">
        <v>98052.01</v>
      </c>
      <c r="AY4" s="500">
        <v>17539.2</v>
      </c>
      <c r="AZ4" s="500">
        <v>37270.120000000003</v>
      </c>
      <c r="BA4" s="500">
        <v>13083.93</v>
      </c>
      <c r="BB4" s="500">
        <v>0</v>
      </c>
      <c r="BC4" s="500">
        <v>35510.68</v>
      </c>
      <c r="BD4" s="500">
        <v>8993</v>
      </c>
      <c r="BE4" s="500">
        <v>0</v>
      </c>
      <c r="BF4" s="500">
        <v>6432.72</v>
      </c>
      <c r="BG4" s="500">
        <v>0</v>
      </c>
      <c r="BH4" s="500">
        <v>8241</v>
      </c>
      <c r="BI4" s="500">
        <v>49922.07</v>
      </c>
      <c r="BJ4" s="500">
        <v>0</v>
      </c>
      <c r="BK4" s="500">
        <v>0</v>
      </c>
      <c r="BL4" s="500">
        <v>0</v>
      </c>
      <c r="BM4" s="500">
        <v>146572.32999999999</v>
      </c>
      <c r="BN4" s="500">
        <v>25599.96</v>
      </c>
      <c r="BO4" s="501">
        <f>SUM(AH4:BN4)</f>
        <v>2825809.8800000004</v>
      </c>
      <c r="BP4" s="501">
        <f>AG4-BO4</f>
        <v>67294.189999999478</v>
      </c>
      <c r="BQ4" s="501">
        <f t="shared" ref="BQ4:BQ67" si="0">I4+AG4-AA4-AB4-BO4+BM4+BN4</f>
        <v>-253268.60000000065</v>
      </c>
      <c r="BR4" s="501">
        <f>J4+AA4+AB4-BM4-BN4</f>
        <v>-22847.219999999979</v>
      </c>
      <c r="BS4" s="501">
        <f t="shared" ref="BS4:BS67" si="1">K4+BP4</f>
        <v>-276115.82000000053</v>
      </c>
      <c r="BT4" s="500">
        <v>103003</v>
      </c>
      <c r="BU4" s="500">
        <v>14633.85</v>
      </c>
      <c r="BV4" s="500">
        <v>0</v>
      </c>
      <c r="BW4" s="500">
        <v>0</v>
      </c>
      <c r="BX4" s="501">
        <f>SUM(BU4:BW4)</f>
        <v>14633.85</v>
      </c>
      <c r="BY4" s="500">
        <v>0</v>
      </c>
      <c r="BZ4" s="500">
        <v>46940.34</v>
      </c>
      <c r="CA4" s="500">
        <v>0</v>
      </c>
      <c r="CB4" s="500">
        <v>9680</v>
      </c>
      <c r="CC4" s="501">
        <f>SUM(BY4:CB4)</f>
        <v>56620.34</v>
      </c>
      <c r="CD4" s="500">
        <f>BX4-CC4</f>
        <v>-41986.49</v>
      </c>
      <c r="CE4" s="224">
        <f>BT4+CD4</f>
        <v>61016.51</v>
      </c>
      <c r="CF4" s="224">
        <f t="shared" ref="CF4:CF67" si="2">BS4+CE4</f>
        <v>-215099.31000000052</v>
      </c>
      <c r="CI4" t="e">
        <f>_xlfn.XLOOKUP(D4,#REF!,#REF!)</f>
        <v>#REF!</v>
      </c>
      <c r="CJ4" t="e">
        <f>_xlfn.XLOOKUP(D4,#REF!,#REF!)</f>
        <v>#REF!</v>
      </c>
      <c r="CK4" t="e">
        <f>CI4+CJ4</f>
        <v>#REF!</v>
      </c>
      <c r="CM4" s="224" t="e">
        <f>CI4-BS4</f>
        <v>#REF!</v>
      </c>
      <c r="CN4" s="224" t="e">
        <f>CJ4-CE4</f>
        <v>#REF!</v>
      </c>
      <c r="CO4" s="224" t="e">
        <f>CK4-CF4</f>
        <v>#REF!</v>
      </c>
    </row>
    <row r="5" spans="1:93">
      <c r="A5" t="s">
        <v>127</v>
      </c>
      <c r="B5" t="s">
        <v>126</v>
      </c>
      <c r="C5">
        <v>101253</v>
      </c>
      <c r="D5" s="3">
        <v>3021002</v>
      </c>
      <c r="E5" s="3">
        <v>1002</v>
      </c>
      <c r="F5">
        <v>10132</v>
      </c>
      <c r="G5">
        <v>90132</v>
      </c>
      <c r="H5">
        <v>938602</v>
      </c>
      <c r="I5">
        <v>-196121</v>
      </c>
      <c r="J5">
        <v>0</v>
      </c>
      <c r="K5">
        <v>-196121</v>
      </c>
      <c r="L5" s="500">
        <v>573366</v>
      </c>
      <c r="M5" s="500">
        <v>0</v>
      </c>
      <c r="N5" s="500">
        <v>7363.01</v>
      </c>
      <c r="O5" s="500">
        <v>0</v>
      </c>
      <c r="P5" s="500">
        <v>0</v>
      </c>
      <c r="Q5" s="500">
        <v>0</v>
      </c>
      <c r="R5" s="500">
        <v>9662.99</v>
      </c>
      <c r="S5" s="500">
        <v>0</v>
      </c>
      <c r="T5" s="500">
        <v>122.11</v>
      </c>
      <c r="U5" s="500">
        <v>15908.14</v>
      </c>
      <c r="V5" s="500">
        <v>0</v>
      </c>
      <c r="W5" s="500">
        <v>0</v>
      </c>
      <c r="X5" s="500">
        <v>294131.05</v>
      </c>
      <c r="Y5" s="500">
        <v>5928.39</v>
      </c>
      <c r="Z5" s="500">
        <v>0</v>
      </c>
      <c r="AA5" s="500">
        <v>0</v>
      </c>
      <c r="AB5" s="500">
        <v>0</v>
      </c>
      <c r="AC5" s="500">
        <v>0</v>
      </c>
      <c r="AD5" s="500">
        <v>0</v>
      </c>
      <c r="AE5" s="500">
        <v>0</v>
      </c>
      <c r="AF5" s="500">
        <v>0</v>
      </c>
      <c r="AG5" s="501">
        <f t="shared" ref="AG5:AG68" si="3">SUM(L5:AF5)</f>
        <v>906481.69000000006</v>
      </c>
      <c r="AH5" s="500">
        <v>222128.15</v>
      </c>
      <c r="AI5" s="500">
        <v>0</v>
      </c>
      <c r="AJ5" s="500">
        <v>338099.47000000003</v>
      </c>
      <c r="AK5" s="500">
        <v>42146.61</v>
      </c>
      <c r="AL5" s="500">
        <v>76945.02</v>
      </c>
      <c r="AM5" s="500">
        <v>0</v>
      </c>
      <c r="AN5" s="500">
        <v>45154.81</v>
      </c>
      <c r="AO5" s="500">
        <v>7488.61</v>
      </c>
      <c r="AP5" s="500">
        <v>3100.58</v>
      </c>
      <c r="AQ5" s="500">
        <v>0</v>
      </c>
      <c r="AR5" s="500">
        <v>0</v>
      </c>
      <c r="AS5" s="500">
        <v>9263.02</v>
      </c>
      <c r="AT5" s="500">
        <v>1544.25</v>
      </c>
      <c r="AU5" s="500">
        <v>2178.85</v>
      </c>
      <c r="AV5" s="500">
        <v>813.54</v>
      </c>
      <c r="AW5" s="500">
        <v>18161.84</v>
      </c>
      <c r="AX5" s="500">
        <v>0</v>
      </c>
      <c r="AY5" s="500">
        <v>3639.78</v>
      </c>
      <c r="AZ5" s="500">
        <v>6753.72</v>
      </c>
      <c r="BA5" s="500">
        <v>7517.22</v>
      </c>
      <c r="BB5" s="500">
        <v>0</v>
      </c>
      <c r="BC5" s="500">
        <v>8867.68</v>
      </c>
      <c r="BD5" s="500">
        <v>2070</v>
      </c>
      <c r="BE5" s="500">
        <v>2061.87</v>
      </c>
      <c r="BF5" s="500">
        <v>15908.14</v>
      </c>
      <c r="BG5" s="500">
        <v>640</v>
      </c>
      <c r="BH5" s="500">
        <v>3786.63</v>
      </c>
      <c r="BI5" s="500">
        <v>14563.39</v>
      </c>
      <c r="BJ5" s="500">
        <v>0</v>
      </c>
      <c r="BK5" s="500">
        <v>0</v>
      </c>
      <c r="BL5" s="500">
        <v>0</v>
      </c>
      <c r="BM5" s="500">
        <v>0</v>
      </c>
      <c r="BN5" s="500">
        <v>0</v>
      </c>
      <c r="BO5" s="501">
        <f t="shared" ref="BO5:BO68" si="4">SUM(AH5:BN5)</f>
        <v>832833.18</v>
      </c>
      <c r="BP5" s="501">
        <f t="shared" ref="BP5:BP68" si="5">AG5-BO5</f>
        <v>73648.510000000009</v>
      </c>
      <c r="BQ5" s="501">
        <f t="shared" si="0"/>
        <v>-122472.48999999999</v>
      </c>
      <c r="BR5" s="501">
        <f t="shared" ref="BR5:BR67" si="6">J5+AA5+AB5-BM5-BN5</f>
        <v>0</v>
      </c>
      <c r="BS5" s="501">
        <f t="shared" si="1"/>
        <v>-122472.48999999999</v>
      </c>
      <c r="BT5" s="500">
        <v>27403</v>
      </c>
      <c r="BU5" s="500">
        <v>4850.5</v>
      </c>
      <c r="BV5" s="500">
        <v>0</v>
      </c>
      <c r="BW5" s="500">
        <v>0</v>
      </c>
      <c r="BX5" s="501">
        <f t="shared" ref="BX5:BX68" si="7">SUM(BU5:BW5)</f>
        <v>4850.5</v>
      </c>
      <c r="BY5" s="500">
        <v>0</v>
      </c>
      <c r="BZ5" s="500">
        <v>0</v>
      </c>
      <c r="CA5" s="500">
        <v>0</v>
      </c>
      <c r="CB5" s="500">
        <v>0</v>
      </c>
      <c r="CC5" s="501">
        <f t="shared" ref="CC5:CC68" si="8">SUM(BY5:CB5)</f>
        <v>0</v>
      </c>
      <c r="CD5" s="500">
        <f t="shared" ref="CD5:CD68" si="9">BX5-CC5</f>
        <v>4850.5</v>
      </c>
      <c r="CE5" s="224">
        <f t="shared" ref="CE5:CE68" si="10">BT5+CD5</f>
        <v>32253.5</v>
      </c>
      <c r="CF5" s="224">
        <f t="shared" si="2"/>
        <v>-90218.989999999991</v>
      </c>
      <c r="CI5" t="e">
        <f>_xlfn.XLOOKUP(D5,#REF!,#REF!)</f>
        <v>#REF!</v>
      </c>
      <c r="CJ5" t="e">
        <f>_xlfn.XLOOKUP(D5,#REF!,#REF!)</f>
        <v>#REF!</v>
      </c>
      <c r="CK5" t="e">
        <f t="shared" ref="CK5:CK68" si="11">CI5+CJ5</f>
        <v>#REF!</v>
      </c>
      <c r="CM5" s="224" t="e">
        <f t="shared" ref="CM5:CM68" si="12">CI5-BS5</f>
        <v>#REF!</v>
      </c>
      <c r="CN5" s="224" t="e">
        <f t="shared" ref="CN5:CO68" si="13">CJ5-CE5</f>
        <v>#REF!</v>
      </c>
      <c r="CO5" s="224" t="e">
        <f t="shared" si="13"/>
        <v>#REF!</v>
      </c>
    </row>
    <row r="6" spans="1:93">
      <c r="A6" t="s">
        <v>128</v>
      </c>
      <c r="B6" t="s">
        <v>129</v>
      </c>
      <c r="C6">
        <v>135086</v>
      </c>
      <c r="D6" s="3">
        <v>3023520</v>
      </c>
      <c r="E6" s="3">
        <v>3520</v>
      </c>
      <c r="F6">
        <v>11094</v>
      </c>
      <c r="G6">
        <v>91094</v>
      </c>
      <c r="H6">
        <v>938701</v>
      </c>
      <c r="I6">
        <v>160996</v>
      </c>
      <c r="J6">
        <v>0</v>
      </c>
      <c r="K6">
        <v>160996</v>
      </c>
      <c r="L6" s="500">
        <v>1947907.64</v>
      </c>
      <c r="M6" s="500">
        <v>0</v>
      </c>
      <c r="N6" s="500">
        <v>105978.51</v>
      </c>
      <c r="O6" s="500">
        <v>0</v>
      </c>
      <c r="P6" s="500">
        <v>4365.01</v>
      </c>
      <c r="Q6" s="500">
        <v>33460.54</v>
      </c>
      <c r="R6" s="500">
        <v>108162.67</v>
      </c>
      <c r="S6" s="500">
        <v>38358.639999999999</v>
      </c>
      <c r="T6" s="500">
        <v>15914.68</v>
      </c>
      <c r="U6" s="500">
        <v>55283.39</v>
      </c>
      <c r="V6" s="500">
        <v>0</v>
      </c>
      <c r="W6" s="500">
        <v>0</v>
      </c>
      <c r="X6" s="500">
        <v>55445.62</v>
      </c>
      <c r="Y6" s="500">
        <v>644041.84</v>
      </c>
      <c r="Z6" s="500">
        <v>0</v>
      </c>
      <c r="AA6" s="500">
        <v>0</v>
      </c>
      <c r="AB6" s="500">
        <v>0</v>
      </c>
      <c r="AC6" s="500">
        <v>0</v>
      </c>
      <c r="AD6" s="500">
        <v>0</v>
      </c>
      <c r="AE6" s="500">
        <v>2320.62</v>
      </c>
      <c r="AF6" s="500">
        <v>99219</v>
      </c>
      <c r="AG6" s="501">
        <f t="shared" si="3"/>
        <v>3110458.1600000006</v>
      </c>
      <c r="AH6" s="500">
        <v>1422295.99</v>
      </c>
      <c r="AI6" s="500">
        <v>3414.48</v>
      </c>
      <c r="AJ6" s="500">
        <v>584904.06000000006</v>
      </c>
      <c r="AK6" s="500">
        <v>41209.32</v>
      </c>
      <c r="AL6" s="500">
        <v>156538.16</v>
      </c>
      <c r="AM6" s="500">
        <v>0</v>
      </c>
      <c r="AN6" s="500">
        <v>28130.76</v>
      </c>
      <c r="AO6" s="500">
        <v>3639.06</v>
      </c>
      <c r="AP6" s="500">
        <v>4194.55</v>
      </c>
      <c r="AQ6" s="500">
        <v>698.86</v>
      </c>
      <c r="AR6" s="500">
        <v>0</v>
      </c>
      <c r="AS6" s="500">
        <v>45104.75</v>
      </c>
      <c r="AT6" s="500">
        <v>1260</v>
      </c>
      <c r="AU6" s="500">
        <v>47957.91</v>
      </c>
      <c r="AV6" s="500">
        <v>12726.75</v>
      </c>
      <c r="AW6" s="500">
        <v>26410.11</v>
      </c>
      <c r="AX6" s="500">
        <v>14601.6</v>
      </c>
      <c r="AY6" s="500">
        <v>119981.36</v>
      </c>
      <c r="AZ6" s="500">
        <v>155327.82</v>
      </c>
      <c r="BA6" s="500">
        <v>12828.59</v>
      </c>
      <c r="BB6" s="500">
        <v>0</v>
      </c>
      <c r="BC6" s="500">
        <v>11539.8</v>
      </c>
      <c r="BD6" s="500">
        <v>53822.98</v>
      </c>
      <c r="BE6" s="500">
        <v>6704</v>
      </c>
      <c r="BF6" s="500">
        <v>186646.59999999998</v>
      </c>
      <c r="BG6" s="500">
        <v>29248.55</v>
      </c>
      <c r="BH6" s="500">
        <v>168409.47</v>
      </c>
      <c r="BI6" s="500">
        <v>53054</v>
      </c>
      <c r="BJ6" s="500">
        <v>0</v>
      </c>
      <c r="BK6" s="500">
        <v>0</v>
      </c>
      <c r="BL6" s="500">
        <v>0</v>
      </c>
      <c r="BM6" s="500">
        <v>0</v>
      </c>
      <c r="BN6" s="500">
        <v>0</v>
      </c>
      <c r="BO6" s="501">
        <f t="shared" si="4"/>
        <v>3190649.5299999993</v>
      </c>
      <c r="BP6" s="501">
        <f t="shared" si="5"/>
        <v>-80191.369999998715</v>
      </c>
      <c r="BQ6" s="501">
        <f t="shared" si="0"/>
        <v>80804.630000001285</v>
      </c>
      <c r="BR6" s="501">
        <f t="shared" si="6"/>
        <v>0</v>
      </c>
      <c r="BS6" s="501">
        <f t="shared" si="1"/>
        <v>80804.630000001285</v>
      </c>
      <c r="BT6" s="500">
        <v>0</v>
      </c>
      <c r="BU6" s="500">
        <v>0</v>
      </c>
      <c r="BV6" s="500">
        <v>0</v>
      </c>
      <c r="BW6" s="500">
        <v>0</v>
      </c>
      <c r="BX6" s="501">
        <f t="shared" si="7"/>
        <v>0</v>
      </c>
      <c r="BY6" s="500">
        <v>0</v>
      </c>
      <c r="BZ6" s="500">
        <v>0</v>
      </c>
      <c r="CA6" s="500">
        <v>0</v>
      </c>
      <c r="CB6" s="500">
        <v>0</v>
      </c>
      <c r="CC6" s="501">
        <f t="shared" si="8"/>
        <v>0</v>
      </c>
      <c r="CD6" s="500">
        <f t="shared" si="9"/>
        <v>0</v>
      </c>
      <c r="CE6" s="224">
        <f t="shared" si="10"/>
        <v>0</v>
      </c>
      <c r="CF6" s="224">
        <f t="shared" si="2"/>
        <v>80804.630000001285</v>
      </c>
      <c r="CI6" t="e">
        <f>_xlfn.XLOOKUP(D6,#REF!,#REF!)</f>
        <v>#REF!</v>
      </c>
      <c r="CJ6" t="e">
        <f>_xlfn.XLOOKUP(D6,#REF!,#REF!)</f>
        <v>#REF!</v>
      </c>
      <c r="CK6" t="e">
        <f t="shared" si="11"/>
        <v>#REF!</v>
      </c>
      <c r="CM6" s="224" t="e">
        <f t="shared" si="12"/>
        <v>#REF!</v>
      </c>
      <c r="CN6" s="224" t="e">
        <f t="shared" si="13"/>
        <v>#REF!</v>
      </c>
      <c r="CO6" s="224" t="e">
        <f t="shared" si="13"/>
        <v>#REF!</v>
      </c>
    </row>
    <row r="7" spans="1:93">
      <c r="A7" t="s">
        <v>130</v>
      </c>
      <c r="B7" t="s">
        <v>129</v>
      </c>
      <c r="C7">
        <v>101315</v>
      </c>
      <c r="D7" s="3">
        <v>3023300</v>
      </c>
      <c r="E7" s="3">
        <v>3300</v>
      </c>
      <c r="F7">
        <v>10040</v>
      </c>
      <c r="G7">
        <v>90040</v>
      </c>
      <c r="H7">
        <v>938652</v>
      </c>
      <c r="I7">
        <v>94219</v>
      </c>
      <c r="J7">
        <v>0</v>
      </c>
      <c r="K7">
        <v>94219</v>
      </c>
      <c r="L7" s="500">
        <v>1084094.58</v>
      </c>
      <c r="M7" s="500">
        <v>0</v>
      </c>
      <c r="N7" s="500">
        <v>76068.61</v>
      </c>
      <c r="O7" s="500">
        <v>0</v>
      </c>
      <c r="P7" s="500">
        <v>133860.04</v>
      </c>
      <c r="Q7" s="500">
        <v>400</v>
      </c>
      <c r="R7" s="500">
        <v>18960.22</v>
      </c>
      <c r="S7" s="500">
        <v>0</v>
      </c>
      <c r="T7" s="500">
        <v>17490.57</v>
      </c>
      <c r="U7" s="500">
        <v>3049.45</v>
      </c>
      <c r="V7" s="500">
        <v>0</v>
      </c>
      <c r="W7" s="500">
        <v>0</v>
      </c>
      <c r="X7" s="500">
        <v>8501.5</v>
      </c>
      <c r="Y7" s="500">
        <v>5747.92</v>
      </c>
      <c r="Z7" s="500">
        <v>0</v>
      </c>
      <c r="AA7" s="500">
        <v>0</v>
      </c>
      <c r="AB7" s="500">
        <v>0</v>
      </c>
      <c r="AC7" s="500">
        <v>0</v>
      </c>
      <c r="AD7" s="500">
        <v>0</v>
      </c>
      <c r="AE7" s="500">
        <v>13195</v>
      </c>
      <c r="AF7" s="500">
        <v>30051</v>
      </c>
      <c r="AG7" s="501">
        <f t="shared" si="3"/>
        <v>1391418.8900000001</v>
      </c>
      <c r="AH7" s="500">
        <v>565161.04</v>
      </c>
      <c r="AI7" s="500">
        <v>0</v>
      </c>
      <c r="AJ7" s="500">
        <v>150424.54999999999</v>
      </c>
      <c r="AK7" s="500">
        <v>42614.59</v>
      </c>
      <c r="AL7" s="500">
        <v>28069.94</v>
      </c>
      <c r="AM7" s="500">
        <v>0</v>
      </c>
      <c r="AN7" s="500">
        <v>17284.060000000001</v>
      </c>
      <c r="AO7" s="500">
        <v>627</v>
      </c>
      <c r="AP7" s="500">
        <v>1805.89</v>
      </c>
      <c r="AQ7" s="500">
        <v>268.92</v>
      </c>
      <c r="AR7" s="500">
        <v>0</v>
      </c>
      <c r="AS7" s="500">
        <v>11365.95</v>
      </c>
      <c r="AT7" s="500">
        <v>1994.28</v>
      </c>
      <c r="AU7" s="500">
        <v>24888.25</v>
      </c>
      <c r="AV7" s="500">
        <v>5101.6499999999996</v>
      </c>
      <c r="AW7" s="500">
        <v>29133.69</v>
      </c>
      <c r="AX7" s="500">
        <v>3068</v>
      </c>
      <c r="AY7" s="500">
        <v>6097.94</v>
      </c>
      <c r="AZ7" s="500">
        <v>62150.66</v>
      </c>
      <c r="BA7" s="500">
        <v>15343.99</v>
      </c>
      <c r="BB7" s="500">
        <v>0</v>
      </c>
      <c r="BC7" s="500">
        <v>10354.57</v>
      </c>
      <c r="BD7" s="500">
        <v>6300.18</v>
      </c>
      <c r="BE7" s="500">
        <v>1561.95</v>
      </c>
      <c r="BF7" s="500">
        <v>56186.37</v>
      </c>
      <c r="BG7" s="500">
        <v>64451.07</v>
      </c>
      <c r="BH7" s="500">
        <v>223355.8</v>
      </c>
      <c r="BI7" s="500">
        <v>37119.68</v>
      </c>
      <c r="BJ7" s="500">
        <v>0</v>
      </c>
      <c r="BK7" s="500">
        <v>0</v>
      </c>
      <c r="BL7" s="500">
        <v>0</v>
      </c>
      <c r="BM7" s="500">
        <v>0</v>
      </c>
      <c r="BN7" s="500">
        <v>0</v>
      </c>
      <c r="BO7" s="501">
        <f t="shared" si="4"/>
        <v>1364730.02</v>
      </c>
      <c r="BP7" s="501">
        <f t="shared" si="5"/>
        <v>26688.870000000112</v>
      </c>
      <c r="BQ7" s="501">
        <f t="shared" si="0"/>
        <v>120907.87000000011</v>
      </c>
      <c r="BR7" s="501">
        <f t="shared" si="6"/>
        <v>0</v>
      </c>
      <c r="BS7" s="501">
        <f t="shared" si="1"/>
        <v>120907.87000000011</v>
      </c>
      <c r="BT7" s="500">
        <v>0</v>
      </c>
      <c r="BU7" s="500"/>
      <c r="BV7" s="500"/>
      <c r="BW7" s="500"/>
      <c r="BX7" s="501">
        <f t="shared" si="7"/>
        <v>0</v>
      </c>
      <c r="BY7" s="500"/>
      <c r="BZ7" s="500"/>
      <c r="CA7" s="500"/>
      <c r="CB7" s="500"/>
      <c r="CC7" s="501">
        <f t="shared" si="8"/>
        <v>0</v>
      </c>
      <c r="CD7" s="500">
        <f t="shared" si="9"/>
        <v>0</v>
      </c>
      <c r="CE7" s="224">
        <f t="shared" si="10"/>
        <v>0</v>
      </c>
      <c r="CF7" s="224">
        <f t="shared" si="2"/>
        <v>120907.87000000011</v>
      </c>
      <c r="CI7" t="e">
        <f>_xlfn.XLOOKUP(D7,#REF!,#REF!)</f>
        <v>#REF!</v>
      </c>
      <c r="CJ7" t="e">
        <f>_xlfn.XLOOKUP(D7,#REF!,#REF!)</f>
        <v>#REF!</v>
      </c>
      <c r="CK7" t="e">
        <f t="shared" si="11"/>
        <v>#REF!</v>
      </c>
      <c r="CM7" s="224" t="e">
        <f t="shared" si="12"/>
        <v>#REF!</v>
      </c>
      <c r="CN7" s="224" t="e">
        <f t="shared" si="13"/>
        <v>#REF!</v>
      </c>
      <c r="CO7" s="224" t="e">
        <f t="shared" si="13"/>
        <v>#REF!</v>
      </c>
    </row>
    <row r="8" spans="1:93" s="502" customFormat="1">
      <c r="A8" s="502" t="s">
        <v>131</v>
      </c>
      <c r="B8" s="502" t="s">
        <v>129</v>
      </c>
      <c r="C8" s="502">
        <v>101329</v>
      </c>
      <c r="D8" s="503">
        <v>3023317</v>
      </c>
      <c r="E8" s="503">
        <v>3317</v>
      </c>
      <c r="F8" s="502">
        <v>10042</v>
      </c>
      <c r="G8" s="502">
        <v>90042</v>
      </c>
      <c r="H8" s="502">
        <v>938664</v>
      </c>
      <c r="I8" s="502">
        <v>35945</v>
      </c>
      <c r="J8" s="502">
        <v>-2791</v>
      </c>
      <c r="K8" s="502">
        <v>33154</v>
      </c>
      <c r="L8" s="504">
        <v>1269589.1200000001</v>
      </c>
      <c r="M8" s="504">
        <v>0</v>
      </c>
      <c r="N8" s="504">
        <v>113460.28</v>
      </c>
      <c r="O8" s="504">
        <v>0</v>
      </c>
      <c r="P8" s="504">
        <v>76124.97</v>
      </c>
      <c r="Q8" s="504">
        <v>27614.41</v>
      </c>
      <c r="R8" s="504">
        <v>35175.51</v>
      </c>
      <c r="S8" s="504">
        <v>40735.800000000003</v>
      </c>
      <c r="T8" s="504">
        <v>20172.240000000002</v>
      </c>
      <c r="U8" s="504">
        <v>13035.55</v>
      </c>
      <c r="V8" s="504">
        <v>13140</v>
      </c>
      <c r="W8" s="504">
        <v>0</v>
      </c>
      <c r="X8" s="504">
        <v>38913.46</v>
      </c>
      <c r="Y8" s="504">
        <v>30395.8</v>
      </c>
      <c r="Z8" s="504">
        <v>0</v>
      </c>
      <c r="AA8" s="504">
        <v>0</v>
      </c>
      <c r="AB8" s="504">
        <v>0</v>
      </c>
      <c r="AC8" s="504">
        <v>0</v>
      </c>
      <c r="AD8" s="504">
        <v>0</v>
      </c>
      <c r="AE8" s="504">
        <v>0</v>
      </c>
      <c r="AF8" s="504">
        <v>58030.01</v>
      </c>
      <c r="AG8" s="505">
        <f t="shared" si="3"/>
        <v>1736387.1500000001</v>
      </c>
      <c r="AH8" s="504">
        <v>691634.45</v>
      </c>
      <c r="AI8" s="504">
        <v>28258.45</v>
      </c>
      <c r="AJ8" s="504">
        <v>394568.25</v>
      </c>
      <c r="AK8" s="504">
        <v>42904.55</v>
      </c>
      <c r="AL8" s="504">
        <v>66235.53</v>
      </c>
      <c r="AM8" s="504">
        <v>0</v>
      </c>
      <c r="AN8" s="504">
        <v>40616.6</v>
      </c>
      <c r="AO8" s="504">
        <v>1563.24</v>
      </c>
      <c r="AP8" s="504">
        <v>601.45000000000005</v>
      </c>
      <c r="AQ8" s="504">
        <v>7429.89</v>
      </c>
      <c r="AR8" s="504">
        <v>0</v>
      </c>
      <c r="AS8" s="504">
        <v>17995.16</v>
      </c>
      <c r="AT8" s="504">
        <v>2145.0300000000002</v>
      </c>
      <c r="AU8" s="504">
        <v>34242.65</v>
      </c>
      <c r="AV8" s="504">
        <v>3699.39</v>
      </c>
      <c r="AW8" s="504">
        <v>51904.25</v>
      </c>
      <c r="AX8" s="504">
        <v>4680</v>
      </c>
      <c r="AY8" s="504">
        <v>9647.24</v>
      </c>
      <c r="AZ8" s="504">
        <v>44466.99</v>
      </c>
      <c r="BA8" s="504">
        <v>16748.939999999999</v>
      </c>
      <c r="BB8" s="504">
        <v>0</v>
      </c>
      <c r="BC8" s="504">
        <v>10231.26</v>
      </c>
      <c r="BD8" s="504">
        <v>9988.7900000000009</v>
      </c>
      <c r="BE8" s="504">
        <v>10552.46</v>
      </c>
      <c r="BF8" s="504">
        <v>90587.09</v>
      </c>
      <c r="BG8" s="504">
        <v>35144.660000000003</v>
      </c>
      <c r="BH8" s="504">
        <v>46478.99</v>
      </c>
      <c r="BI8" s="504">
        <v>25878.62</v>
      </c>
      <c r="BJ8" s="504">
        <v>0</v>
      </c>
      <c r="BK8" s="504">
        <v>0</v>
      </c>
      <c r="BL8" s="504">
        <v>0</v>
      </c>
      <c r="BM8" s="504">
        <v>0</v>
      </c>
      <c r="BN8" s="504">
        <v>0</v>
      </c>
      <c r="BO8" s="505">
        <f t="shared" si="4"/>
        <v>1688203.9299999997</v>
      </c>
      <c r="BP8" s="505">
        <f t="shared" si="5"/>
        <v>48183.220000000438</v>
      </c>
      <c r="BQ8" s="505">
        <f t="shared" si="0"/>
        <v>84128.220000000438</v>
      </c>
      <c r="BR8" s="505">
        <f t="shared" si="6"/>
        <v>-2791</v>
      </c>
      <c r="BS8" s="505">
        <f t="shared" si="1"/>
        <v>81337.220000000438</v>
      </c>
      <c r="BT8" s="504">
        <v>0</v>
      </c>
      <c r="BU8" s="504">
        <v>0</v>
      </c>
      <c r="BV8" s="504">
        <v>0</v>
      </c>
      <c r="BW8" s="504">
        <v>0</v>
      </c>
      <c r="BX8" s="505">
        <f t="shared" si="7"/>
        <v>0</v>
      </c>
      <c r="BY8" s="504">
        <v>0</v>
      </c>
      <c r="BZ8" s="504">
        <v>0</v>
      </c>
      <c r="CA8" s="504">
        <v>0</v>
      </c>
      <c r="CB8" s="504">
        <v>0</v>
      </c>
      <c r="CC8" s="505">
        <f t="shared" si="8"/>
        <v>0</v>
      </c>
      <c r="CD8" s="504">
        <f t="shared" si="9"/>
        <v>0</v>
      </c>
      <c r="CE8" s="506">
        <f t="shared" si="10"/>
        <v>0</v>
      </c>
      <c r="CF8" s="506">
        <f t="shared" si="2"/>
        <v>81337.220000000438</v>
      </c>
      <c r="CI8" s="502" t="e">
        <f>_xlfn.XLOOKUP(D8,#REF!,#REF!)</f>
        <v>#REF!</v>
      </c>
      <c r="CJ8" s="502" t="e">
        <f>_xlfn.XLOOKUP(D8,#REF!,#REF!)</f>
        <v>#REF!</v>
      </c>
      <c r="CK8" s="502" t="e">
        <f t="shared" si="11"/>
        <v>#REF!</v>
      </c>
      <c r="CM8" s="506" t="e">
        <f t="shared" si="12"/>
        <v>#REF!</v>
      </c>
      <c r="CN8" s="506" t="e">
        <f t="shared" si="13"/>
        <v>#REF!</v>
      </c>
      <c r="CO8" s="506" t="e">
        <f t="shared" si="13"/>
        <v>#REF!</v>
      </c>
    </row>
    <row r="9" spans="1:93">
      <c r="A9" t="s">
        <v>132</v>
      </c>
      <c r="B9" t="s">
        <v>129</v>
      </c>
      <c r="C9">
        <v>101330</v>
      </c>
      <c r="D9" s="3">
        <v>3023500</v>
      </c>
      <c r="E9" s="3">
        <v>3500</v>
      </c>
      <c r="F9">
        <v>10043</v>
      </c>
      <c r="G9">
        <v>90043</v>
      </c>
      <c r="H9">
        <v>938665</v>
      </c>
      <c r="I9">
        <v>-108295</v>
      </c>
      <c r="J9">
        <v>0</v>
      </c>
      <c r="K9">
        <v>-108295</v>
      </c>
      <c r="L9" s="500">
        <v>1045665.94</v>
      </c>
      <c r="M9" s="500">
        <v>0</v>
      </c>
      <c r="N9" s="500">
        <v>55625.53</v>
      </c>
      <c r="O9" s="500">
        <v>0</v>
      </c>
      <c r="P9" s="500">
        <v>38164.99</v>
      </c>
      <c r="Q9" s="500">
        <v>14567.89</v>
      </c>
      <c r="R9" s="500">
        <v>0</v>
      </c>
      <c r="S9" s="500">
        <v>0</v>
      </c>
      <c r="T9" s="500">
        <v>10165.15</v>
      </c>
      <c r="U9" s="500">
        <v>0</v>
      </c>
      <c r="V9" s="500">
        <v>0</v>
      </c>
      <c r="W9" s="500">
        <v>0</v>
      </c>
      <c r="X9" s="500">
        <v>10933</v>
      </c>
      <c r="Y9" s="500">
        <v>2169.16</v>
      </c>
      <c r="Z9" s="500">
        <v>0</v>
      </c>
      <c r="AA9" s="500">
        <v>0</v>
      </c>
      <c r="AB9" s="500">
        <v>0</v>
      </c>
      <c r="AC9" s="500">
        <v>0</v>
      </c>
      <c r="AD9" s="500">
        <v>0</v>
      </c>
      <c r="AE9" s="500">
        <v>5308.12</v>
      </c>
      <c r="AF9" s="500">
        <v>70047</v>
      </c>
      <c r="AG9" s="501">
        <f t="shared" si="3"/>
        <v>1252646.7799999998</v>
      </c>
      <c r="AH9" s="500">
        <v>428968.11</v>
      </c>
      <c r="AI9" s="500">
        <v>8875.24</v>
      </c>
      <c r="AJ9" s="500">
        <v>175602.29</v>
      </c>
      <c r="AK9" s="500">
        <v>43106.69</v>
      </c>
      <c r="AL9" s="500">
        <v>45576.74</v>
      </c>
      <c r="AM9" s="500">
        <v>0</v>
      </c>
      <c r="AN9" s="500">
        <v>14004.06</v>
      </c>
      <c r="AO9" s="500">
        <v>289</v>
      </c>
      <c r="AP9" s="500">
        <v>2866.15</v>
      </c>
      <c r="AQ9" s="500">
        <v>239.04</v>
      </c>
      <c r="AR9" s="500">
        <v>0</v>
      </c>
      <c r="AS9" s="500">
        <v>8895.2099999999991</v>
      </c>
      <c r="AT9" s="500">
        <v>90</v>
      </c>
      <c r="AU9" s="500">
        <v>10737.15</v>
      </c>
      <c r="AV9" s="500">
        <v>1485.45</v>
      </c>
      <c r="AW9" s="500">
        <v>20871.04</v>
      </c>
      <c r="AX9" s="500">
        <v>2501.1799999999998</v>
      </c>
      <c r="AY9" s="500">
        <v>3316.85</v>
      </c>
      <c r="AZ9" s="500">
        <v>15085.35</v>
      </c>
      <c r="BA9" s="500">
        <v>5877.02</v>
      </c>
      <c r="BB9" s="500">
        <v>0</v>
      </c>
      <c r="BC9" s="500">
        <v>8272.57</v>
      </c>
      <c r="BD9" s="500">
        <v>9309.43</v>
      </c>
      <c r="BE9" s="500">
        <v>5676.3</v>
      </c>
      <c r="BF9" s="500">
        <v>54177.55</v>
      </c>
      <c r="BG9" s="500">
        <v>131994</v>
      </c>
      <c r="BH9" s="500">
        <v>126940.73</v>
      </c>
      <c r="BI9" s="500">
        <v>16308.31</v>
      </c>
      <c r="BJ9" s="500">
        <v>0</v>
      </c>
      <c r="BK9" s="500">
        <v>0</v>
      </c>
      <c r="BL9" s="500">
        <v>0</v>
      </c>
      <c r="BM9" s="500">
        <v>0</v>
      </c>
      <c r="BN9" s="500">
        <v>0</v>
      </c>
      <c r="BO9" s="501">
        <f t="shared" si="4"/>
        <v>1141065.4600000004</v>
      </c>
      <c r="BP9" s="501">
        <f t="shared" si="5"/>
        <v>111581.31999999937</v>
      </c>
      <c r="BQ9" s="501">
        <f t="shared" si="0"/>
        <v>3286.3199999993667</v>
      </c>
      <c r="BR9" s="501">
        <f t="shared" si="6"/>
        <v>0</v>
      </c>
      <c r="BS9" s="501">
        <f t="shared" si="1"/>
        <v>3286.3199999993667</v>
      </c>
      <c r="BT9" s="500">
        <v>0</v>
      </c>
      <c r="BU9" s="500">
        <v>0</v>
      </c>
      <c r="BV9" s="500">
        <v>29610.71</v>
      </c>
      <c r="BW9" s="500">
        <v>0</v>
      </c>
      <c r="BX9" s="501">
        <f t="shared" si="7"/>
        <v>29610.71</v>
      </c>
      <c r="BY9" s="500">
        <v>0</v>
      </c>
      <c r="BZ9" s="500">
        <v>0</v>
      </c>
      <c r="CA9" s="500">
        <v>0</v>
      </c>
      <c r="CB9" s="500">
        <v>29610.71</v>
      </c>
      <c r="CC9" s="501">
        <f t="shared" si="8"/>
        <v>29610.71</v>
      </c>
      <c r="CD9" s="500">
        <f t="shared" si="9"/>
        <v>0</v>
      </c>
      <c r="CE9" s="224">
        <f t="shared" si="10"/>
        <v>0</v>
      </c>
      <c r="CF9" s="224">
        <f t="shared" si="2"/>
        <v>3286.3199999993667</v>
      </c>
      <c r="CI9" t="e">
        <f>_xlfn.XLOOKUP(D9,#REF!,#REF!)</f>
        <v>#REF!</v>
      </c>
      <c r="CJ9" t="e">
        <f>_xlfn.XLOOKUP(D9,#REF!,#REF!)</f>
        <v>#REF!</v>
      </c>
      <c r="CK9" t="e">
        <f t="shared" si="11"/>
        <v>#REF!</v>
      </c>
      <c r="CM9" s="224" t="e">
        <f t="shared" si="12"/>
        <v>#REF!</v>
      </c>
      <c r="CN9" s="224" t="e">
        <f t="shared" si="13"/>
        <v>#REF!</v>
      </c>
      <c r="CO9" s="224" t="e">
        <f t="shared" si="13"/>
        <v>#REF!</v>
      </c>
    </row>
    <row r="10" spans="1:93">
      <c r="A10" t="s">
        <v>133</v>
      </c>
      <c r="B10" t="s">
        <v>129</v>
      </c>
      <c r="C10">
        <v>101342</v>
      </c>
      <c r="D10" s="3">
        <v>3023514</v>
      </c>
      <c r="E10" s="3">
        <v>3514</v>
      </c>
      <c r="F10">
        <v>10117</v>
      </c>
      <c r="G10">
        <v>90117</v>
      </c>
      <c r="H10">
        <v>938677</v>
      </c>
      <c r="I10">
        <v>35983</v>
      </c>
      <c r="J10">
        <v>0</v>
      </c>
      <c r="K10">
        <v>35983</v>
      </c>
      <c r="L10" s="500">
        <v>1049866.08</v>
      </c>
      <c r="M10" s="500">
        <v>0</v>
      </c>
      <c r="N10" s="500">
        <v>20455.560000000001</v>
      </c>
      <c r="O10" s="500">
        <v>0</v>
      </c>
      <c r="P10" s="500">
        <v>99039.67</v>
      </c>
      <c r="Q10" s="500">
        <v>5412.99</v>
      </c>
      <c r="R10" s="500">
        <v>24250.37</v>
      </c>
      <c r="S10" s="500">
        <v>8198.9699999999993</v>
      </c>
      <c r="T10" s="500">
        <v>39.5</v>
      </c>
      <c r="U10" s="500">
        <v>12150.09</v>
      </c>
      <c r="V10" s="500">
        <v>0</v>
      </c>
      <c r="W10" s="500">
        <v>0</v>
      </c>
      <c r="X10" s="500">
        <v>16931.84</v>
      </c>
      <c r="Y10" s="500">
        <v>1640.23</v>
      </c>
      <c r="Z10" s="500">
        <v>0</v>
      </c>
      <c r="AA10" s="500">
        <v>0</v>
      </c>
      <c r="AB10" s="500">
        <v>0</v>
      </c>
      <c r="AC10" s="500">
        <v>29026.87</v>
      </c>
      <c r="AD10" s="500">
        <v>0</v>
      </c>
      <c r="AE10" s="500">
        <v>0</v>
      </c>
      <c r="AF10" s="500">
        <v>0</v>
      </c>
      <c r="AG10" s="501">
        <f t="shared" si="3"/>
        <v>1267012.1700000004</v>
      </c>
      <c r="AH10" s="500">
        <v>627145.63</v>
      </c>
      <c r="AI10" s="500">
        <v>0</v>
      </c>
      <c r="AJ10" s="500">
        <v>107808.92</v>
      </c>
      <c r="AK10" s="500">
        <v>44286.55</v>
      </c>
      <c r="AL10" s="500">
        <v>47915.35</v>
      </c>
      <c r="AM10" s="500">
        <v>0</v>
      </c>
      <c r="AN10" s="500">
        <v>4178.46</v>
      </c>
      <c r="AO10" s="500">
        <v>2113.83</v>
      </c>
      <c r="AP10" s="500">
        <v>1614.71</v>
      </c>
      <c r="AQ10" s="500">
        <v>300.45999999999998</v>
      </c>
      <c r="AR10" s="500">
        <v>0</v>
      </c>
      <c r="AS10" s="500">
        <v>6556.05</v>
      </c>
      <c r="AT10" s="500">
        <v>3168</v>
      </c>
      <c r="AU10" s="500">
        <v>12295.53</v>
      </c>
      <c r="AV10" s="500">
        <v>4417.07</v>
      </c>
      <c r="AW10" s="500">
        <v>30927.13</v>
      </c>
      <c r="AX10" s="500">
        <v>3478.56</v>
      </c>
      <c r="AY10" s="500">
        <v>7561.6</v>
      </c>
      <c r="AZ10" s="500">
        <v>75886</v>
      </c>
      <c r="BA10" s="500">
        <v>11203.59</v>
      </c>
      <c r="BB10" s="500">
        <v>0</v>
      </c>
      <c r="BC10" s="500">
        <v>14604.11</v>
      </c>
      <c r="BD10" s="500">
        <v>3224.09</v>
      </c>
      <c r="BE10" s="500">
        <v>19662.05</v>
      </c>
      <c r="BF10" s="500">
        <v>61139.05</v>
      </c>
      <c r="BG10" s="500">
        <v>67693.509999999995</v>
      </c>
      <c r="BH10" s="500">
        <v>124765.77</v>
      </c>
      <c r="BI10" s="500">
        <v>29632.82</v>
      </c>
      <c r="BJ10" s="500">
        <v>0</v>
      </c>
      <c r="BK10" s="500">
        <v>0</v>
      </c>
      <c r="BL10" s="500">
        <v>0</v>
      </c>
      <c r="BM10" s="500">
        <v>0</v>
      </c>
      <c r="BN10" s="500">
        <v>0</v>
      </c>
      <c r="BO10" s="501">
        <f t="shared" si="4"/>
        <v>1311578.8400000001</v>
      </c>
      <c r="BP10" s="501">
        <f t="shared" si="5"/>
        <v>-44566.669999999693</v>
      </c>
      <c r="BQ10" s="501">
        <f t="shared" si="0"/>
        <v>-8583.6699999996927</v>
      </c>
      <c r="BR10" s="501">
        <f t="shared" si="6"/>
        <v>0</v>
      </c>
      <c r="BS10" s="501">
        <f t="shared" si="1"/>
        <v>-8583.6699999996927</v>
      </c>
      <c r="BT10" s="500">
        <v>0</v>
      </c>
      <c r="BU10" s="500">
        <v>0</v>
      </c>
      <c r="BV10" s="500">
        <v>0</v>
      </c>
      <c r="BW10" s="500">
        <v>0</v>
      </c>
      <c r="BX10" s="501">
        <f t="shared" si="7"/>
        <v>0</v>
      </c>
      <c r="BY10" s="500">
        <v>0</v>
      </c>
      <c r="BZ10" s="500">
        <v>0</v>
      </c>
      <c r="CA10" s="500">
        <v>0</v>
      </c>
      <c r="CB10" s="500">
        <v>0</v>
      </c>
      <c r="CC10" s="501">
        <f t="shared" si="8"/>
        <v>0</v>
      </c>
      <c r="CD10" s="500">
        <f t="shared" si="9"/>
        <v>0</v>
      </c>
      <c r="CE10" s="224">
        <f t="shared" si="10"/>
        <v>0</v>
      </c>
      <c r="CF10" s="224">
        <f t="shared" si="2"/>
        <v>-8583.6699999996927</v>
      </c>
      <c r="CM10" s="224"/>
      <c r="CN10" s="224"/>
      <c r="CO10" s="224"/>
    </row>
    <row r="11" spans="1:93">
      <c r="A11" t="s">
        <v>134</v>
      </c>
      <c r="B11" t="s">
        <v>129</v>
      </c>
      <c r="C11">
        <v>101258</v>
      </c>
      <c r="D11" s="3">
        <v>3022002</v>
      </c>
      <c r="E11" s="3">
        <v>2002</v>
      </c>
      <c r="F11">
        <v>10044</v>
      </c>
      <c r="G11">
        <v>90044</v>
      </c>
      <c r="H11">
        <v>938605</v>
      </c>
      <c r="I11">
        <v>86163</v>
      </c>
      <c r="J11">
        <v>0</v>
      </c>
      <c r="K11">
        <v>86163</v>
      </c>
      <c r="L11" s="500">
        <v>2515049.1</v>
      </c>
      <c r="M11" s="500">
        <v>0</v>
      </c>
      <c r="N11" s="500">
        <v>191510.54</v>
      </c>
      <c r="O11" s="500">
        <v>0</v>
      </c>
      <c r="P11" s="500">
        <v>123300.04</v>
      </c>
      <c r="Q11" s="500">
        <v>200</v>
      </c>
      <c r="R11" s="500">
        <v>56742.58</v>
      </c>
      <c r="S11" s="500">
        <v>20753.2</v>
      </c>
      <c r="T11" s="500">
        <v>17345.66</v>
      </c>
      <c r="U11" s="500">
        <v>9653.3700000000008</v>
      </c>
      <c r="V11" s="500">
        <v>370</v>
      </c>
      <c r="W11" s="500">
        <v>870</v>
      </c>
      <c r="X11" s="500">
        <v>13280.509999999998</v>
      </c>
      <c r="Y11" s="500">
        <v>4179.38</v>
      </c>
      <c r="Z11" s="500">
        <v>0</v>
      </c>
      <c r="AA11" s="500">
        <v>0</v>
      </c>
      <c r="AB11" s="500">
        <v>0</v>
      </c>
      <c r="AC11" s="500">
        <v>0</v>
      </c>
      <c r="AD11" s="500">
        <v>0</v>
      </c>
      <c r="AE11" s="500">
        <v>23221.26</v>
      </c>
      <c r="AF11" s="500">
        <v>79272</v>
      </c>
      <c r="AG11" s="501">
        <f t="shared" si="3"/>
        <v>3055747.64</v>
      </c>
      <c r="AH11" s="500">
        <v>1276952.3600000001</v>
      </c>
      <c r="AI11" s="500">
        <v>0</v>
      </c>
      <c r="AJ11" s="500">
        <v>623187.38</v>
      </c>
      <c r="AK11" s="500">
        <v>25785.81</v>
      </c>
      <c r="AL11" s="500">
        <v>132173.76000000001</v>
      </c>
      <c r="AM11" s="500">
        <v>0</v>
      </c>
      <c r="AN11" s="500">
        <v>45014.239999999998</v>
      </c>
      <c r="AO11" s="500">
        <v>17404.400000000001</v>
      </c>
      <c r="AP11" s="500">
        <v>4949.2</v>
      </c>
      <c r="AQ11" s="500">
        <v>4916.8999999999996</v>
      </c>
      <c r="AR11" s="500">
        <v>0</v>
      </c>
      <c r="AS11" s="500">
        <v>34712.050000000003</v>
      </c>
      <c r="AT11" s="500">
        <v>0</v>
      </c>
      <c r="AU11" s="500">
        <v>73031.039999999994</v>
      </c>
      <c r="AV11" s="500">
        <v>4372.67</v>
      </c>
      <c r="AW11" s="500">
        <v>84931.91</v>
      </c>
      <c r="AX11" s="500">
        <v>30250</v>
      </c>
      <c r="AY11" s="500">
        <v>17508.46</v>
      </c>
      <c r="AZ11" s="500">
        <v>69183.3</v>
      </c>
      <c r="BA11" s="500">
        <v>12786.86</v>
      </c>
      <c r="BB11" s="500">
        <v>0</v>
      </c>
      <c r="BC11" s="500">
        <v>25197.79</v>
      </c>
      <c r="BD11" s="500">
        <v>17087.810000000001</v>
      </c>
      <c r="BE11" s="500">
        <v>6300.35</v>
      </c>
      <c r="BF11" s="500">
        <v>140346.59</v>
      </c>
      <c r="BG11" s="500">
        <v>56506.080000000002</v>
      </c>
      <c r="BH11" s="500">
        <v>320137.61</v>
      </c>
      <c r="BI11" s="500">
        <v>74787.570000000007</v>
      </c>
      <c r="BJ11" s="500">
        <v>0</v>
      </c>
      <c r="BK11" s="500">
        <v>0</v>
      </c>
      <c r="BL11" s="500">
        <v>6092</v>
      </c>
      <c r="BM11" s="500">
        <v>0</v>
      </c>
      <c r="BN11" s="500">
        <v>0</v>
      </c>
      <c r="BO11" s="501">
        <f t="shared" si="4"/>
        <v>3103616.1399999997</v>
      </c>
      <c r="BP11" s="501">
        <f t="shared" si="5"/>
        <v>-47868.499999999534</v>
      </c>
      <c r="BQ11" s="501">
        <f t="shared" si="0"/>
        <v>38294.500000000466</v>
      </c>
      <c r="BR11" s="501">
        <f t="shared" si="6"/>
        <v>0</v>
      </c>
      <c r="BS11" s="501">
        <f t="shared" si="1"/>
        <v>38294.500000000466</v>
      </c>
      <c r="BT11" s="500">
        <v>0</v>
      </c>
      <c r="BU11" s="500">
        <v>8891.5</v>
      </c>
      <c r="BV11" s="500">
        <v>0</v>
      </c>
      <c r="BW11" s="500">
        <v>6092</v>
      </c>
      <c r="BX11" s="501">
        <f t="shared" si="7"/>
        <v>14983.5</v>
      </c>
      <c r="BY11" s="500">
        <v>0</v>
      </c>
      <c r="BZ11" s="500">
        <v>0</v>
      </c>
      <c r="CA11" s="500">
        <v>14983.71</v>
      </c>
      <c r="CB11" s="500">
        <v>0</v>
      </c>
      <c r="CC11" s="501">
        <f t="shared" si="8"/>
        <v>14983.71</v>
      </c>
      <c r="CD11" s="500">
        <f t="shared" si="9"/>
        <v>-0.20999999999912689</v>
      </c>
      <c r="CE11" s="224">
        <f t="shared" si="10"/>
        <v>-0.20999999999912689</v>
      </c>
      <c r="CF11" s="224">
        <f t="shared" si="2"/>
        <v>38294.290000000467</v>
      </c>
      <c r="CI11" t="e">
        <f>_xlfn.XLOOKUP(D11,#REF!,#REF!)</f>
        <v>#REF!</v>
      </c>
      <c r="CJ11" t="e">
        <f>_xlfn.XLOOKUP(D11,#REF!,#REF!)</f>
        <v>#REF!</v>
      </c>
      <c r="CK11" t="e">
        <f t="shared" si="11"/>
        <v>#REF!</v>
      </c>
      <c r="CM11" s="224" t="e">
        <f t="shared" si="12"/>
        <v>#REF!</v>
      </c>
      <c r="CN11" s="224" t="e">
        <f t="shared" si="13"/>
        <v>#REF!</v>
      </c>
      <c r="CO11" s="224" t="e">
        <f t="shared" si="13"/>
        <v>#REF!</v>
      </c>
    </row>
    <row r="12" spans="1:93">
      <c r="A12" t="s">
        <v>135</v>
      </c>
      <c r="B12" t="s">
        <v>129</v>
      </c>
      <c r="C12">
        <v>133365</v>
      </c>
      <c r="D12" s="3">
        <v>3022079</v>
      </c>
      <c r="E12" s="3">
        <v>2079</v>
      </c>
      <c r="F12">
        <v>10128</v>
      </c>
      <c r="G12">
        <v>90128</v>
      </c>
      <c r="H12">
        <v>938651</v>
      </c>
      <c r="I12">
        <v>-56282</v>
      </c>
      <c r="J12">
        <v>0</v>
      </c>
      <c r="K12">
        <v>-56282</v>
      </c>
      <c r="L12" s="500">
        <v>2213022.2400000002</v>
      </c>
      <c r="M12" s="500">
        <v>0</v>
      </c>
      <c r="N12" s="500">
        <v>31374.68</v>
      </c>
      <c r="O12" s="500">
        <v>0</v>
      </c>
      <c r="P12" s="500">
        <v>20370.02</v>
      </c>
      <c r="Q12" s="500">
        <v>0</v>
      </c>
      <c r="R12" s="500">
        <v>92971.85</v>
      </c>
      <c r="S12" s="500">
        <v>0</v>
      </c>
      <c r="T12" s="500">
        <v>0</v>
      </c>
      <c r="U12" s="500">
        <v>0</v>
      </c>
      <c r="V12" s="500">
        <v>0</v>
      </c>
      <c r="W12" s="500">
        <v>0</v>
      </c>
      <c r="X12" s="500">
        <v>4941.3500000000004</v>
      </c>
      <c r="Y12" s="500">
        <v>0</v>
      </c>
      <c r="Z12" s="500">
        <v>0</v>
      </c>
      <c r="AA12" s="500">
        <v>0</v>
      </c>
      <c r="AB12" s="500">
        <v>0</v>
      </c>
      <c r="AC12" s="500">
        <v>111121.08</v>
      </c>
      <c r="AD12" s="500">
        <v>0</v>
      </c>
      <c r="AE12" s="500">
        <v>0</v>
      </c>
      <c r="AF12" s="500">
        <v>0</v>
      </c>
      <c r="AG12" s="501">
        <f t="shared" si="3"/>
        <v>2473801.2200000007</v>
      </c>
      <c r="AH12" s="500">
        <v>1487036.4000000001</v>
      </c>
      <c r="AI12" s="500">
        <v>0</v>
      </c>
      <c r="AJ12" s="500">
        <v>192759.3</v>
      </c>
      <c r="AK12" s="500">
        <v>15784.59</v>
      </c>
      <c r="AL12" s="500">
        <v>127878.6</v>
      </c>
      <c r="AM12" s="500">
        <v>0</v>
      </c>
      <c r="AN12" s="500">
        <v>51701.71</v>
      </c>
      <c r="AO12" s="500">
        <v>11708.38</v>
      </c>
      <c r="AP12" s="500">
        <v>3332.5</v>
      </c>
      <c r="AQ12" s="500">
        <v>687.24</v>
      </c>
      <c r="AR12" s="500">
        <v>0</v>
      </c>
      <c r="AS12" s="500">
        <v>42113.61</v>
      </c>
      <c r="AT12" s="500">
        <v>0</v>
      </c>
      <c r="AU12" s="500">
        <v>69472.78</v>
      </c>
      <c r="AV12" s="500">
        <v>13243.24</v>
      </c>
      <c r="AW12" s="500">
        <v>43163.93</v>
      </c>
      <c r="AX12" s="500">
        <v>34473.599999999999</v>
      </c>
      <c r="AY12" s="500">
        <v>21630.77</v>
      </c>
      <c r="AZ12" s="500">
        <v>18943.87</v>
      </c>
      <c r="BA12" s="500">
        <v>22277</v>
      </c>
      <c r="BB12" s="500">
        <v>0</v>
      </c>
      <c r="BC12" s="500">
        <v>19856.03</v>
      </c>
      <c r="BD12" s="500">
        <v>17411.46</v>
      </c>
      <c r="BE12" s="500">
        <v>84992.57</v>
      </c>
      <c r="BF12" s="500">
        <v>41046.29</v>
      </c>
      <c r="BG12" s="500">
        <v>-199</v>
      </c>
      <c r="BH12" s="500">
        <v>39498.269999999997</v>
      </c>
      <c r="BI12" s="500">
        <v>46986.89</v>
      </c>
      <c r="BJ12" s="500">
        <v>0</v>
      </c>
      <c r="BK12" s="500">
        <v>0</v>
      </c>
      <c r="BL12" s="500">
        <v>0</v>
      </c>
      <c r="BM12" s="500">
        <v>0</v>
      </c>
      <c r="BN12" s="500">
        <v>0</v>
      </c>
      <c r="BO12" s="501">
        <f t="shared" si="4"/>
        <v>2405800.0300000003</v>
      </c>
      <c r="BP12" s="501">
        <f t="shared" si="5"/>
        <v>68001.19000000041</v>
      </c>
      <c r="BQ12" s="501">
        <f t="shared" si="0"/>
        <v>11719.19000000041</v>
      </c>
      <c r="BR12" s="501">
        <f t="shared" si="6"/>
        <v>0</v>
      </c>
      <c r="BS12" s="501">
        <f t="shared" si="1"/>
        <v>11719.19000000041</v>
      </c>
      <c r="BT12" s="500">
        <v>0</v>
      </c>
      <c r="BU12" s="500"/>
      <c r="BV12" s="500"/>
      <c r="BW12" s="500"/>
      <c r="BX12" s="501">
        <f t="shared" si="7"/>
        <v>0</v>
      </c>
      <c r="BY12" s="500"/>
      <c r="BZ12" s="500"/>
      <c r="CA12" s="500"/>
      <c r="CB12" s="500"/>
      <c r="CC12" s="501">
        <f t="shared" si="8"/>
        <v>0</v>
      </c>
      <c r="CD12" s="500">
        <f t="shared" si="9"/>
        <v>0</v>
      </c>
      <c r="CE12" s="224">
        <f t="shared" si="10"/>
        <v>0</v>
      </c>
      <c r="CF12" s="224">
        <f t="shared" si="2"/>
        <v>11719.19000000041</v>
      </c>
      <c r="CM12" s="224"/>
      <c r="CN12" s="224"/>
      <c r="CO12" s="224"/>
    </row>
    <row r="13" spans="1:93">
      <c r="A13" t="s">
        <v>136</v>
      </c>
      <c r="B13" t="s">
        <v>129</v>
      </c>
      <c r="C13">
        <v>136402</v>
      </c>
      <c r="D13" s="3">
        <v>3023524</v>
      </c>
      <c r="E13" s="3">
        <v>3524</v>
      </c>
      <c r="F13">
        <v>11278</v>
      </c>
      <c r="G13">
        <v>91278</v>
      </c>
      <c r="H13">
        <v>938702</v>
      </c>
      <c r="I13">
        <v>80347</v>
      </c>
      <c r="J13">
        <v>0</v>
      </c>
      <c r="K13">
        <v>80347</v>
      </c>
      <c r="L13" s="500">
        <v>1208155.3500000001</v>
      </c>
      <c r="M13" s="500">
        <v>0</v>
      </c>
      <c r="N13" s="500">
        <v>76697.05</v>
      </c>
      <c r="O13" s="500">
        <v>0</v>
      </c>
      <c r="P13" s="500">
        <v>17459.72</v>
      </c>
      <c r="Q13" s="500">
        <v>81730.25</v>
      </c>
      <c r="R13" s="500">
        <v>49280</v>
      </c>
      <c r="S13" s="500">
        <v>0</v>
      </c>
      <c r="T13" s="500">
        <v>9849.82</v>
      </c>
      <c r="U13" s="500">
        <v>3.4</v>
      </c>
      <c r="V13" s="500">
        <v>0</v>
      </c>
      <c r="W13" s="500">
        <v>0</v>
      </c>
      <c r="X13" s="500">
        <v>67425.84</v>
      </c>
      <c r="Y13" s="500">
        <v>428373</v>
      </c>
      <c r="Z13" s="500">
        <v>0</v>
      </c>
      <c r="AA13" s="500">
        <v>0</v>
      </c>
      <c r="AB13" s="500">
        <v>0</v>
      </c>
      <c r="AC13" s="500">
        <v>0</v>
      </c>
      <c r="AD13" s="500">
        <v>0</v>
      </c>
      <c r="AE13" s="500">
        <v>3243.12</v>
      </c>
      <c r="AF13" s="500">
        <v>59483</v>
      </c>
      <c r="AG13" s="501">
        <f t="shared" si="3"/>
        <v>2001700.5500000003</v>
      </c>
      <c r="AH13" s="500">
        <v>960029.06</v>
      </c>
      <c r="AI13" s="500">
        <v>0</v>
      </c>
      <c r="AJ13" s="500">
        <v>409737.2</v>
      </c>
      <c r="AK13" s="500">
        <v>40180.35</v>
      </c>
      <c r="AL13" s="500">
        <v>120146.82</v>
      </c>
      <c r="AM13" s="500">
        <v>0</v>
      </c>
      <c r="AN13" s="500">
        <v>3110.89</v>
      </c>
      <c r="AO13" s="500">
        <v>2973.56</v>
      </c>
      <c r="AP13" s="500">
        <v>2100.73</v>
      </c>
      <c r="AQ13" s="500">
        <v>340.3</v>
      </c>
      <c r="AR13" s="500">
        <v>0</v>
      </c>
      <c r="AS13" s="500">
        <v>53613.599999999999</v>
      </c>
      <c r="AT13" s="500">
        <v>2187.46</v>
      </c>
      <c r="AU13" s="500">
        <v>39107.269999999997</v>
      </c>
      <c r="AV13" s="500">
        <v>3675.86</v>
      </c>
      <c r="AW13" s="500">
        <v>52676.68</v>
      </c>
      <c r="AX13" s="500">
        <v>9591.7199999999993</v>
      </c>
      <c r="AY13" s="500">
        <v>64194.54</v>
      </c>
      <c r="AZ13" s="500">
        <v>95705.71</v>
      </c>
      <c r="BA13" s="500">
        <v>15611.78</v>
      </c>
      <c r="BB13" s="500">
        <v>0</v>
      </c>
      <c r="BC13" s="500">
        <v>11453.46</v>
      </c>
      <c r="BD13" s="500">
        <v>8963.14</v>
      </c>
      <c r="BE13" s="500">
        <v>0</v>
      </c>
      <c r="BF13" s="500">
        <v>27207.11</v>
      </c>
      <c r="BG13" s="500">
        <v>135</v>
      </c>
      <c r="BH13" s="500">
        <v>44595.37</v>
      </c>
      <c r="BI13" s="500">
        <v>23007.72</v>
      </c>
      <c r="BJ13" s="500">
        <v>0</v>
      </c>
      <c r="BK13" s="500">
        <v>0</v>
      </c>
      <c r="BL13" s="500">
        <v>0</v>
      </c>
      <c r="BM13" s="500">
        <v>0</v>
      </c>
      <c r="BN13" s="500">
        <v>0</v>
      </c>
      <c r="BO13" s="501">
        <f t="shared" si="4"/>
        <v>1990345.3300000003</v>
      </c>
      <c r="BP13" s="501">
        <f t="shared" si="5"/>
        <v>11355.219999999972</v>
      </c>
      <c r="BQ13" s="501">
        <f t="shared" si="0"/>
        <v>91702.219999999972</v>
      </c>
      <c r="BR13" s="501">
        <f t="shared" si="6"/>
        <v>0</v>
      </c>
      <c r="BS13" s="501">
        <f t="shared" si="1"/>
        <v>91702.219999999972</v>
      </c>
      <c r="BT13" s="500">
        <v>0</v>
      </c>
      <c r="BU13" s="500"/>
      <c r="BV13" s="500"/>
      <c r="BW13" s="500"/>
      <c r="BX13" s="501">
        <f t="shared" si="7"/>
        <v>0</v>
      </c>
      <c r="BY13" s="500"/>
      <c r="BZ13" s="500"/>
      <c r="CA13" s="500"/>
      <c r="CB13" s="500"/>
      <c r="CC13" s="501">
        <f t="shared" si="8"/>
        <v>0</v>
      </c>
      <c r="CD13" s="500">
        <f t="shared" si="9"/>
        <v>0</v>
      </c>
      <c r="CE13" s="224">
        <f t="shared" si="10"/>
        <v>0</v>
      </c>
      <c r="CF13" s="224">
        <f t="shared" si="2"/>
        <v>91702.219999999972</v>
      </c>
      <c r="CI13" t="e">
        <f>_xlfn.XLOOKUP(D13,#REF!,#REF!)</f>
        <v>#REF!</v>
      </c>
      <c r="CJ13" t="e">
        <f>_xlfn.XLOOKUP(D13,#REF!,#REF!)</f>
        <v>#REF!</v>
      </c>
      <c r="CK13" t="e">
        <f t="shared" si="11"/>
        <v>#REF!</v>
      </c>
      <c r="CM13" s="224" t="e">
        <f t="shared" si="12"/>
        <v>#REF!</v>
      </c>
      <c r="CN13" s="224" t="e">
        <f t="shared" si="13"/>
        <v>#REF!</v>
      </c>
      <c r="CO13" s="224" t="e">
        <f t="shared" si="13"/>
        <v>#REF!</v>
      </c>
    </row>
    <row r="14" spans="1:93">
      <c r="A14" t="s">
        <v>137</v>
      </c>
      <c r="B14" t="s">
        <v>129</v>
      </c>
      <c r="C14">
        <v>101259</v>
      </c>
      <c r="D14" s="3">
        <v>3022003</v>
      </c>
      <c r="E14" s="3">
        <v>2003</v>
      </c>
      <c r="F14">
        <v>10045</v>
      </c>
      <c r="G14">
        <v>90045</v>
      </c>
      <c r="H14">
        <v>938606</v>
      </c>
      <c r="I14">
        <v>-205028</v>
      </c>
      <c r="J14">
        <v>105615</v>
      </c>
      <c r="K14">
        <v>-99413</v>
      </c>
      <c r="L14" s="500">
        <v>2240084</v>
      </c>
      <c r="M14" s="500">
        <v>0</v>
      </c>
      <c r="N14" s="500">
        <v>184473</v>
      </c>
      <c r="O14" s="500">
        <v>0</v>
      </c>
      <c r="P14" s="500">
        <v>196130</v>
      </c>
      <c r="Q14" s="500">
        <v>3544</v>
      </c>
      <c r="R14" s="500">
        <v>89448</v>
      </c>
      <c r="S14" s="500">
        <v>1458</v>
      </c>
      <c r="T14" s="500">
        <v>19822</v>
      </c>
      <c r="U14" s="500">
        <v>-6563</v>
      </c>
      <c r="V14" s="500">
        <v>0</v>
      </c>
      <c r="W14" s="500">
        <v>0</v>
      </c>
      <c r="X14" s="500">
        <v>13892</v>
      </c>
      <c r="Y14" s="500">
        <v>156</v>
      </c>
      <c r="Z14" s="500">
        <v>0</v>
      </c>
      <c r="AA14" s="500">
        <v>125964</v>
      </c>
      <c r="AB14" s="500">
        <v>0</v>
      </c>
      <c r="AC14" s="500">
        <v>0</v>
      </c>
      <c r="AD14" s="500">
        <v>15379</v>
      </c>
      <c r="AE14" s="500">
        <v>20264</v>
      </c>
      <c r="AF14" s="500">
        <v>45997</v>
      </c>
      <c r="AG14" s="501">
        <f t="shared" si="3"/>
        <v>2950048</v>
      </c>
      <c r="AH14" s="500">
        <v>950510</v>
      </c>
      <c r="AI14" s="500">
        <v>0</v>
      </c>
      <c r="AJ14" s="500">
        <v>644657</v>
      </c>
      <c r="AK14" s="500">
        <v>60451</v>
      </c>
      <c r="AL14" s="500">
        <v>26518</v>
      </c>
      <c r="AM14" s="500">
        <v>0</v>
      </c>
      <c r="AN14" s="500">
        <v>128800</v>
      </c>
      <c r="AO14" s="500">
        <v>18849</v>
      </c>
      <c r="AP14" s="500">
        <v>6418</v>
      </c>
      <c r="AQ14" s="500">
        <v>574</v>
      </c>
      <c r="AR14" s="500">
        <v>-349</v>
      </c>
      <c r="AS14" s="500">
        <v>14289</v>
      </c>
      <c r="AT14" s="500">
        <v>0</v>
      </c>
      <c r="AU14" s="500">
        <v>30162</v>
      </c>
      <c r="AV14" s="500">
        <v>11416</v>
      </c>
      <c r="AW14" s="500">
        <v>25235</v>
      </c>
      <c r="AX14" s="500">
        <v>26859</v>
      </c>
      <c r="AY14" s="500">
        <v>10712</v>
      </c>
      <c r="AZ14" s="500">
        <v>74925</v>
      </c>
      <c r="BA14" s="500">
        <v>15347</v>
      </c>
      <c r="BB14" s="500">
        <v>0</v>
      </c>
      <c r="BC14" s="500">
        <v>28415</v>
      </c>
      <c r="BD14" s="500">
        <v>11863</v>
      </c>
      <c r="BE14" s="500">
        <v>7523</v>
      </c>
      <c r="BF14" s="500">
        <v>121205</v>
      </c>
      <c r="BG14" s="500">
        <v>169168</v>
      </c>
      <c r="BH14" s="500">
        <v>336933</v>
      </c>
      <c r="BI14" s="500">
        <v>62771</v>
      </c>
      <c r="BJ14" s="500">
        <v>4585</v>
      </c>
      <c r="BK14" s="500">
        <v>0</v>
      </c>
      <c r="BL14" s="500">
        <v>0</v>
      </c>
      <c r="BM14" s="500">
        <v>114463</v>
      </c>
      <c r="BN14" s="500">
        <v>12887</v>
      </c>
      <c r="BO14" s="501">
        <f t="shared" si="4"/>
        <v>2915186</v>
      </c>
      <c r="BP14" s="501">
        <f t="shared" si="5"/>
        <v>34862</v>
      </c>
      <c r="BQ14" s="501">
        <f t="shared" si="0"/>
        <v>-168780</v>
      </c>
      <c r="BR14" s="501">
        <f t="shared" si="6"/>
        <v>104229</v>
      </c>
      <c r="BS14" s="501">
        <f t="shared" si="1"/>
        <v>-64551</v>
      </c>
      <c r="BT14" s="500">
        <v>26328</v>
      </c>
      <c r="BU14" s="500">
        <v>8601</v>
      </c>
      <c r="BV14" s="500">
        <v>0</v>
      </c>
      <c r="BW14" s="500">
        <v>0</v>
      </c>
      <c r="BX14" s="501">
        <f t="shared" si="7"/>
        <v>8601</v>
      </c>
      <c r="BY14" s="500">
        <v>0</v>
      </c>
      <c r="BZ14" s="500">
        <v>9867</v>
      </c>
      <c r="CA14" s="500">
        <v>0</v>
      </c>
      <c r="CB14" s="500">
        <v>0</v>
      </c>
      <c r="CC14" s="501">
        <f t="shared" si="8"/>
        <v>9867</v>
      </c>
      <c r="CD14" s="500">
        <f t="shared" si="9"/>
        <v>-1266</v>
      </c>
      <c r="CE14" s="224">
        <f t="shared" si="10"/>
        <v>25062</v>
      </c>
      <c r="CF14" s="224">
        <f t="shared" si="2"/>
        <v>-39489</v>
      </c>
      <c r="CM14" s="224"/>
      <c r="CN14" s="224"/>
      <c r="CO14" s="224"/>
    </row>
    <row r="15" spans="1:93">
      <c r="A15" t="s">
        <v>138</v>
      </c>
      <c r="B15" t="s">
        <v>129</v>
      </c>
      <c r="C15">
        <v>101339</v>
      </c>
      <c r="D15" s="3">
        <v>3023511</v>
      </c>
      <c r="E15" s="3">
        <v>3511</v>
      </c>
      <c r="F15">
        <v>10115</v>
      </c>
      <c r="G15">
        <v>90115</v>
      </c>
      <c r="H15">
        <v>938674</v>
      </c>
      <c r="I15">
        <v>366454</v>
      </c>
      <c r="J15">
        <v>0</v>
      </c>
      <c r="K15">
        <v>366454</v>
      </c>
      <c r="L15" s="500">
        <v>2475700.33</v>
      </c>
      <c r="M15" s="500">
        <v>0</v>
      </c>
      <c r="N15" s="500">
        <v>109950.14</v>
      </c>
      <c r="O15" s="500">
        <v>0</v>
      </c>
      <c r="P15" s="500">
        <v>145189.97</v>
      </c>
      <c r="Q15" s="500">
        <v>9770.4</v>
      </c>
      <c r="R15" s="500">
        <v>69788.58</v>
      </c>
      <c r="S15" s="500">
        <v>0</v>
      </c>
      <c r="T15" s="500">
        <v>52819.85</v>
      </c>
      <c r="U15" s="500">
        <v>13971.23</v>
      </c>
      <c r="V15" s="500">
        <v>3000</v>
      </c>
      <c r="W15" s="500">
        <v>0</v>
      </c>
      <c r="X15" s="500">
        <v>28181.230000000003</v>
      </c>
      <c r="Y15" s="500">
        <v>4879.87</v>
      </c>
      <c r="Z15" s="500">
        <v>0</v>
      </c>
      <c r="AA15" s="500">
        <v>0</v>
      </c>
      <c r="AB15" s="500">
        <v>0</v>
      </c>
      <c r="AC15" s="500">
        <v>0</v>
      </c>
      <c r="AD15" s="500">
        <v>0</v>
      </c>
      <c r="AE15" s="500">
        <v>23899.38</v>
      </c>
      <c r="AF15" s="500">
        <v>79713</v>
      </c>
      <c r="AG15" s="501">
        <f t="shared" si="3"/>
        <v>3016863.9800000004</v>
      </c>
      <c r="AH15" s="500">
        <v>1245249.98</v>
      </c>
      <c r="AI15" s="500">
        <v>2765.52</v>
      </c>
      <c r="AJ15" s="500">
        <v>640043.96</v>
      </c>
      <c r="AK15" s="500">
        <v>49493.02</v>
      </c>
      <c r="AL15" s="500">
        <v>169884.25</v>
      </c>
      <c r="AM15" s="500">
        <v>0</v>
      </c>
      <c r="AN15" s="500">
        <v>13954.45</v>
      </c>
      <c r="AO15" s="500">
        <v>15117.83</v>
      </c>
      <c r="AP15" s="500">
        <v>6214.22</v>
      </c>
      <c r="AQ15" s="500">
        <v>8600.6</v>
      </c>
      <c r="AR15" s="500">
        <v>0</v>
      </c>
      <c r="AS15" s="500">
        <v>17473.03</v>
      </c>
      <c r="AT15" s="500">
        <v>4258.49</v>
      </c>
      <c r="AU15" s="500">
        <v>51992.119999999995</v>
      </c>
      <c r="AV15" s="500">
        <v>-805.18</v>
      </c>
      <c r="AW15" s="500">
        <v>34610.75</v>
      </c>
      <c r="AX15" s="500">
        <v>-11290</v>
      </c>
      <c r="AY15" s="500">
        <v>12831.3</v>
      </c>
      <c r="AZ15" s="500">
        <v>117106.4</v>
      </c>
      <c r="BA15" s="500">
        <v>25335.19</v>
      </c>
      <c r="BB15" s="500">
        <v>0</v>
      </c>
      <c r="BC15" s="500">
        <v>23537.17</v>
      </c>
      <c r="BD15" s="500">
        <v>23215.29</v>
      </c>
      <c r="BE15" s="500">
        <v>59810.64</v>
      </c>
      <c r="BF15" s="500">
        <v>150649.47999999998</v>
      </c>
      <c r="BG15" s="500">
        <v>118917.66</v>
      </c>
      <c r="BH15" s="500">
        <v>274798.83</v>
      </c>
      <c r="BI15" s="500">
        <v>33696.29</v>
      </c>
      <c r="BJ15" s="500">
        <v>0</v>
      </c>
      <c r="BK15" s="500">
        <v>0</v>
      </c>
      <c r="BL15" s="500">
        <v>0</v>
      </c>
      <c r="BM15" s="500">
        <v>0</v>
      </c>
      <c r="BN15" s="500">
        <v>0</v>
      </c>
      <c r="BO15" s="501">
        <f t="shared" si="4"/>
        <v>3087461.2900000005</v>
      </c>
      <c r="BP15" s="501">
        <f t="shared" si="5"/>
        <v>-70597.310000000056</v>
      </c>
      <c r="BQ15" s="501">
        <f t="shared" si="0"/>
        <v>295856.68999999994</v>
      </c>
      <c r="BR15" s="501">
        <f t="shared" si="6"/>
        <v>0</v>
      </c>
      <c r="BS15" s="501">
        <f t="shared" si="1"/>
        <v>295856.68999999994</v>
      </c>
      <c r="BT15" s="500">
        <v>0</v>
      </c>
      <c r="BU15" s="500">
        <v>0</v>
      </c>
      <c r="BV15" s="500">
        <v>0</v>
      </c>
      <c r="BW15" s="500">
        <v>0</v>
      </c>
      <c r="BX15" s="501">
        <f t="shared" si="7"/>
        <v>0</v>
      </c>
      <c r="BY15" s="500">
        <v>0</v>
      </c>
      <c r="BZ15" s="500">
        <v>0</v>
      </c>
      <c r="CA15" s="500">
        <v>0</v>
      </c>
      <c r="CB15" s="500">
        <v>0</v>
      </c>
      <c r="CC15" s="501">
        <f t="shared" si="8"/>
        <v>0</v>
      </c>
      <c r="CD15" s="500">
        <f t="shared" si="9"/>
        <v>0</v>
      </c>
      <c r="CE15" s="224">
        <f t="shared" si="10"/>
        <v>0</v>
      </c>
      <c r="CF15" s="224">
        <f t="shared" si="2"/>
        <v>295856.68999999994</v>
      </c>
      <c r="CI15" t="e">
        <f>_xlfn.XLOOKUP(D15,#REF!,#REF!)</f>
        <v>#REF!</v>
      </c>
      <c r="CJ15" t="e">
        <f>_xlfn.XLOOKUP(D15,#REF!,#REF!)</f>
        <v>#REF!</v>
      </c>
      <c r="CK15" t="e">
        <f t="shared" si="11"/>
        <v>#REF!</v>
      </c>
      <c r="CM15" s="224" t="e">
        <f t="shared" si="12"/>
        <v>#REF!</v>
      </c>
      <c r="CN15" s="224" t="e">
        <f t="shared" si="13"/>
        <v>#REF!</v>
      </c>
      <c r="CO15" s="224" t="e">
        <f t="shared" si="13"/>
        <v>#REF!</v>
      </c>
    </row>
    <row r="16" spans="1:93">
      <c r="A16" t="s">
        <v>139</v>
      </c>
      <c r="B16" t="s">
        <v>129</v>
      </c>
      <c r="C16">
        <v>101263</v>
      </c>
      <c r="D16" s="3">
        <v>3022008</v>
      </c>
      <c r="E16" s="3">
        <v>2008</v>
      </c>
      <c r="F16">
        <v>10047</v>
      </c>
      <c r="G16">
        <v>90047</v>
      </c>
      <c r="H16">
        <v>938608</v>
      </c>
      <c r="I16">
        <v>44779</v>
      </c>
      <c r="J16">
        <v>0</v>
      </c>
      <c r="K16">
        <v>44779</v>
      </c>
      <c r="L16" s="500">
        <v>1704054.99</v>
      </c>
      <c r="M16" s="500">
        <v>0</v>
      </c>
      <c r="N16" s="500">
        <v>114226.11</v>
      </c>
      <c r="O16" s="500">
        <v>0</v>
      </c>
      <c r="P16" s="500">
        <v>60349.98</v>
      </c>
      <c r="Q16" s="500">
        <v>944.42</v>
      </c>
      <c r="R16" s="500">
        <v>0</v>
      </c>
      <c r="S16" s="500">
        <v>42197.86</v>
      </c>
      <c r="T16" s="500">
        <v>12665.5</v>
      </c>
      <c r="U16" s="500">
        <v>14254.56</v>
      </c>
      <c r="V16" s="500">
        <v>13917</v>
      </c>
      <c r="W16" s="500">
        <v>20755.150000000001</v>
      </c>
      <c r="X16" s="500">
        <v>112300.91</v>
      </c>
      <c r="Y16" s="500">
        <v>38460.449999999997</v>
      </c>
      <c r="Z16" s="500">
        <v>0</v>
      </c>
      <c r="AA16" s="500">
        <v>0</v>
      </c>
      <c r="AB16" s="500">
        <v>0</v>
      </c>
      <c r="AC16" s="500">
        <v>0</v>
      </c>
      <c r="AD16" s="500">
        <v>0</v>
      </c>
      <c r="AE16" s="500">
        <v>5944.7599999999984</v>
      </c>
      <c r="AF16" s="500">
        <v>124788</v>
      </c>
      <c r="AG16" s="501">
        <f t="shared" si="3"/>
        <v>2264859.69</v>
      </c>
      <c r="AH16" s="500">
        <v>929022.52</v>
      </c>
      <c r="AI16" s="500">
        <v>0</v>
      </c>
      <c r="AJ16" s="500">
        <v>539133.65</v>
      </c>
      <c r="AK16" s="500">
        <v>55475.19</v>
      </c>
      <c r="AL16" s="500">
        <v>41088.199999999997</v>
      </c>
      <c r="AM16" s="500">
        <v>0</v>
      </c>
      <c r="AN16" s="500">
        <v>20860.419999999998</v>
      </c>
      <c r="AO16" s="500">
        <v>19745.41</v>
      </c>
      <c r="AP16" s="500">
        <v>2827.5</v>
      </c>
      <c r="AQ16" s="500">
        <v>19397.990000000002</v>
      </c>
      <c r="AR16" s="500">
        <v>0</v>
      </c>
      <c r="AS16" s="500">
        <v>19259.63</v>
      </c>
      <c r="AT16" s="500">
        <v>6019.5</v>
      </c>
      <c r="AU16" s="500">
        <v>23970.44</v>
      </c>
      <c r="AV16" s="500">
        <v>4896</v>
      </c>
      <c r="AW16" s="500">
        <v>53006.27</v>
      </c>
      <c r="AX16" s="500">
        <v>20083</v>
      </c>
      <c r="AY16" s="500">
        <v>9682.48</v>
      </c>
      <c r="AZ16" s="500">
        <v>62646.81</v>
      </c>
      <c r="BA16" s="500">
        <v>14521.76</v>
      </c>
      <c r="BB16" s="500">
        <v>0</v>
      </c>
      <c r="BC16" s="500">
        <v>9291.6200000000008</v>
      </c>
      <c r="BD16" s="500">
        <v>10499.9</v>
      </c>
      <c r="BE16" s="500">
        <v>13503.94</v>
      </c>
      <c r="BF16" s="500">
        <v>103963.67</v>
      </c>
      <c r="BG16" s="500">
        <v>52480.05</v>
      </c>
      <c r="BH16" s="500">
        <v>206968.42</v>
      </c>
      <c r="BI16" s="500">
        <v>37215.83</v>
      </c>
      <c r="BJ16" s="500">
        <v>0</v>
      </c>
      <c r="BK16" s="500">
        <v>0</v>
      </c>
      <c r="BL16" s="500">
        <v>0</v>
      </c>
      <c r="BM16" s="500">
        <v>0</v>
      </c>
      <c r="BN16" s="500">
        <v>0</v>
      </c>
      <c r="BO16" s="501">
        <f t="shared" si="4"/>
        <v>2275560.1999999997</v>
      </c>
      <c r="BP16" s="501">
        <f t="shared" si="5"/>
        <v>-10700.509999999776</v>
      </c>
      <c r="BQ16" s="501">
        <f t="shared" si="0"/>
        <v>34078.490000000224</v>
      </c>
      <c r="BR16" s="501">
        <f t="shared" si="6"/>
        <v>0</v>
      </c>
      <c r="BS16" s="501">
        <f t="shared" si="1"/>
        <v>34078.490000000224</v>
      </c>
      <c r="BT16" s="500">
        <v>15293</v>
      </c>
      <c r="BU16" s="500">
        <v>7386.25</v>
      </c>
      <c r="BV16" s="500">
        <v>0</v>
      </c>
      <c r="BW16" s="500">
        <v>0</v>
      </c>
      <c r="BX16" s="501">
        <f t="shared" si="7"/>
        <v>7386.25</v>
      </c>
      <c r="BY16" s="500">
        <v>0</v>
      </c>
      <c r="BZ16" s="500">
        <v>21921</v>
      </c>
      <c r="CA16" s="500">
        <v>0</v>
      </c>
      <c r="CB16" s="500">
        <v>0</v>
      </c>
      <c r="CC16" s="501">
        <f t="shared" si="8"/>
        <v>21921</v>
      </c>
      <c r="CD16" s="500">
        <f t="shared" si="9"/>
        <v>-14534.75</v>
      </c>
      <c r="CE16" s="224">
        <f t="shared" si="10"/>
        <v>758.25</v>
      </c>
      <c r="CF16" s="224">
        <f t="shared" si="2"/>
        <v>34836.740000000224</v>
      </c>
      <c r="CI16" t="e">
        <f>_xlfn.XLOOKUP(D16,#REF!,#REF!)</f>
        <v>#REF!</v>
      </c>
      <c r="CJ16" t="e">
        <f>_xlfn.XLOOKUP(D16,#REF!,#REF!)</f>
        <v>#REF!</v>
      </c>
      <c r="CK16" t="e">
        <f t="shared" si="11"/>
        <v>#REF!</v>
      </c>
      <c r="CM16" s="224" t="e">
        <f t="shared" si="12"/>
        <v>#REF!</v>
      </c>
      <c r="CN16" s="224" t="e">
        <f t="shared" si="13"/>
        <v>#REF!</v>
      </c>
      <c r="CO16" s="224" t="e">
        <f t="shared" si="13"/>
        <v>#REF!</v>
      </c>
    </row>
    <row r="17" spans="1:93">
      <c r="A17" t="s">
        <v>140</v>
      </c>
      <c r="B17" t="s">
        <v>129</v>
      </c>
      <c r="C17">
        <v>101262</v>
      </c>
      <c r="D17" s="3">
        <v>3022007</v>
      </c>
      <c r="E17" s="3">
        <v>2007</v>
      </c>
      <c r="F17">
        <v>10046</v>
      </c>
      <c r="G17">
        <v>90046</v>
      </c>
      <c r="H17">
        <v>938607</v>
      </c>
      <c r="I17">
        <v>153847</v>
      </c>
      <c r="J17">
        <v>0</v>
      </c>
      <c r="K17">
        <v>153847</v>
      </c>
      <c r="L17" s="500">
        <v>1837322.77</v>
      </c>
      <c r="M17" s="500">
        <v>0</v>
      </c>
      <c r="N17" s="500">
        <v>166340.73000000001</v>
      </c>
      <c r="O17" s="500">
        <v>0</v>
      </c>
      <c r="P17" s="500">
        <v>111275.01</v>
      </c>
      <c r="Q17" s="500">
        <v>8461.2099999999991</v>
      </c>
      <c r="R17" s="500">
        <v>109836.37</v>
      </c>
      <c r="S17" s="500">
        <v>52986.99</v>
      </c>
      <c r="T17" s="500">
        <v>58680.26</v>
      </c>
      <c r="U17" s="500">
        <v>33510.949999999997</v>
      </c>
      <c r="V17" s="500">
        <v>888</v>
      </c>
      <c r="W17" s="500">
        <v>560</v>
      </c>
      <c r="X17" s="500">
        <v>69818.91</v>
      </c>
      <c r="Y17" s="500">
        <v>80274.320000000007</v>
      </c>
      <c r="Z17" s="500">
        <v>0</v>
      </c>
      <c r="AA17" s="500">
        <v>0</v>
      </c>
      <c r="AB17" s="500">
        <v>0</v>
      </c>
      <c r="AC17" s="500">
        <v>0</v>
      </c>
      <c r="AD17" s="500">
        <v>0</v>
      </c>
      <c r="AE17" s="500">
        <v>19726.88</v>
      </c>
      <c r="AF17" s="500">
        <v>19559</v>
      </c>
      <c r="AG17" s="501">
        <f t="shared" si="3"/>
        <v>2569241.4</v>
      </c>
      <c r="AH17" s="500">
        <v>1051900.1100000001</v>
      </c>
      <c r="AI17" s="500">
        <v>0</v>
      </c>
      <c r="AJ17" s="500">
        <v>392131.06</v>
      </c>
      <c r="AK17" s="500">
        <v>60843</v>
      </c>
      <c r="AL17" s="500">
        <v>117461.62</v>
      </c>
      <c r="AM17" s="500">
        <v>0</v>
      </c>
      <c r="AN17" s="500">
        <v>61627.42</v>
      </c>
      <c r="AO17" s="500">
        <v>7855.11</v>
      </c>
      <c r="AP17" s="500">
        <v>5186</v>
      </c>
      <c r="AQ17" s="500">
        <v>22671.199999999997</v>
      </c>
      <c r="AR17" s="500">
        <v>0</v>
      </c>
      <c r="AS17" s="500">
        <v>42882.94</v>
      </c>
      <c r="AT17" s="500">
        <v>8727.4699999999993</v>
      </c>
      <c r="AU17" s="500">
        <v>34275.94</v>
      </c>
      <c r="AV17" s="500">
        <v>10256.94</v>
      </c>
      <c r="AW17" s="500">
        <v>70231.88</v>
      </c>
      <c r="AX17" s="500">
        <v>20083</v>
      </c>
      <c r="AY17" s="500">
        <v>11199.33</v>
      </c>
      <c r="AZ17" s="500">
        <v>102699.65</v>
      </c>
      <c r="BA17" s="500">
        <v>22415.73</v>
      </c>
      <c r="BB17" s="500">
        <v>0</v>
      </c>
      <c r="BC17" s="500">
        <v>22234.15</v>
      </c>
      <c r="BD17" s="500">
        <v>13961.51</v>
      </c>
      <c r="BE17" s="500">
        <v>10096.1</v>
      </c>
      <c r="BF17" s="500">
        <v>112561.67</v>
      </c>
      <c r="BG17" s="500">
        <v>78653.759999999995</v>
      </c>
      <c r="BH17" s="500">
        <v>251480.62</v>
      </c>
      <c r="BI17" s="500">
        <v>24246.1</v>
      </c>
      <c r="BJ17" s="500">
        <v>0</v>
      </c>
      <c r="BK17" s="500">
        <v>0</v>
      </c>
      <c r="BL17" s="500">
        <v>17116</v>
      </c>
      <c r="BM17" s="500">
        <v>0</v>
      </c>
      <c r="BN17" s="500">
        <v>0</v>
      </c>
      <c r="BO17" s="501">
        <f t="shared" si="4"/>
        <v>2572798.31</v>
      </c>
      <c r="BP17" s="501">
        <f t="shared" si="5"/>
        <v>-3556.910000000149</v>
      </c>
      <c r="BQ17" s="501">
        <f t="shared" si="0"/>
        <v>150290.08999999985</v>
      </c>
      <c r="BR17" s="501">
        <f t="shared" si="6"/>
        <v>0</v>
      </c>
      <c r="BS17" s="501">
        <f t="shared" si="1"/>
        <v>150290.08999999985</v>
      </c>
      <c r="BT17" s="500">
        <v>7085</v>
      </c>
      <c r="BU17" s="500">
        <v>7971.25</v>
      </c>
      <c r="BV17" s="500">
        <v>0</v>
      </c>
      <c r="BW17" s="500">
        <v>17116</v>
      </c>
      <c r="BX17" s="501">
        <f t="shared" si="7"/>
        <v>25087.25</v>
      </c>
      <c r="BY17" s="500">
        <v>0</v>
      </c>
      <c r="BZ17" s="500">
        <v>19300</v>
      </c>
      <c r="CA17" s="500">
        <v>0</v>
      </c>
      <c r="CB17" s="500">
        <v>12872.4</v>
      </c>
      <c r="CC17" s="501">
        <f t="shared" si="8"/>
        <v>32172.400000000001</v>
      </c>
      <c r="CD17" s="500">
        <f t="shared" si="9"/>
        <v>-7085.1500000000015</v>
      </c>
      <c r="CE17" s="224">
        <f t="shared" si="10"/>
        <v>-0.15000000000145519</v>
      </c>
      <c r="CF17" s="224">
        <f t="shared" si="2"/>
        <v>150289.93999999986</v>
      </c>
      <c r="CI17" t="e">
        <f>_xlfn.XLOOKUP(D17,#REF!,#REF!)</f>
        <v>#REF!</v>
      </c>
      <c r="CJ17" t="e">
        <f>_xlfn.XLOOKUP(D17,#REF!,#REF!)</f>
        <v>#REF!</v>
      </c>
      <c r="CK17" t="e">
        <f t="shared" si="11"/>
        <v>#REF!</v>
      </c>
      <c r="CM17" s="224" t="e">
        <f t="shared" si="12"/>
        <v>#REF!</v>
      </c>
      <c r="CN17" s="224" t="e">
        <f t="shared" si="13"/>
        <v>#REF!</v>
      </c>
      <c r="CO17" s="224" t="e">
        <f t="shared" si="13"/>
        <v>#REF!</v>
      </c>
    </row>
    <row r="18" spans="1:93">
      <c r="A18" t="s">
        <v>141</v>
      </c>
      <c r="B18" t="s">
        <v>129</v>
      </c>
      <c r="C18">
        <v>101264</v>
      </c>
      <c r="D18" s="3">
        <v>3022009</v>
      </c>
      <c r="E18" s="3">
        <v>2009</v>
      </c>
      <c r="F18">
        <v>10048</v>
      </c>
      <c r="G18">
        <v>90048</v>
      </c>
      <c r="H18">
        <v>938609</v>
      </c>
      <c r="I18">
        <v>-27544</v>
      </c>
      <c r="J18">
        <v>0</v>
      </c>
      <c r="K18">
        <v>-27544</v>
      </c>
      <c r="L18" s="500">
        <v>2442711.52</v>
      </c>
      <c r="M18" s="500">
        <v>0</v>
      </c>
      <c r="N18" s="500">
        <v>213143.52</v>
      </c>
      <c r="O18" s="500">
        <v>0</v>
      </c>
      <c r="P18" s="500">
        <v>126900.25</v>
      </c>
      <c r="Q18" s="500">
        <v>2300</v>
      </c>
      <c r="R18" s="500">
        <v>76337.25</v>
      </c>
      <c r="S18" s="500">
        <v>9810</v>
      </c>
      <c r="T18" s="500">
        <v>233047.56</v>
      </c>
      <c r="U18" s="500">
        <v>14047.41</v>
      </c>
      <c r="V18" s="500">
        <v>0</v>
      </c>
      <c r="W18" s="500">
        <v>0</v>
      </c>
      <c r="X18" s="500">
        <v>63440.65</v>
      </c>
      <c r="Y18" s="500">
        <v>12341.21</v>
      </c>
      <c r="Z18" s="500">
        <v>0</v>
      </c>
      <c r="AA18" s="500">
        <v>0</v>
      </c>
      <c r="AB18" s="500">
        <v>0</v>
      </c>
      <c r="AC18" s="500">
        <v>0</v>
      </c>
      <c r="AD18" s="500">
        <v>0</v>
      </c>
      <c r="AE18" s="500">
        <v>13774.689999999999</v>
      </c>
      <c r="AF18" s="500">
        <v>84774</v>
      </c>
      <c r="AG18" s="501">
        <f t="shared" si="3"/>
        <v>3292628.06</v>
      </c>
      <c r="AH18" s="500">
        <v>1520070.33</v>
      </c>
      <c r="AI18" s="500">
        <v>0</v>
      </c>
      <c r="AJ18" s="500">
        <v>645476.41</v>
      </c>
      <c r="AK18" s="500">
        <v>47187.199999999997</v>
      </c>
      <c r="AL18" s="500">
        <v>128506.85</v>
      </c>
      <c r="AM18" s="500">
        <v>0</v>
      </c>
      <c r="AN18" s="500">
        <v>132162.95000000001</v>
      </c>
      <c r="AO18" s="500">
        <v>12865.01</v>
      </c>
      <c r="AP18" s="500">
        <v>10292.18</v>
      </c>
      <c r="AQ18" s="500">
        <v>702.18</v>
      </c>
      <c r="AR18" s="500">
        <v>0</v>
      </c>
      <c r="AS18" s="500">
        <v>22155.86</v>
      </c>
      <c r="AT18" s="500">
        <v>23881.84</v>
      </c>
      <c r="AU18" s="500">
        <v>48702.64</v>
      </c>
      <c r="AV18" s="500">
        <v>8467.65</v>
      </c>
      <c r="AW18" s="500">
        <v>50840.4</v>
      </c>
      <c r="AX18" s="500">
        <v>39900</v>
      </c>
      <c r="AY18" s="500">
        <v>19903.419999999998</v>
      </c>
      <c r="AZ18" s="500">
        <v>111662.10999999999</v>
      </c>
      <c r="BA18" s="500">
        <v>12782.84</v>
      </c>
      <c r="BB18" s="500">
        <v>0</v>
      </c>
      <c r="BC18" s="500">
        <v>31335.759999999998</v>
      </c>
      <c r="BD18" s="500">
        <v>19215.27</v>
      </c>
      <c r="BE18" s="500">
        <v>32002.16</v>
      </c>
      <c r="BF18" s="500">
        <v>121055.88</v>
      </c>
      <c r="BG18" s="500">
        <v>73735.67</v>
      </c>
      <c r="BH18" s="500">
        <v>226293.05</v>
      </c>
      <c r="BI18" s="500">
        <v>34565.61</v>
      </c>
      <c r="BJ18" s="500">
        <v>0</v>
      </c>
      <c r="BK18" s="500">
        <v>0</v>
      </c>
      <c r="BL18" s="500">
        <v>4181</v>
      </c>
      <c r="BM18" s="500">
        <v>0</v>
      </c>
      <c r="BN18" s="500">
        <v>0</v>
      </c>
      <c r="BO18" s="501">
        <f t="shared" si="4"/>
        <v>3377944.2699999996</v>
      </c>
      <c r="BP18" s="501">
        <f t="shared" si="5"/>
        <v>-85316.209999999497</v>
      </c>
      <c r="BQ18" s="501">
        <f t="shared" si="0"/>
        <v>-112860.2099999995</v>
      </c>
      <c r="BR18" s="501">
        <f t="shared" si="6"/>
        <v>0</v>
      </c>
      <c r="BS18" s="501">
        <f t="shared" si="1"/>
        <v>-112860.2099999995</v>
      </c>
      <c r="BT18" s="500">
        <v>15377</v>
      </c>
      <c r="BU18" s="500">
        <v>9053.58</v>
      </c>
      <c r="BV18" s="500">
        <v>0</v>
      </c>
      <c r="BW18" s="500">
        <v>4181</v>
      </c>
      <c r="BX18" s="501">
        <f t="shared" si="7"/>
        <v>13234.58</v>
      </c>
      <c r="BY18" s="500">
        <v>0</v>
      </c>
      <c r="BZ18" s="500">
        <v>8650</v>
      </c>
      <c r="CA18" s="500">
        <v>0</v>
      </c>
      <c r="CB18" s="500">
        <v>19962.240000000002</v>
      </c>
      <c r="CC18" s="501">
        <f t="shared" si="8"/>
        <v>28612.240000000002</v>
      </c>
      <c r="CD18" s="500">
        <f t="shared" si="9"/>
        <v>-15377.660000000002</v>
      </c>
      <c r="CE18" s="224">
        <f t="shared" si="10"/>
        <v>-0.66000000000167347</v>
      </c>
      <c r="CF18" s="224">
        <f t="shared" si="2"/>
        <v>-112860.8699999995</v>
      </c>
      <c r="CI18" t="e">
        <f>_xlfn.XLOOKUP(D18,#REF!,#REF!)</f>
        <v>#REF!</v>
      </c>
      <c r="CJ18" t="e">
        <f>_xlfn.XLOOKUP(D18,#REF!,#REF!)</f>
        <v>#REF!</v>
      </c>
      <c r="CK18" t="e">
        <f t="shared" si="11"/>
        <v>#REF!</v>
      </c>
      <c r="CM18" s="224" t="e">
        <f t="shared" si="12"/>
        <v>#REF!</v>
      </c>
      <c r="CN18" s="224" t="e">
        <f t="shared" si="13"/>
        <v>#REF!</v>
      </c>
      <c r="CO18" s="224" t="e">
        <f t="shared" si="13"/>
        <v>#REF!</v>
      </c>
    </row>
    <row r="19" spans="1:93">
      <c r="A19" t="s">
        <v>142</v>
      </c>
      <c r="B19" t="s">
        <v>129</v>
      </c>
      <c r="C19">
        <v>101309</v>
      </c>
      <c r="D19" s="3">
        <v>3022067</v>
      </c>
      <c r="E19" s="3">
        <v>2067</v>
      </c>
      <c r="F19">
        <v>10118</v>
      </c>
      <c r="G19">
        <v>90118</v>
      </c>
      <c r="H19">
        <v>938642</v>
      </c>
      <c r="I19">
        <v>27365</v>
      </c>
      <c r="J19">
        <v>0</v>
      </c>
      <c r="K19">
        <v>27365</v>
      </c>
      <c r="L19" s="500">
        <v>1349076.6700000002</v>
      </c>
      <c r="M19" s="500">
        <v>0</v>
      </c>
      <c r="N19" s="500">
        <v>389581.82</v>
      </c>
      <c r="O19" s="500">
        <v>0</v>
      </c>
      <c r="P19" s="500">
        <v>58200</v>
      </c>
      <c r="Q19" s="500">
        <v>8059.9999999999991</v>
      </c>
      <c r="R19" s="500">
        <v>79617.34</v>
      </c>
      <c r="S19" s="500">
        <v>11678.8</v>
      </c>
      <c r="T19" s="500">
        <v>22563.21</v>
      </c>
      <c r="U19" s="500">
        <v>7643.41</v>
      </c>
      <c r="V19" s="500">
        <v>0</v>
      </c>
      <c r="W19" s="500">
        <v>0</v>
      </c>
      <c r="X19" s="500">
        <v>21549.49</v>
      </c>
      <c r="Y19" s="500">
        <v>4055.42</v>
      </c>
      <c r="Z19" s="500">
        <v>0</v>
      </c>
      <c r="AA19" s="500">
        <v>0</v>
      </c>
      <c r="AB19" s="500">
        <v>0</v>
      </c>
      <c r="AC19" s="500">
        <v>0</v>
      </c>
      <c r="AD19" s="500">
        <v>0</v>
      </c>
      <c r="AE19" s="500">
        <v>0</v>
      </c>
      <c r="AF19" s="500">
        <v>62891.43</v>
      </c>
      <c r="AG19" s="501">
        <f t="shared" si="3"/>
        <v>2014917.59</v>
      </c>
      <c r="AH19" s="500">
        <v>906372</v>
      </c>
      <c r="AI19" s="500">
        <v>0</v>
      </c>
      <c r="AJ19" s="500">
        <v>372008.81</v>
      </c>
      <c r="AK19" s="500">
        <v>35810.339999999997</v>
      </c>
      <c r="AL19" s="500">
        <v>83985.74</v>
      </c>
      <c r="AM19" s="500">
        <v>0</v>
      </c>
      <c r="AN19" s="500">
        <v>9898.7199999999993</v>
      </c>
      <c r="AO19" s="500">
        <v>6752.79</v>
      </c>
      <c r="AP19" s="500">
        <v>930</v>
      </c>
      <c r="AQ19" s="500">
        <v>363.54</v>
      </c>
      <c r="AR19" s="500">
        <v>34.85</v>
      </c>
      <c r="AS19" s="500">
        <v>20285.04</v>
      </c>
      <c r="AT19" s="500">
        <v>9426.5400000000009</v>
      </c>
      <c r="AU19" s="500">
        <v>37884.36</v>
      </c>
      <c r="AV19" s="500">
        <v>2378.0700000000002</v>
      </c>
      <c r="AW19" s="500">
        <v>40869.300000000003</v>
      </c>
      <c r="AX19" s="500">
        <v>29785.87</v>
      </c>
      <c r="AY19" s="500">
        <v>12816</v>
      </c>
      <c r="AZ19" s="500">
        <v>67012.820000000007</v>
      </c>
      <c r="BA19" s="500">
        <v>20570</v>
      </c>
      <c r="BB19" s="500">
        <v>0</v>
      </c>
      <c r="BC19" s="500">
        <v>12241.4</v>
      </c>
      <c r="BD19" s="500">
        <v>8516.91</v>
      </c>
      <c r="BE19" s="500">
        <v>6247.07</v>
      </c>
      <c r="BF19" s="500">
        <v>75812.679999999993</v>
      </c>
      <c r="BG19" s="500">
        <v>49478.62</v>
      </c>
      <c r="BH19" s="500">
        <v>247559.57</v>
      </c>
      <c r="BI19" s="500">
        <v>25256.18</v>
      </c>
      <c r="BJ19" s="500">
        <v>0</v>
      </c>
      <c r="BK19" s="500">
        <v>0</v>
      </c>
      <c r="BL19" s="500">
        <v>0</v>
      </c>
      <c r="BM19" s="500">
        <v>0</v>
      </c>
      <c r="BN19" s="500">
        <v>0</v>
      </c>
      <c r="BO19" s="501">
        <f t="shared" si="4"/>
        <v>2082297.2200000007</v>
      </c>
      <c r="BP19" s="501">
        <f t="shared" si="5"/>
        <v>-67379.630000000587</v>
      </c>
      <c r="BQ19" s="501">
        <f t="shared" si="0"/>
        <v>-40014.630000000587</v>
      </c>
      <c r="BR19" s="501">
        <f t="shared" si="6"/>
        <v>0</v>
      </c>
      <c r="BS19" s="501">
        <f t="shared" si="1"/>
        <v>-40014.630000000587</v>
      </c>
      <c r="BT19" s="500">
        <v>20908</v>
      </c>
      <c r="BU19" s="500">
        <v>6508.75</v>
      </c>
      <c r="BV19" s="500">
        <v>0</v>
      </c>
      <c r="BW19" s="500">
        <v>0</v>
      </c>
      <c r="BX19" s="501">
        <f t="shared" si="7"/>
        <v>6508.75</v>
      </c>
      <c r="BY19" s="500">
        <v>0</v>
      </c>
      <c r="BZ19" s="500">
        <v>14568.55</v>
      </c>
      <c r="CA19" s="500">
        <v>0</v>
      </c>
      <c r="CB19" s="500">
        <v>0</v>
      </c>
      <c r="CC19" s="501">
        <f t="shared" si="8"/>
        <v>14568.55</v>
      </c>
      <c r="CD19" s="500">
        <f t="shared" si="9"/>
        <v>-8059.7999999999993</v>
      </c>
      <c r="CE19" s="224">
        <f t="shared" si="10"/>
        <v>12848.2</v>
      </c>
      <c r="CF19" s="224">
        <f t="shared" si="2"/>
        <v>-27166.430000000586</v>
      </c>
      <c r="CI19" t="e">
        <f>_xlfn.XLOOKUP(D19,#REF!,#REF!)</f>
        <v>#REF!</v>
      </c>
      <c r="CJ19" t="e">
        <f>_xlfn.XLOOKUP(D19,#REF!,#REF!)</f>
        <v>#REF!</v>
      </c>
      <c r="CK19" t="e">
        <f t="shared" si="11"/>
        <v>#REF!</v>
      </c>
      <c r="CM19" s="224" t="e">
        <f t="shared" si="12"/>
        <v>#REF!</v>
      </c>
      <c r="CN19" s="224" t="e">
        <f t="shared" si="13"/>
        <v>#REF!</v>
      </c>
      <c r="CO19" s="224" t="e">
        <f t="shared" si="13"/>
        <v>#REF!</v>
      </c>
    </row>
    <row r="20" spans="1:93">
      <c r="A20" t="s">
        <v>143</v>
      </c>
      <c r="B20" t="s">
        <v>129</v>
      </c>
      <c r="C20">
        <v>101316</v>
      </c>
      <c r="D20" s="3">
        <v>3023302</v>
      </c>
      <c r="E20" s="3">
        <v>3302</v>
      </c>
      <c r="F20">
        <v>10050</v>
      </c>
      <c r="G20">
        <v>90050</v>
      </c>
      <c r="H20">
        <v>938653</v>
      </c>
      <c r="I20">
        <v>367095</v>
      </c>
      <c r="J20">
        <v>0</v>
      </c>
      <c r="K20">
        <v>367095</v>
      </c>
      <c r="L20" s="500">
        <v>1171653.19</v>
      </c>
      <c r="M20" s="500">
        <v>0</v>
      </c>
      <c r="N20" s="500">
        <v>74150.7</v>
      </c>
      <c r="O20" s="500">
        <v>0</v>
      </c>
      <c r="P20" s="500">
        <v>41054.97</v>
      </c>
      <c r="Q20" s="500">
        <v>19072.990000000002</v>
      </c>
      <c r="R20" s="500">
        <v>32638.560000000001</v>
      </c>
      <c r="S20" s="500">
        <v>8077.75</v>
      </c>
      <c r="T20" s="500">
        <v>50022.11</v>
      </c>
      <c r="U20" s="500">
        <v>13466.5</v>
      </c>
      <c r="V20" s="500">
        <v>0</v>
      </c>
      <c r="W20" s="500">
        <v>5040</v>
      </c>
      <c r="X20" s="500">
        <v>54861.46</v>
      </c>
      <c r="Y20" s="500">
        <v>34874.949999999997</v>
      </c>
      <c r="Z20" s="500">
        <v>0</v>
      </c>
      <c r="AA20" s="500">
        <v>0</v>
      </c>
      <c r="AB20" s="500">
        <v>0</v>
      </c>
      <c r="AC20" s="500">
        <v>0</v>
      </c>
      <c r="AD20" s="500">
        <v>0</v>
      </c>
      <c r="AE20" s="500">
        <v>6023.75</v>
      </c>
      <c r="AF20" s="500">
        <v>57977</v>
      </c>
      <c r="AG20" s="501">
        <f t="shared" si="3"/>
        <v>1568913.93</v>
      </c>
      <c r="AH20" s="500">
        <v>750594.82</v>
      </c>
      <c r="AI20" s="500">
        <v>0</v>
      </c>
      <c r="AJ20" s="500">
        <v>312595.24</v>
      </c>
      <c r="AK20" s="500">
        <v>44784.42</v>
      </c>
      <c r="AL20" s="500">
        <v>62848.02</v>
      </c>
      <c r="AM20" s="500">
        <v>0</v>
      </c>
      <c r="AN20" s="500">
        <v>42733.02</v>
      </c>
      <c r="AO20" s="500">
        <v>2378.3000000000002</v>
      </c>
      <c r="AP20" s="500">
        <v>3591.91</v>
      </c>
      <c r="AQ20" s="500">
        <v>8508.69</v>
      </c>
      <c r="AR20" s="500">
        <v>0</v>
      </c>
      <c r="AS20" s="500">
        <v>18303.419999999998</v>
      </c>
      <c r="AT20" s="500">
        <v>639.03</v>
      </c>
      <c r="AU20" s="500">
        <v>19985.32</v>
      </c>
      <c r="AV20" s="500">
        <v>1552.05</v>
      </c>
      <c r="AW20" s="500">
        <v>35969.660000000003</v>
      </c>
      <c r="AX20" s="500">
        <v>4710.29</v>
      </c>
      <c r="AY20" s="500">
        <v>2672.54</v>
      </c>
      <c r="AZ20" s="500">
        <v>97798.98</v>
      </c>
      <c r="BA20" s="500">
        <v>13883.04</v>
      </c>
      <c r="BB20" s="500">
        <v>0</v>
      </c>
      <c r="BC20" s="500">
        <v>7031.76</v>
      </c>
      <c r="BD20" s="500">
        <v>11258.15</v>
      </c>
      <c r="BE20" s="500">
        <v>13881.66</v>
      </c>
      <c r="BF20" s="500">
        <v>82913.440000000002</v>
      </c>
      <c r="BG20" s="500">
        <v>179</v>
      </c>
      <c r="BH20" s="500">
        <v>25796.32</v>
      </c>
      <c r="BI20" s="500">
        <v>23763.95</v>
      </c>
      <c r="BJ20" s="500">
        <v>0</v>
      </c>
      <c r="BK20" s="500">
        <v>0</v>
      </c>
      <c r="BL20" s="500">
        <v>0</v>
      </c>
      <c r="BM20" s="500">
        <v>0</v>
      </c>
      <c r="BN20" s="500">
        <v>0</v>
      </c>
      <c r="BO20" s="501">
        <f t="shared" si="4"/>
        <v>1588373.0299999998</v>
      </c>
      <c r="BP20" s="501">
        <f t="shared" si="5"/>
        <v>-19459.09999999986</v>
      </c>
      <c r="BQ20" s="501">
        <f t="shared" si="0"/>
        <v>347635.90000000014</v>
      </c>
      <c r="BR20" s="501">
        <f t="shared" si="6"/>
        <v>0</v>
      </c>
      <c r="BS20" s="501">
        <f t="shared" si="1"/>
        <v>347635.90000000014</v>
      </c>
      <c r="BT20" s="500">
        <v>0</v>
      </c>
      <c r="BU20" s="500"/>
      <c r="BV20" s="500"/>
      <c r="BW20" s="500"/>
      <c r="BX20" s="501">
        <f t="shared" si="7"/>
        <v>0</v>
      </c>
      <c r="BY20" s="500"/>
      <c r="BZ20" s="500"/>
      <c r="CA20" s="500"/>
      <c r="CB20" s="500"/>
      <c r="CC20" s="501">
        <f t="shared" si="8"/>
        <v>0</v>
      </c>
      <c r="CD20" s="500">
        <f t="shared" si="9"/>
        <v>0</v>
      </c>
      <c r="CE20" s="224">
        <f t="shared" si="10"/>
        <v>0</v>
      </c>
      <c r="CF20" s="224">
        <f t="shared" si="2"/>
        <v>347635.90000000014</v>
      </c>
      <c r="CI20" t="e">
        <f>_xlfn.XLOOKUP(D20,#REF!,#REF!)</f>
        <v>#REF!</v>
      </c>
      <c r="CJ20" t="e">
        <f>_xlfn.XLOOKUP(D20,#REF!,#REF!)</f>
        <v>#REF!</v>
      </c>
      <c r="CK20" t="e">
        <f t="shared" si="11"/>
        <v>#REF!</v>
      </c>
      <c r="CM20" s="224" t="e">
        <f t="shared" si="12"/>
        <v>#REF!</v>
      </c>
      <c r="CN20" s="224" t="e">
        <f t="shared" si="13"/>
        <v>#REF!</v>
      </c>
      <c r="CO20" s="224" t="e">
        <f t="shared" si="13"/>
        <v>#REF!</v>
      </c>
    </row>
    <row r="21" spans="1:93" s="502" customFormat="1">
      <c r="A21" s="502" t="s">
        <v>144</v>
      </c>
      <c r="B21" s="502" t="s">
        <v>129</v>
      </c>
      <c r="C21" s="502">
        <v>101266</v>
      </c>
      <c r="D21" s="503">
        <v>3022011</v>
      </c>
      <c r="E21" s="503">
        <v>2011</v>
      </c>
      <c r="F21" s="502">
        <v>10051</v>
      </c>
      <c r="G21" s="502">
        <v>90051</v>
      </c>
      <c r="H21" s="502">
        <v>938611</v>
      </c>
      <c r="I21" s="502">
        <v>-166091</v>
      </c>
      <c r="J21" s="502">
        <v>0</v>
      </c>
      <c r="K21" s="502">
        <v>-166091</v>
      </c>
      <c r="L21" s="504">
        <v>1161694.8600000001</v>
      </c>
      <c r="M21" s="504">
        <v>0</v>
      </c>
      <c r="N21" s="504">
        <v>58311.65</v>
      </c>
      <c r="O21" s="504">
        <v>0</v>
      </c>
      <c r="P21" s="504">
        <v>57524.99</v>
      </c>
      <c r="Q21" s="504">
        <v>4777.68</v>
      </c>
      <c r="R21" s="504">
        <v>39451.880000000005</v>
      </c>
      <c r="S21" s="504">
        <v>7060.63</v>
      </c>
      <c r="T21" s="504">
        <v>65916.97</v>
      </c>
      <c r="U21" s="504">
        <v>8725.91</v>
      </c>
      <c r="V21" s="504">
        <v>0</v>
      </c>
      <c r="W21" s="504">
        <v>0</v>
      </c>
      <c r="X21" s="504">
        <v>26707.79</v>
      </c>
      <c r="Y21" s="504">
        <v>2177.3000000000002</v>
      </c>
      <c r="Z21" s="504">
        <v>0</v>
      </c>
      <c r="AA21" s="504">
        <v>0</v>
      </c>
      <c r="AB21" s="504">
        <v>0</v>
      </c>
      <c r="AC21" s="504">
        <v>0</v>
      </c>
      <c r="AD21" s="504">
        <v>0</v>
      </c>
      <c r="AE21" s="504">
        <v>5183.75</v>
      </c>
      <c r="AF21" s="504">
        <v>51795</v>
      </c>
      <c r="AG21" s="505">
        <f t="shared" si="3"/>
        <v>1489328.41</v>
      </c>
      <c r="AH21" s="504">
        <v>653656.26</v>
      </c>
      <c r="AI21" s="504">
        <v>0</v>
      </c>
      <c r="AJ21" s="504">
        <v>290376.03999999998</v>
      </c>
      <c r="AK21" s="504">
        <v>51494.93</v>
      </c>
      <c r="AL21" s="504">
        <v>74030.600000000006</v>
      </c>
      <c r="AM21" s="504">
        <v>0</v>
      </c>
      <c r="AN21" s="504">
        <v>77344.66</v>
      </c>
      <c r="AO21" s="504">
        <v>8061.57</v>
      </c>
      <c r="AP21" s="504">
        <v>2919.03</v>
      </c>
      <c r="AQ21" s="504">
        <v>350.26</v>
      </c>
      <c r="AR21" s="504">
        <v>0</v>
      </c>
      <c r="AS21" s="504">
        <v>20184.68</v>
      </c>
      <c r="AT21" s="504">
        <v>5302.29</v>
      </c>
      <c r="AU21" s="504">
        <v>21848.47</v>
      </c>
      <c r="AV21" s="504">
        <v>2030.17</v>
      </c>
      <c r="AW21" s="504">
        <v>51631.3</v>
      </c>
      <c r="AX21" s="504">
        <v>21036.62</v>
      </c>
      <c r="AY21" s="504">
        <v>10178.959999999999</v>
      </c>
      <c r="AZ21" s="504">
        <v>49645.75</v>
      </c>
      <c r="BA21" s="504">
        <v>7281.33</v>
      </c>
      <c r="BB21" s="504">
        <v>0</v>
      </c>
      <c r="BC21" s="504">
        <v>14303.22</v>
      </c>
      <c r="BD21" s="504">
        <v>11124.69</v>
      </c>
      <c r="BE21" s="504">
        <v>18041.419999999998</v>
      </c>
      <c r="BF21" s="504">
        <v>66401.01999999999</v>
      </c>
      <c r="BG21" s="504">
        <v>18907.97</v>
      </c>
      <c r="BH21" s="504">
        <v>43918.64</v>
      </c>
      <c r="BI21" s="504">
        <v>21820.11</v>
      </c>
      <c r="BJ21" s="504">
        <v>0</v>
      </c>
      <c r="BK21" s="504">
        <v>0</v>
      </c>
      <c r="BL21" s="504">
        <v>0</v>
      </c>
      <c r="BM21" s="504">
        <v>0</v>
      </c>
      <c r="BN21" s="504">
        <v>0</v>
      </c>
      <c r="BO21" s="505">
        <f t="shared" si="4"/>
        <v>1541889.99</v>
      </c>
      <c r="BP21" s="505">
        <f t="shared" si="5"/>
        <v>-52561.580000000075</v>
      </c>
      <c r="BQ21" s="505">
        <f t="shared" si="0"/>
        <v>-218652.58000000007</v>
      </c>
      <c r="BR21" s="505">
        <f t="shared" si="6"/>
        <v>0</v>
      </c>
      <c r="BS21" s="505">
        <f t="shared" si="1"/>
        <v>-218652.58000000007</v>
      </c>
      <c r="BT21" s="504">
        <v>23401</v>
      </c>
      <c r="BU21" s="504">
        <v>6362.5</v>
      </c>
      <c r="BV21" s="504">
        <v>7416.07</v>
      </c>
      <c r="BW21" s="504">
        <v>0</v>
      </c>
      <c r="BX21" s="505">
        <f t="shared" si="7"/>
        <v>13778.57</v>
      </c>
      <c r="BY21" s="504">
        <v>0</v>
      </c>
      <c r="BZ21" s="504">
        <v>22706.880000000001</v>
      </c>
      <c r="CA21" s="504">
        <v>0</v>
      </c>
      <c r="CB21" s="504">
        <v>0</v>
      </c>
      <c r="CC21" s="505">
        <f t="shared" si="8"/>
        <v>22706.880000000001</v>
      </c>
      <c r="CD21" s="504">
        <f t="shared" si="9"/>
        <v>-8928.3100000000013</v>
      </c>
      <c r="CE21" s="506">
        <f t="shared" si="10"/>
        <v>14472.689999999999</v>
      </c>
      <c r="CF21" s="506">
        <f t="shared" si="2"/>
        <v>-204179.89000000007</v>
      </c>
      <c r="CI21" s="502" t="e">
        <f>_xlfn.XLOOKUP(D21,#REF!,#REF!)</f>
        <v>#REF!</v>
      </c>
      <c r="CJ21" s="502" t="e">
        <f>_xlfn.XLOOKUP(D21,#REF!,#REF!)</f>
        <v>#REF!</v>
      </c>
      <c r="CK21" s="502" t="e">
        <f t="shared" si="11"/>
        <v>#REF!</v>
      </c>
      <c r="CM21" s="506" t="e">
        <f t="shared" si="12"/>
        <v>#REF!</v>
      </c>
      <c r="CN21" s="506" t="e">
        <f t="shared" si="13"/>
        <v>#REF!</v>
      </c>
      <c r="CO21" s="506" t="e">
        <f t="shared" si="13"/>
        <v>#REF!</v>
      </c>
    </row>
    <row r="22" spans="1:93">
      <c r="A22" t="s">
        <v>145</v>
      </c>
      <c r="B22" t="s">
        <v>129</v>
      </c>
      <c r="C22">
        <v>101269</v>
      </c>
      <c r="D22" s="3">
        <v>3022014</v>
      </c>
      <c r="E22" s="3">
        <v>2014</v>
      </c>
      <c r="F22">
        <v>10054</v>
      </c>
      <c r="G22">
        <v>90054</v>
      </c>
      <c r="H22">
        <v>938612</v>
      </c>
      <c r="I22">
        <v>196167</v>
      </c>
      <c r="J22">
        <v>0</v>
      </c>
      <c r="K22">
        <v>196167</v>
      </c>
      <c r="L22" s="500">
        <v>3871561.24</v>
      </c>
      <c r="M22" s="500">
        <v>0</v>
      </c>
      <c r="N22" s="500">
        <v>287539.99</v>
      </c>
      <c r="O22" s="500">
        <v>0</v>
      </c>
      <c r="P22" s="500">
        <v>276069.98</v>
      </c>
      <c r="Q22" s="500">
        <v>9770.4</v>
      </c>
      <c r="R22" s="500">
        <v>76276.11</v>
      </c>
      <c r="S22" s="500">
        <v>45804.79</v>
      </c>
      <c r="T22" s="500">
        <v>18317</v>
      </c>
      <c r="U22" s="500">
        <v>14635.96</v>
      </c>
      <c r="V22" s="500">
        <v>0</v>
      </c>
      <c r="W22" s="500">
        <v>0</v>
      </c>
      <c r="X22" s="500">
        <v>91178.44</v>
      </c>
      <c r="Y22" s="500">
        <v>420</v>
      </c>
      <c r="Z22" s="500">
        <v>0</v>
      </c>
      <c r="AA22" s="500">
        <v>0</v>
      </c>
      <c r="AB22" s="500">
        <v>0</v>
      </c>
      <c r="AC22" s="500">
        <v>0</v>
      </c>
      <c r="AD22" s="500">
        <v>0</v>
      </c>
      <c r="AE22" s="500">
        <v>50467.38</v>
      </c>
      <c r="AF22" s="500">
        <v>102212</v>
      </c>
      <c r="AG22" s="501">
        <f t="shared" si="3"/>
        <v>4844253.2900000019</v>
      </c>
      <c r="AH22" s="500">
        <v>2095662.94</v>
      </c>
      <c r="AI22" s="500">
        <v>0</v>
      </c>
      <c r="AJ22" s="500">
        <v>1135822.3600000001</v>
      </c>
      <c r="AK22" s="500">
        <v>131537.14000000001</v>
      </c>
      <c r="AL22" s="500">
        <v>173558.23</v>
      </c>
      <c r="AM22" s="500">
        <v>0</v>
      </c>
      <c r="AN22" s="500">
        <v>107155.53</v>
      </c>
      <c r="AO22" s="500">
        <v>33872.629999999997</v>
      </c>
      <c r="AP22" s="500">
        <v>4496.34</v>
      </c>
      <c r="AQ22" s="500">
        <v>1039.1600000000001</v>
      </c>
      <c r="AR22" s="500">
        <v>1951</v>
      </c>
      <c r="AS22" s="500">
        <v>144542.70000000001</v>
      </c>
      <c r="AT22" s="500">
        <v>22259.200000000001</v>
      </c>
      <c r="AU22" s="500">
        <v>33991.4</v>
      </c>
      <c r="AV22" s="500">
        <v>12885.18</v>
      </c>
      <c r="AW22" s="500">
        <v>216803.97</v>
      </c>
      <c r="AX22" s="500">
        <v>111839.8</v>
      </c>
      <c r="AY22" s="500">
        <v>33837.99</v>
      </c>
      <c r="AZ22" s="500">
        <v>79265.39</v>
      </c>
      <c r="BA22" s="500">
        <v>34135.370000000003</v>
      </c>
      <c r="BB22" s="500">
        <v>0</v>
      </c>
      <c r="BC22" s="500">
        <v>59621.91</v>
      </c>
      <c r="BD22" s="500">
        <v>26495.14</v>
      </c>
      <c r="BE22" s="500">
        <v>7763.08</v>
      </c>
      <c r="BF22" s="500">
        <v>217199.06</v>
      </c>
      <c r="BG22" s="500">
        <v>28086.04</v>
      </c>
      <c r="BH22" s="500">
        <v>168245.63</v>
      </c>
      <c r="BI22" s="500">
        <v>77640.08</v>
      </c>
      <c r="BJ22" s="500">
        <v>0</v>
      </c>
      <c r="BK22" s="500">
        <v>0</v>
      </c>
      <c r="BL22" s="500">
        <v>0</v>
      </c>
      <c r="BM22" s="500">
        <v>0</v>
      </c>
      <c r="BN22" s="500">
        <v>0</v>
      </c>
      <c r="BO22" s="501">
        <f t="shared" si="4"/>
        <v>4959707.2699999996</v>
      </c>
      <c r="BP22" s="501">
        <f t="shared" si="5"/>
        <v>-115453.97999999765</v>
      </c>
      <c r="BQ22" s="501">
        <f t="shared" si="0"/>
        <v>80713.020000002347</v>
      </c>
      <c r="BR22" s="501">
        <f t="shared" si="6"/>
        <v>0</v>
      </c>
      <c r="BS22" s="501">
        <f t="shared" si="1"/>
        <v>80713.020000002347</v>
      </c>
      <c r="BT22" s="500">
        <v>4140</v>
      </c>
      <c r="BU22" s="500">
        <v>11653.83</v>
      </c>
      <c r="BV22" s="500">
        <v>0</v>
      </c>
      <c r="BW22" s="500">
        <v>0</v>
      </c>
      <c r="BX22" s="501">
        <f t="shared" si="7"/>
        <v>11653.83</v>
      </c>
      <c r="BY22" s="500">
        <v>0</v>
      </c>
      <c r="BZ22" s="500">
        <v>2742.33</v>
      </c>
      <c r="CA22" s="500">
        <v>7153</v>
      </c>
      <c r="CB22" s="500">
        <v>0</v>
      </c>
      <c r="CC22" s="501">
        <f t="shared" si="8"/>
        <v>9895.33</v>
      </c>
      <c r="CD22" s="500">
        <f t="shared" si="9"/>
        <v>1758.5</v>
      </c>
      <c r="CE22" s="224">
        <f t="shared" si="10"/>
        <v>5898.5</v>
      </c>
      <c r="CF22" s="224">
        <f t="shared" si="2"/>
        <v>86611.520000002347</v>
      </c>
      <c r="CI22" t="e">
        <f>_xlfn.XLOOKUP(D22,#REF!,#REF!)</f>
        <v>#REF!</v>
      </c>
      <c r="CJ22" t="e">
        <f>_xlfn.XLOOKUP(D22,#REF!,#REF!)</f>
        <v>#REF!</v>
      </c>
      <c r="CK22" t="e">
        <f t="shared" si="11"/>
        <v>#REF!</v>
      </c>
      <c r="CM22" s="224" t="e">
        <f t="shared" si="12"/>
        <v>#REF!</v>
      </c>
      <c r="CN22" s="224" t="e">
        <f t="shared" si="13"/>
        <v>#REF!</v>
      </c>
      <c r="CO22" s="224" t="e">
        <f t="shared" si="13"/>
        <v>#REF!</v>
      </c>
    </row>
    <row r="23" spans="1:93">
      <c r="A23" t="s">
        <v>146</v>
      </c>
      <c r="B23" t="s">
        <v>129</v>
      </c>
      <c r="C23">
        <v>101270</v>
      </c>
      <c r="D23" s="3">
        <v>3022015</v>
      </c>
      <c r="E23" s="3">
        <v>2015</v>
      </c>
      <c r="F23">
        <v>10055</v>
      </c>
      <c r="G23">
        <v>90055</v>
      </c>
      <c r="H23">
        <v>938613</v>
      </c>
      <c r="I23">
        <v>-104850</v>
      </c>
      <c r="J23">
        <v>45881</v>
      </c>
      <c r="K23">
        <v>-58969</v>
      </c>
      <c r="L23" s="500">
        <v>1674802.94</v>
      </c>
      <c r="M23" s="500">
        <v>0</v>
      </c>
      <c r="N23" s="500">
        <v>452182.56</v>
      </c>
      <c r="O23" s="500">
        <v>0</v>
      </c>
      <c r="P23" s="500">
        <v>116460.98</v>
      </c>
      <c r="Q23" s="500">
        <v>13805.71</v>
      </c>
      <c r="R23" s="500">
        <v>29396.3</v>
      </c>
      <c r="S23" s="500">
        <v>21285.06</v>
      </c>
      <c r="T23" s="500">
        <v>3546</v>
      </c>
      <c r="U23" s="500">
        <v>8755.7999999999993</v>
      </c>
      <c r="V23" s="500">
        <v>0</v>
      </c>
      <c r="W23" s="500">
        <v>0</v>
      </c>
      <c r="X23" s="500">
        <v>64729.51</v>
      </c>
      <c r="Y23" s="500">
        <v>7404.38</v>
      </c>
      <c r="Z23" s="500">
        <v>0</v>
      </c>
      <c r="AA23" s="500">
        <v>206786.9</v>
      </c>
      <c r="AB23" s="500">
        <v>0</v>
      </c>
      <c r="AC23" s="500">
        <v>129026.24000000001</v>
      </c>
      <c r="AD23" s="500">
        <v>0</v>
      </c>
      <c r="AE23" s="500">
        <v>0</v>
      </c>
      <c r="AF23" s="500">
        <v>0</v>
      </c>
      <c r="AG23" s="501">
        <f t="shared" si="3"/>
        <v>2728182.3799999994</v>
      </c>
      <c r="AH23" s="500">
        <v>631299.55000000005</v>
      </c>
      <c r="AI23" s="500">
        <v>0</v>
      </c>
      <c r="AJ23" s="500">
        <v>750211.02</v>
      </c>
      <c r="AK23" s="500">
        <v>50751.18</v>
      </c>
      <c r="AL23" s="500">
        <v>75803.289999999994</v>
      </c>
      <c r="AM23" s="500">
        <v>68923.960000000006</v>
      </c>
      <c r="AN23" s="500">
        <v>12279.24</v>
      </c>
      <c r="AO23" s="500">
        <v>13130.59</v>
      </c>
      <c r="AP23" s="500">
        <v>9558.5300000000007</v>
      </c>
      <c r="AQ23" s="500">
        <v>366.86</v>
      </c>
      <c r="AR23" s="500">
        <v>0</v>
      </c>
      <c r="AS23" s="500">
        <v>17565.59</v>
      </c>
      <c r="AT23" s="500">
        <v>6100.22</v>
      </c>
      <c r="AU23" s="500">
        <v>38844.870000000003</v>
      </c>
      <c r="AV23" s="500">
        <v>49982.409999999996</v>
      </c>
      <c r="AW23" s="500">
        <v>48986.82</v>
      </c>
      <c r="AX23" s="500">
        <v>42343.05</v>
      </c>
      <c r="AY23" s="500">
        <v>19061.060000000001</v>
      </c>
      <c r="AZ23" s="500">
        <v>66811.41</v>
      </c>
      <c r="BA23" s="500">
        <v>5742.6</v>
      </c>
      <c r="BB23" s="500">
        <v>0</v>
      </c>
      <c r="BC23" s="500">
        <v>23281.74</v>
      </c>
      <c r="BD23" s="500">
        <v>8662.69</v>
      </c>
      <c r="BE23" s="500">
        <v>8731.1200000000008</v>
      </c>
      <c r="BF23" s="500">
        <v>45577.61</v>
      </c>
      <c r="BG23" s="500">
        <v>271842.84000000003</v>
      </c>
      <c r="BH23" s="500">
        <v>212420.16</v>
      </c>
      <c r="BI23" s="500">
        <v>58011.1</v>
      </c>
      <c r="BJ23" s="500">
        <v>0</v>
      </c>
      <c r="BK23" s="500">
        <v>0</v>
      </c>
      <c r="BL23" s="500">
        <v>0</v>
      </c>
      <c r="BM23" s="500">
        <v>129911.86</v>
      </c>
      <c r="BN23" s="500">
        <v>34870.11</v>
      </c>
      <c r="BO23" s="501">
        <f t="shared" si="4"/>
        <v>2701071.4800000004</v>
      </c>
      <c r="BP23" s="501">
        <f t="shared" si="5"/>
        <v>27110.899999998976</v>
      </c>
      <c r="BQ23" s="501">
        <f t="shared" si="0"/>
        <v>-119744.03000000094</v>
      </c>
      <c r="BR23" s="501">
        <f t="shared" si="6"/>
        <v>87885.93</v>
      </c>
      <c r="BS23" s="501">
        <f t="shared" si="1"/>
        <v>-31858.100000001024</v>
      </c>
      <c r="BT23" s="500">
        <v>14819</v>
      </c>
      <c r="BU23" s="500">
        <v>6727</v>
      </c>
      <c r="BV23" s="500">
        <v>0</v>
      </c>
      <c r="BW23" s="500">
        <v>0</v>
      </c>
      <c r="BX23" s="501">
        <f t="shared" si="7"/>
        <v>6727</v>
      </c>
      <c r="BY23" s="500"/>
      <c r="BZ23" s="500"/>
      <c r="CA23" s="500"/>
      <c r="CB23" s="500"/>
      <c r="CC23" s="501">
        <f t="shared" si="8"/>
        <v>0</v>
      </c>
      <c r="CD23" s="500">
        <f t="shared" si="9"/>
        <v>6727</v>
      </c>
      <c r="CE23" s="224">
        <f t="shared" si="10"/>
        <v>21546</v>
      </c>
      <c r="CF23" s="224">
        <f t="shared" si="2"/>
        <v>-10312.100000001024</v>
      </c>
      <c r="CM23" s="224"/>
      <c r="CN23" s="224"/>
      <c r="CO23" s="224"/>
    </row>
    <row r="24" spans="1:93">
      <c r="A24" t="s">
        <v>147</v>
      </c>
      <c r="B24" t="s">
        <v>129</v>
      </c>
      <c r="C24">
        <v>101271</v>
      </c>
      <c r="D24" s="3">
        <v>3022016</v>
      </c>
      <c r="E24" s="3">
        <v>2016</v>
      </c>
      <c r="F24">
        <v>10056</v>
      </c>
      <c r="G24">
        <v>90056</v>
      </c>
      <c r="H24">
        <v>938614</v>
      </c>
      <c r="I24">
        <v>55752</v>
      </c>
      <c r="J24">
        <v>0</v>
      </c>
      <c r="K24">
        <v>55752</v>
      </c>
      <c r="L24" s="500">
        <v>1119617.44</v>
      </c>
      <c r="M24" s="500">
        <v>0</v>
      </c>
      <c r="N24" s="500">
        <v>44800.65</v>
      </c>
      <c r="O24" s="500">
        <v>0</v>
      </c>
      <c r="P24" s="500">
        <v>46314.98</v>
      </c>
      <c r="Q24" s="500">
        <v>1000</v>
      </c>
      <c r="R24" s="500">
        <v>32844.959999999999</v>
      </c>
      <c r="S24" s="500">
        <v>1939</v>
      </c>
      <c r="T24" s="500">
        <v>4115.62</v>
      </c>
      <c r="U24" s="500">
        <v>5649.98</v>
      </c>
      <c r="V24" s="500">
        <v>0</v>
      </c>
      <c r="W24" s="500">
        <v>0</v>
      </c>
      <c r="X24" s="500">
        <v>20239.259999999998</v>
      </c>
      <c r="Y24" s="500">
        <v>17993.560000000001</v>
      </c>
      <c r="Z24" s="500">
        <v>0</v>
      </c>
      <c r="AA24" s="500">
        <v>0</v>
      </c>
      <c r="AB24" s="500">
        <v>0</v>
      </c>
      <c r="AC24" s="500">
        <v>17814</v>
      </c>
      <c r="AD24" s="500">
        <v>43163.13</v>
      </c>
      <c r="AE24" s="500">
        <v>0</v>
      </c>
      <c r="AF24" s="500">
        <v>0</v>
      </c>
      <c r="AG24" s="501">
        <f t="shared" si="3"/>
        <v>1355492.5799999998</v>
      </c>
      <c r="AH24" s="500">
        <v>624288.27</v>
      </c>
      <c r="AI24" s="500">
        <v>5999.7</v>
      </c>
      <c r="AJ24" s="500">
        <v>240108.35</v>
      </c>
      <c r="AK24" s="500">
        <v>41596.18</v>
      </c>
      <c r="AL24" s="500">
        <v>74550.19</v>
      </c>
      <c r="AM24" s="500">
        <v>0</v>
      </c>
      <c r="AN24" s="500">
        <v>19402.68</v>
      </c>
      <c r="AO24" s="500">
        <v>6515.8</v>
      </c>
      <c r="AP24" s="500">
        <v>489</v>
      </c>
      <c r="AQ24" s="500">
        <v>348.6</v>
      </c>
      <c r="AR24" s="500">
        <v>0</v>
      </c>
      <c r="AS24" s="500">
        <v>5576.8</v>
      </c>
      <c r="AT24" s="500">
        <v>4982</v>
      </c>
      <c r="AU24" s="500">
        <v>23921.360000000001</v>
      </c>
      <c r="AV24" s="500">
        <v>5033.16</v>
      </c>
      <c r="AW24" s="500">
        <v>28371.46</v>
      </c>
      <c r="AX24" s="500">
        <v>25001.15</v>
      </c>
      <c r="AY24" s="500">
        <v>6968.94</v>
      </c>
      <c r="AZ24" s="500">
        <v>61938.070000000007</v>
      </c>
      <c r="BA24" s="500">
        <v>8198.57</v>
      </c>
      <c r="BB24" s="500">
        <v>0</v>
      </c>
      <c r="BC24" s="500">
        <v>9552.61</v>
      </c>
      <c r="BD24" s="500">
        <v>8166.9</v>
      </c>
      <c r="BE24" s="500">
        <v>2515</v>
      </c>
      <c r="BF24" s="500">
        <v>65607.12</v>
      </c>
      <c r="BG24" s="500">
        <v>13327.45</v>
      </c>
      <c r="BH24" s="500">
        <v>112684.72</v>
      </c>
      <c r="BI24" s="500">
        <v>22225.83</v>
      </c>
      <c r="BJ24" s="500">
        <v>0</v>
      </c>
      <c r="BK24" s="500">
        <v>0</v>
      </c>
      <c r="BL24" s="500">
        <v>0</v>
      </c>
      <c r="BM24" s="500">
        <v>0</v>
      </c>
      <c r="BN24" s="500">
        <v>0</v>
      </c>
      <c r="BO24" s="501">
        <f t="shared" si="4"/>
        <v>1417369.9100000001</v>
      </c>
      <c r="BP24" s="501">
        <f t="shared" si="5"/>
        <v>-61877.330000000307</v>
      </c>
      <c r="BQ24" s="501">
        <f t="shared" si="0"/>
        <v>-6125.3300000003073</v>
      </c>
      <c r="BR24" s="501">
        <f t="shared" si="6"/>
        <v>0</v>
      </c>
      <c r="BS24" s="501">
        <f t="shared" si="1"/>
        <v>-6125.3300000003073</v>
      </c>
      <c r="BT24" s="500">
        <v>23974</v>
      </c>
      <c r="BU24" s="500">
        <v>6351.25</v>
      </c>
      <c r="BV24" s="500">
        <v>20000</v>
      </c>
      <c r="BW24" s="500">
        <v>0</v>
      </c>
      <c r="BX24" s="501">
        <f t="shared" si="7"/>
        <v>26351.25</v>
      </c>
      <c r="BY24" s="500">
        <v>0</v>
      </c>
      <c r="BZ24" s="500">
        <v>20000</v>
      </c>
      <c r="CA24" s="500">
        <v>0</v>
      </c>
      <c r="CB24" s="500">
        <v>0</v>
      </c>
      <c r="CC24" s="501">
        <f t="shared" si="8"/>
        <v>20000</v>
      </c>
      <c r="CD24" s="500">
        <f t="shared" si="9"/>
        <v>6351.25</v>
      </c>
      <c r="CE24" s="224">
        <f t="shared" si="10"/>
        <v>30325.25</v>
      </c>
      <c r="CF24" s="224">
        <f t="shared" si="2"/>
        <v>24199.919999999693</v>
      </c>
      <c r="CI24" t="e">
        <f>_xlfn.XLOOKUP(D24,#REF!,#REF!)</f>
        <v>#REF!</v>
      </c>
      <c r="CJ24" t="e">
        <f>_xlfn.XLOOKUP(D24,#REF!,#REF!)</f>
        <v>#REF!</v>
      </c>
      <c r="CK24" t="e">
        <f t="shared" si="11"/>
        <v>#REF!</v>
      </c>
      <c r="CM24" s="224" t="e">
        <f t="shared" si="12"/>
        <v>#REF!</v>
      </c>
      <c r="CN24" s="224" t="e">
        <f t="shared" si="13"/>
        <v>#REF!</v>
      </c>
      <c r="CO24" s="224" t="e">
        <f t="shared" si="13"/>
        <v>#REF!</v>
      </c>
    </row>
    <row r="25" spans="1:93">
      <c r="A25" t="s">
        <v>148</v>
      </c>
      <c r="B25" t="s">
        <v>129</v>
      </c>
      <c r="C25">
        <v>101272</v>
      </c>
      <c r="D25" s="3">
        <v>3022017</v>
      </c>
      <c r="E25" s="3">
        <v>2017</v>
      </c>
      <c r="F25">
        <v>10057</v>
      </c>
      <c r="G25">
        <v>90057</v>
      </c>
      <c r="H25">
        <v>938615</v>
      </c>
      <c r="I25">
        <v>149442</v>
      </c>
      <c r="J25">
        <v>0</v>
      </c>
      <c r="K25">
        <v>149442</v>
      </c>
      <c r="L25" s="500">
        <v>2159078</v>
      </c>
      <c r="M25" s="500">
        <v>0</v>
      </c>
      <c r="N25" s="500">
        <v>136602</v>
      </c>
      <c r="O25" s="500">
        <v>0</v>
      </c>
      <c r="P25" s="500">
        <v>130570</v>
      </c>
      <c r="Q25" s="500">
        <v>19050</v>
      </c>
      <c r="R25" s="500">
        <v>53424</v>
      </c>
      <c r="S25" s="500">
        <v>108692</v>
      </c>
      <c r="T25" s="500">
        <v>193</v>
      </c>
      <c r="U25" s="500">
        <v>9225</v>
      </c>
      <c r="V25" s="500">
        <v>26198</v>
      </c>
      <c r="W25" s="500">
        <v>-2300</v>
      </c>
      <c r="X25" s="500">
        <v>48764</v>
      </c>
      <c r="Y25" s="500">
        <v>8970</v>
      </c>
      <c r="Z25" s="500">
        <v>0</v>
      </c>
      <c r="AA25" s="500">
        <v>0</v>
      </c>
      <c r="AB25" s="500">
        <v>0</v>
      </c>
      <c r="AC25" s="500">
        <v>132866</v>
      </c>
      <c r="AD25" s="500">
        <v>-32510</v>
      </c>
      <c r="AE25" s="500">
        <v>0</v>
      </c>
      <c r="AF25" s="500">
        <v>0</v>
      </c>
      <c r="AG25" s="501">
        <f t="shared" si="3"/>
        <v>2798822</v>
      </c>
      <c r="AH25" s="500">
        <v>1218162</v>
      </c>
      <c r="AI25" s="500">
        <v>0</v>
      </c>
      <c r="AJ25" s="500">
        <v>678485</v>
      </c>
      <c r="AK25" s="500">
        <v>23028</v>
      </c>
      <c r="AL25" s="500">
        <v>88879</v>
      </c>
      <c r="AM25" s="500">
        <v>0</v>
      </c>
      <c r="AN25" s="500">
        <v>70308</v>
      </c>
      <c r="AO25" s="500">
        <v>25518</v>
      </c>
      <c r="AP25" s="500">
        <v>3292</v>
      </c>
      <c r="AQ25" s="500">
        <v>18411</v>
      </c>
      <c r="AR25" s="500">
        <v>0</v>
      </c>
      <c r="AS25" s="500">
        <v>18176</v>
      </c>
      <c r="AT25" s="500">
        <v>6182</v>
      </c>
      <c r="AU25" s="500">
        <v>48135</v>
      </c>
      <c r="AV25" s="500">
        <v>2187</v>
      </c>
      <c r="AW25" s="500">
        <v>62777</v>
      </c>
      <c r="AX25" s="500">
        <v>46603</v>
      </c>
      <c r="AY25" s="500">
        <v>14800</v>
      </c>
      <c r="AZ25" s="500">
        <v>112784</v>
      </c>
      <c r="BA25" s="500">
        <v>26701</v>
      </c>
      <c r="BB25" s="500">
        <v>0</v>
      </c>
      <c r="BC25" s="500">
        <v>18318</v>
      </c>
      <c r="BD25" s="500">
        <v>17459</v>
      </c>
      <c r="BE25" s="500">
        <v>11278</v>
      </c>
      <c r="BF25" s="500">
        <v>116358</v>
      </c>
      <c r="BG25" s="500">
        <v>109528</v>
      </c>
      <c r="BH25" s="500">
        <v>125368</v>
      </c>
      <c r="BI25" s="500">
        <v>64650</v>
      </c>
      <c r="BJ25" s="500">
        <v>350</v>
      </c>
      <c r="BK25" s="500">
        <v>0</v>
      </c>
      <c r="BL25" s="500">
        <v>0</v>
      </c>
      <c r="BM25" s="500">
        <v>0</v>
      </c>
      <c r="BN25" s="500">
        <v>0</v>
      </c>
      <c r="BO25" s="501">
        <f t="shared" si="4"/>
        <v>2927737</v>
      </c>
      <c r="BP25" s="501">
        <f t="shared" si="5"/>
        <v>-128915</v>
      </c>
      <c r="BQ25" s="501">
        <f t="shared" si="0"/>
        <v>20527</v>
      </c>
      <c r="BR25" s="501">
        <f t="shared" si="6"/>
        <v>0</v>
      </c>
      <c r="BS25" s="501">
        <f t="shared" si="1"/>
        <v>20527</v>
      </c>
      <c r="BT25" s="500">
        <v>10035</v>
      </c>
      <c r="BU25" s="500">
        <v>8646</v>
      </c>
      <c r="BV25" s="500">
        <v>0</v>
      </c>
      <c r="BW25" s="500">
        <v>0</v>
      </c>
      <c r="BX25" s="501">
        <f t="shared" si="7"/>
        <v>8646</v>
      </c>
      <c r="BY25" s="500">
        <v>0</v>
      </c>
      <c r="BZ25" s="500">
        <v>2969</v>
      </c>
      <c r="CA25" s="500">
        <v>0</v>
      </c>
      <c r="CB25" s="500">
        <v>0</v>
      </c>
      <c r="CC25" s="501">
        <f t="shared" si="8"/>
        <v>2969</v>
      </c>
      <c r="CD25" s="500">
        <f t="shared" si="9"/>
        <v>5677</v>
      </c>
      <c r="CE25" s="224">
        <f t="shared" si="10"/>
        <v>15712</v>
      </c>
      <c r="CF25" s="224">
        <f t="shared" si="2"/>
        <v>36239</v>
      </c>
      <c r="CM25" s="224"/>
      <c r="CN25" s="224"/>
      <c r="CO25" s="224"/>
    </row>
    <row r="26" spans="1:93">
      <c r="A26" t="s">
        <v>149</v>
      </c>
      <c r="B26" t="s">
        <v>129</v>
      </c>
      <c r="C26">
        <v>101314</v>
      </c>
      <c r="D26" s="3">
        <v>3022073</v>
      </c>
      <c r="E26" s="3">
        <v>2073</v>
      </c>
      <c r="F26">
        <v>10083</v>
      </c>
      <c r="G26">
        <v>90083</v>
      </c>
      <c r="H26">
        <v>938646</v>
      </c>
      <c r="I26">
        <v>-68537</v>
      </c>
      <c r="J26">
        <v>-1965</v>
      </c>
      <c r="K26">
        <v>-70502</v>
      </c>
      <c r="L26" s="500">
        <v>3360428.46</v>
      </c>
      <c r="M26" s="500">
        <v>0</v>
      </c>
      <c r="N26" s="500">
        <v>344137.19</v>
      </c>
      <c r="O26" s="500">
        <v>0</v>
      </c>
      <c r="P26" s="500">
        <v>296841.98</v>
      </c>
      <c r="Q26" s="500">
        <v>13870.4</v>
      </c>
      <c r="R26" s="500">
        <v>82120.320000000007</v>
      </c>
      <c r="S26" s="500">
        <v>5200.25</v>
      </c>
      <c r="T26" s="500">
        <v>126957.08</v>
      </c>
      <c r="U26" s="500">
        <v>26342.67</v>
      </c>
      <c r="V26" s="500">
        <v>0</v>
      </c>
      <c r="W26" s="500">
        <v>0</v>
      </c>
      <c r="X26" s="500">
        <v>40086.25</v>
      </c>
      <c r="Y26" s="500">
        <v>17499.98</v>
      </c>
      <c r="Z26" s="500">
        <v>0</v>
      </c>
      <c r="AA26" s="500">
        <v>0</v>
      </c>
      <c r="AB26" s="500">
        <v>0</v>
      </c>
      <c r="AC26" s="500">
        <v>0</v>
      </c>
      <c r="AD26" s="500">
        <v>0</v>
      </c>
      <c r="AE26" s="500">
        <v>46590.01</v>
      </c>
      <c r="AF26" s="500">
        <v>91258</v>
      </c>
      <c r="AG26" s="501">
        <f t="shared" si="3"/>
        <v>4451332.59</v>
      </c>
      <c r="AH26" s="500">
        <v>1795658.13</v>
      </c>
      <c r="AI26" s="500">
        <v>0</v>
      </c>
      <c r="AJ26" s="500">
        <v>1105366.45</v>
      </c>
      <c r="AK26" s="500">
        <v>195053.02</v>
      </c>
      <c r="AL26" s="500">
        <v>131470.14000000001</v>
      </c>
      <c r="AM26" s="500">
        <v>14617.67</v>
      </c>
      <c r="AN26" s="500">
        <v>219507.08</v>
      </c>
      <c r="AO26" s="500">
        <v>16216.68</v>
      </c>
      <c r="AP26" s="500">
        <v>5822.19</v>
      </c>
      <c r="AQ26" s="500">
        <v>1039.1600000000001</v>
      </c>
      <c r="AR26" s="500">
        <v>0</v>
      </c>
      <c r="AS26" s="500">
        <v>18491.599999999999</v>
      </c>
      <c r="AT26" s="500">
        <v>18047.82</v>
      </c>
      <c r="AU26" s="500">
        <v>4648.32</v>
      </c>
      <c r="AV26" s="500">
        <v>5983.56</v>
      </c>
      <c r="AW26" s="500">
        <v>146240.63</v>
      </c>
      <c r="AX26" s="500">
        <v>52298.400000000001</v>
      </c>
      <c r="AY26" s="500">
        <v>26815.41</v>
      </c>
      <c r="AZ26" s="500">
        <v>91040.22</v>
      </c>
      <c r="BA26" s="500">
        <v>24747.55</v>
      </c>
      <c r="BB26" s="500">
        <v>0</v>
      </c>
      <c r="BC26" s="500">
        <v>36694.400000000001</v>
      </c>
      <c r="BD26" s="500">
        <v>28521.14</v>
      </c>
      <c r="BE26" s="500">
        <v>17683.22</v>
      </c>
      <c r="BF26" s="500">
        <v>260963.27</v>
      </c>
      <c r="BG26" s="500">
        <v>0</v>
      </c>
      <c r="BH26" s="500">
        <v>178497.24</v>
      </c>
      <c r="BI26" s="500">
        <v>44204.32</v>
      </c>
      <c r="BJ26" s="500">
        <v>0</v>
      </c>
      <c r="BK26" s="500">
        <v>0</v>
      </c>
      <c r="BL26" s="500">
        <v>0</v>
      </c>
      <c r="BM26" s="500">
        <v>0</v>
      </c>
      <c r="BN26" s="500">
        <v>0</v>
      </c>
      <c r="BO26" s="501">
        <f t="shared" si="4"/>
        <v>4439627.620000001</v>
      </c>
      <c r="BP26" s="501">
        <f t="shared" si="5"/>
        <v>11704.969999998808</v>
      </c>
      <c r="BQ26" s="501">
        <f t="shared" si="0"/>
        <v>-56832.030000001192</v>
      </c>
      <c r="BR26" s="501">
        <f t="shared" si="6"/>
        <v>-1965</v>
      </c>
      <c r="BS26" s="501">
        <f t="shared" si="1"/>
        <v>-58797.030000001192</v>
      </c>
      <c r="BT26" s="500">
        <v>31781</v>
      </c>
      <c r="BU26" s="500">
        <v>21373.919999999998</v>
      </c>
      <c r="BV26" s="500">
        <v>0</v>
      </c>
      <c r="BW26" s="500">
        <v>0</v>
      </c>
      <c r="BX26" s="501">
        <f t="shared" si="7"/>
        <v>21373.919999999998</v>
      </c>
      <c r="BY26" s="500">
        <v>0</v>
      </c>
      <c r="BZ26" s="500">
        <v>27608.85</v>
      </c>
      <c r="CA26" s="500">
        <v>0</v>
      </c>
      <c r="CB26" s="500">
        <v>13490</v>
      </c>
      <c r="CC26" s="501">
        <f t="shared" si="8"/>
        <v>41098.85</v>
      </c>
      <c r="CD26" s="500">
        <f t="shared" si="9"/>
        <v>-19724.93</v>
      </c>
      <c r="CE26" s="224">
        <f t="shared" si="10"/>
        <v>12056.07</v>
      </c>
      <c r="CF26" s="224">
        <f t="shared" si="2"/>
        <v>-46740.960000001192</v>
      </c>
      <c r="CI26" t="e">
        <f>_xlfn.XLOOKUP(D26,#REF!,#REF!)</f>
        <v>#REF!</v>
      </c>
      <c r="CJ26" t="e">
        <f>_xlfn.XLOOKUP(D26,#REF!,#REF!)</f>
        <v>#REF!</v>
      </c>
      <c r="CK26" t="e">
        <f t="shared" si="11"/>
        <v>#REF!</v>
      </c>
      <c r="CM26" s="224" t="e">
        <f t="shared" si="12"/>
        <v>#REF!</v>
      </c>
      <c r="CN26" s="224" t="e">
        <f t="shared" si="13"/>
        <v>#REF!</v>
      </c>
      <c r="CO26" s="224" t="e">
        <f t="shared" si="13"/>
        <v>#REF!</v>
      </c>
    </row>
    <row r="27" spans="1:93">
      <c r="A27" t="s">
        <v>150</v>
      </c>
      <c r="B27" t="s">
        <v>129</v>
      </c>
      <c r="C27">
        <v>101274</v>
      </c>
      <c r="D27" s="3">
        <v>3022019</v>
      </c>
      <c r="E27" s="3">
        <v>2019</v>
      </c>
      <c r="F27">
        <v>10059</v>
      </c>
      <c r="G27">
        <v>90059</v>
      </c>
      <c r="H27">
        <v>938617</v>
      </c>
      <c r="I27">
        <v>-428181</v>
      </c>
      <c r="J27">
        <v>0</v>
      </c>
      <c r="K27">
        <v>-428181</v>
      </c>
      <c r="L27" s="500">
        <v>1790172.79</v>
      </c>
      <c r="M27" s="500">
        <v>0</v>
      </c>
      <c r="N27" s="500">
        <v>116284.87</v>
      </c>
      <c r="O27" s="500">
        <v>0</v>
      </c>
      <c r="P27" s="500">
        <v>94843.76</v>
      </c>
      <c r="Q27" s="500">
        <v>0</v>
      </c>
      <c r="R27" s="500">
        <v>16579.09</v>
      </c>
      <c r="S27" s="500">
        <v>8939.32</v>
      </c>
      <c r="T27" s="500">
        <v>26381.9</v>
      </c>
      <c r="U27" s="500">
        <v>52.25</v>
      </c>
      <c r="V27" s="500">
        <v>0</v>
      </c>
      <c r="W27" s="500">
        <v>0</v>
      </c>
      <c r="X27" s="500">
        <v>25835.9</v>
      </c>
      <c r="Y27" s="500">
        <v>2394.1799999999998</v>
      </c>
      <c r="Z27" s="500">
        <v>0</v>
      </c>
      <c r="AA27" s="500">
        <v>0</v>
      </c>
      <c r="AB27" s="500">
        <v>0</v>
      </c>
      <c r="AC27" s="500">
        <v>0</v>
      </c>
      <c r="AD27" s="500">
        <v>0</v>
      </c>
      <c r="AE27" s="500">
        <v>11609.37</v>
      </c>
      <c r="AF27" s="500">
        <v>86178</v>
      </c>
      <c r="AG27" s="501">
        <f t="shared" si="3"/>
        <v>2179271.4300000002</v>
      </c>
      <c r="AH27" s="500">
        <v>760762.41</v>
      </c>
      <c r="AI27" s="500">
        <v>0</v>
      </c>
      <c r="AJ27" s="500">
        <v>508676.42</v>
      </c>
      <c r="AK27" s="500">
        <v>43602.78</v>
      </c>
      <c r="AL27" s="500">
        <v>94604.67</v>
      </c>
      <c r="AM27" s="500">
        <v>0</v>
      </c>
      <c r="AN27" s="500">
        <v>55691.59</v>
      </c>
      <c r="AO27" s="500">
        <v>8872.2199999999993</v>
      </c>
      <c r="AP27" s="500">
        <v>780.21</v>
      </c>
      <c r="AQ27" s="500">
        <v>389.93</v>
      </c>
      <c r="AR27" s="500">
        <v>0</v>
      </c>
      <c r="AS27" s="500">
        <v>13740.03</v>
      </c>
      <c r="AT27" s="500">
        <v>10103.18</v>
      </c>
      <c r="AU27" s="500">
        <v>1654.1</v>
      </c>
      <c r="AV27" s="500">
        <v>848.35</v>
      </c>
      <c r="AW27" s="500">
        <v>33123.279999999999</v>
      </c>
      <c r="AX27" s="500">
        <v>21150</v>
      </c>
      <c r="AY27" s="500">
        <v>5213.88</v>
      </c>
      <c r="AZ27" s="500">
        <v>24117.81</v>
      </c>
      <c r="BA27" s="500">
        <v>13896.37</v>
      </c>
      <c r="BB27" s="500">
        <v>0</v>
      </c>
      <c r="BC27" s="500">
        <v>18528.47</v>
      </c>
      <c r="BD27" s="500">
        <v>8128.01</v>
      </c>
      <c r="BE27" s="500">
        <v>2419.25</v>
      </c>
      <c r="BF27" s="500">
        <v>60147.55</v>
      </c>
      <c r="BG27" s="500">
        <v>11692.67</v>
      </c>
      <c r="BH27" s="500">
        <v>49942.85</v>
      </c>
      <c r="BI27" s="500">
        <v>27337.99</v>
      </c>
      <c r="BJ27" s="500">
        <v>0</v>
      </c>
      <c r="BK27" s="500">
        <v>0</v>
      </c>
      <c r="BL27" s="500">
        <v>0</v>
      </c>
      <c r="BM27" s="500">
        <v>0</v>
      </c>
      <c r="BN27" s="500">
        <v>0</v>
      </c>
      <c r="BO27" s="501">
        <f t="shared" si="4"/>
        <v>1775424.0200000003</v>
      </c>
      <c r="BP27" s="501">
        <f t="shared" si="5"/>
        <v>403847.40999999992</v>
      </c>
      <c r="BQ27" s="501">
        <f t="shared" si="0"/>
        <v>-24333.590000000084</v>
      </c>
      <c r="BR27" s="501">
        <f t="shared" si="6"/>
        <v>0</v>
      </c>
      <c r="BS27" s="501">
        <f t="shared" si="1"/>
        <v>-24333.590000000084</v>
      </c>
      <c r="BT27" s="500">
        <v>4617</v>
      </c>
      <c r="BU27" s="500">
        <v>21772.44</v>
      </c>
      <c r="BV27" s="500">
        <v>0</v>
      </c>
      <c r="BW27" s="500">
        <v>0</v>
      </c>
      <c r="BX27" s="501">
        <f t="shared" si="7"/>
        <v>21772.44</v>
      </c>
      <c r="BY27" s="500">
        <v>0</v>
      </c>
      <c r="BZ27" s="500">
        <v>13328.9</v>
      </c>
      <c r="CA27" s="500">
        <v>0</v>
      </c>
      <c r="CB27" s="500">
        <v>11622.2</v>
      </c>
      <c r="CC27" s="501">
        <f t="shared" si="8"/>
        <v>24951.1</v>
      </c>
      <c r="CD27" s="500">
        <f t="shared" si="9"/>
        <v>-3178.66</v>
      </c>
      <c r="CE27" s="224">
        <f t="shared" si="10"/>
        <v>1438.3400000000001</v>
      </c>
      <c r="CF27" s="224">
        <f t="shared" si="2"/>
        <v>-22895.250000000084</v>
      </c>
      <c r="CI27" t="e">
        <f>_xlfn.XLOOKUP(D27,#REF!,#REF!)</f>
        <v>#REF!</v>
      </c>
      <c r="CJ27" t="e">
        <f>_xlfn.XLOOKUP(D27,#REF!,#REF!)</f>
        <v>#REF!</v>
      </c>
      <c r="CK27" t="e">
        <f t="shared" si="11"/>
        <v>#REF!</v>
      </c>
      <c r="CM27" s="224" t="e">
        <f t="shared" si="12"/>
        <v>#REF!</v>
      </c>
      <c r="CN27" s="224" t="e">
        <f t="shared" si="13"/>
        <v>#REF!</v>
      </c>
      <c r="CO27" s="224" t="e">
        <f t="shared" si="13"/>
        <v>#REF!</v>
      </c>
    </row>
    <row r="28" spans="1:93">
      <c r="A28" t="s">
        <v>151</v>
      </c>
      <c r="B28" t="s">
        <v>129</v>
      </c>
      <c r="C28">
        <v>101275</v>
      </c>
      <c r="D28" s="3">
        <v>3022021</v>
      </c>
      <c r="E28" s="3">
        <v>2021</v>
      </c>
      <c r="F28">
        <v>10061</v>
      </c>
      <c r="G28">
        <v>90061</v>
      </c>
      <c r="H28">
        <v>938618</v>
      </c>
      <c r="I28">
        <v>144885</v>
      </c>
      <c r="J28">
        <v>0</v>
      </c>
      <c r="K28">
        <v>144885</v>
      </c>
      <c r="L28" s="500">
        <v>2514197.25</v>
      </c>
      <c r="M28" s="500">
        <v>0</v>
      </c>
      <c r="N28" s="500">
        <v>160707.44</v>
      </c>
      <c r="O28" s="500">
        <v>0</v>
      </c>
      <c r="P28" s="500">
        <v>192275.03</v>
      </c>
      <c r="Q28" s="500">
        <v>200</v>
      </c>
      <c r="R28" s="500">
        <v>81029.47</v>
      </c>
      <c r="S28" s="500">
        <v>107047.24</v>
      </c>
      <c r="T28" s="500">
        <v>41416.080000000002</v>
      </c>
      <c r="U28" s="500">
        <v>16019.75</v>
      </c>
      <c r="V28" s="500">
        <v>0</v>
      </c>
      <c r="W28" s="500">
        <v>0</v>
      </c>
      <c r="X28" s="500">
        <v>13324.33</v>
      </c>
      <c r="Y28" s="500">
        <v>10939.21</v>
      </c>
      <c r="Z28" s="500">
        <v>0</v>
      </c>
      <c r="AA28" s="500">
        <v>0</v>
      </c>
      <c r="AB28" s="500">
        <v>0</v>
      </c>
      <c r="AC28" s="500">
        <v>0</v>
      </c>
      <c r="AD28" s="500">
        <v>0</v>
      </c>
      <c r="AE28" s="500">
        <v>33730.01</v>
      </c>
      <c r="AF28" s="500">
        <v>62836</v>
      </c>
      <c r="AG28" s="501">
        <f t="shared" si="3"/>
        <v>3233721.81</v>
      </c>
      <c r="AH28" s="500">
        <v>1166010.02</v>
      </c>
      <c r="AI28" s="500">
        <v>0</v>
      </c>
      <c r="AJ28" s="500">
        <v>824636.21</v>
      </c>
      <c r="AK28" s="500">
        <v>98592.29</v>
      </c>
      <c r="AL28" s="500">
        <v>134966.63</v>
      </c>
      <c r="AM28" s="500">
        <v>0</v>
      </c>
      <c r="AN28" s="500">
        <v>53689.06</v>
      </c>
      <c r="AO28" s="500">
        <v>16119.83</v>
      </c>
      <c r="AP28" s="500">
        <v>13166.78</v>
      </c>
      <c r="AQ28" s="500">
        <v>659.02</v>
      </c>
      <c r="AR28" s="500">
        <v>0</v>
      </c>
      <c r="AS28" s="500">
        <v>25912.11</v>
      </c>
      <c r="AT28" s="500">
        <v>12654.96</v>
      </c>
      <c r="AU28" s="500">
        <v>70100.87</v>
      </c>
      <c r="AV28" s="500">
        <v>23784.69</v>
      </c>
      <c r="AW28" s="500">
        <v>162912</v>
      </c>
      <c r="AX28" s="500">
        <v>58112</v>
      </c>
      <c r="AY28" s="500">
        <v>25479.43</v>
      </c>
      <c r="AZ28" s="500">
        <v>79404.960000000006</v>
      </c>
      <c r="BA28" s="500">
        <v>10136.08</v>
      </c>
      <c r="BB28" s="500">
        <v>0</v>
      </c>
      <c r="BC28" s="500">
        <v>19204</v>
      </c>
      <c r="BD28" s="500">
        <v>18351.39</v>
      </c>
      <c r="BE28" s="500">
        <v>10445.07</v>
      </c>
      <c r="BF28" s="500">
        <v>145187.18</v>
      </c>
      <c r="BG28" s="500">
        <v>140273.18</v>
      </c>
      <c r="BH28" s="500">
        <v>160034.32</v>
      </c>
      <c r="BI28" s="500">
        <v>60465.07</v>
      </c>
      <c r="BJ28" s="500">
        <v>0</v>
      </c>
      <c r="BK28" s="500">
        <v>0</v>
      </c>
      <c r="BL28" s="500">
        <v>0</v>
      </c>
      <c r="BM28" s="500">
        <v>0</v>
      </c>
      <c r="BN28" s="500">
        <v>0</v>
      </c>
      <c r="BO28" s="501">
        <f t="shared" si="4"/>
        <v>3330297.15</v>
      </c>
      <c r="BP28" s="501">
        <f t="shared" si="5"/>
        <v>-96575.339999999851</v>
      </c>
      <c r="BQ28" s="501">
        <f t="shared" si="0"/>
        <v>48309.660000000149</v>
      </c>
      <c r="BR28" s="501">
        <f t="shared" si="6"/>
        <v>0</v>
      </c>
      <c r="BS28" s="501">
        <f t="shared" si="1"/>
        <v>48309.660000000149</v>
      </c>
      <c r="BT28" s="500">
        <v>10677</v>
      </c>
      <c r="BU28" s="500">
        <v>9197.5</v>
      </c>
      <c r="BV28" s="500">
        <v>0</v>
      </c>
      <c r="BW28" s="500">
        <v>0</v>
      </c>
      <c r="BX28" s="501">
        <f t="shared" si="7"/>
        <v>9197.5</v>
      </c>
      <c r="BY28" s="500">
        <v>0</v>
      </c>
      <c r="BZ28" s="500">
        <v>7203.7</v>
      </c>
      <c r="CA28" s="500">
        <v>0</v>
      </c>
      <c r="CB28" s="500">
        <v>0</v>
      </c>
      <c r="CC28" s="501">
        <f t="shared" si="8"/>
        <v>7203.7</v>
      </c>
      <c r="CD28" s="500">
        <f t="shared" si="9"/>
        <v>1993.8000000000002</v>
      </c>
      <c r="CE28" s="224">
        <f t="shared" si="10"/>
        <v>12670.8</v>
      </c>
      <c r="CF28" s="224">
        <f t="shared" si="2"/>
        <v>60980.460000000152</v>
      </c>
      <c r="CI28" t="e">
        <f>_xlfn.XLOOKUP(D28,#REF!,#REF!)</f>
        <v>#REF!</v>
      </c>
      <c r="CJ28" t="e">
        <f>_xlfn.XLOOKUP(D28,#REF!,#REF!)</f>
        <v>#REF!</v>
      </c>
      <c r="CK28" t="e">
        <f t="shared" si="11"/>
        <v>#REF!</v>
      </c>
      <c r="CM28" s="224" t="e">
        <f t="shared" si="12"/>
        <v>#REF!</v>
      </c>
      <c r="CN28" s="224" t="e">
        <f t="shared" si="13"/>
        <v>#REF!</v>
      </c>
      <c r="CO28" s="224" t="e">
        <f t="shared" si="13"/>
        <v>#REF!</v>
      </c>
    </row>
    <row r="29" spans="1:93">
      <c r="A29" t="s">
        <v>152</v>
      </c>
      <c r="B29" t="s">
        <v>129</v>
      </c>
      <c r="C29">
        <v>101277</v>
      </c>
      <c r="D29" s="3">
        <v>3022023</v>
      </c>
      <c r="E29" s="3">
        <v>2023</v>
      </c>
      <c r="F29">
        <v>10063</v>
      </c>
      <c r="G29">
        <v>90063</v>
      </c>
      <c r="H29">
        <v>938620</v>
      </c>
      <c r="I29">
        <v>107248</v>
      </c>
      <c r="J29">
        <v>0</v>
      </c>
      <c r="K29">
        <v>107248</v>
      </c>
      <c r="L29" s="500">
        <v>2592832.8199999998</v>
      </c>
      <c r="M29" s="500">
        <v>0</v>
      </c>
      <c r="N29" s="500">
        <v>187572.47</v>
      </c>
      <c r="O29" s="500">
        <v>0</v>
      </c>
      <c r="P29" s="500">
        <v>232800</v>
      </c>
      <c r="Q29" s="500">
        <v>0</v>
      </c>
      <c r="R29" s="500">
        <v>169233.45</v>
      </c>
      <c r="S29" s="500">
        <v>6657</v>
      </c>
      <c r="T29" s="500">
        <v>11015.56</v>
      </c>
      <c r="U29" s="500">
        <v>13122.83</v>
      </c>
      <c r="V29" s="500">
        <v>0</v>
      </c>
      <c r="W29" s="500">
        <v>0</v>
      </c>
      <c r="X29" s="500">
        <v>12795.72</v>
      </c>
      <c r="Y29" s="500">
        <v>2791.63</v>
      </c>
      <c r="Z29" s="500">
        <v>0</v>
      </c>
      <c r="AA29" s="500">
        <v>0</v>
      </c>
      <c r="AB29" s="500">
        <v>0</v>
      </c>
      <c r="AC29" s="500">
        <v>0</v>
      </c>
      <c r="AD29" s="500">
        <v>0</v>
      </c>
      <c r="AE29" s="500">
        <v>40402</v>
      </c>
      <c r="AF29" s="500">
        <v>68912</v>
      </c>
      <c r="AG29" s="501">
        <f t="shared" si="3"/>
        <v>3338135.4800000004</v>
      </c>
      <c r="AH29" s="500">
        <v>1258790.81</v>
      </c>
      <c r="AI29" s="500">
        <v>0</v>
      </c>
      <c r="AJ29" s="500">
        <v>842110.32</v>
      </c>
      <c r="AK29" s="500">
        <v>81741.05</v>
      </c>
      <c r="AL29" s="500">
        <v>236373.54</v>
      </c>
      <c r="AM29" s="500">
        <v>0</v>
      </c>
      <c r="AN29" s="500">
        <v>36057.47</v>
      </c>
      <c r="AO29" s="500">
        <v>19362.02</v>
      </c>
      <c r="AP29" s="500">
        <v>3803.7</v>
      </c>
      <c r="AQ29" s="500">
        <v>705.5</v>
      </c>
      <c r="AR29" s="500">
        <v>0</v>
      </c>
      <c r="AS29" s="500">
        <v>32322.03</v>
      </c>
      <c r="AT29" s="500">
        <v>9353</v>
      </c>
      <c r="AU29" s="500">
        <v>73131.520000000004</v>
      </c>
      <c r="AV29" s="500">
        <v>15831.77</v>
      </c>
      <c r="AW29" s="500">
        <v>105818.25</v>
      </c>
      <c r="AX29" s="500">
        <v>23952</v>
      </c>
      <c r="AY29" s="500">
        <v>7406.59</v>
      </c>
      <c r="AZ29" s="500">
        <v>100867.25</v>
      </c>
      <c r="BA29" s="500">
        <v>21233.65</v>
      </c>
      <c r="BB29" s="500">
        <v>0</v>
      </c>
      <c r="BC29" s="500">
        <v>15920.74</v>
      </c>
      <c r="BD29" s="500">
        <v>16998.62</v>
      </c>
      <c r="BE29" s="500">
        <v>12666.09</v>
      </c>
      <c r="BF29" s="500">
        <v>160080.51999999999</v>
      </c>
      <c r="BG29" s="500">
        <v>92713.63</v>
      </c>
      <c r="BH29" s="500">
        <v>210425.5</v>
      </c>
      <c r="BI29" s="500">
        <v>36477.18</v>
      </c>
      <c r="BJ29" s="500">
        <v>0</v>
      </c>
      <c r="BK29" s="500">
        <v>0</v>
      </c>
      <c r="BL29" s="500">
        <v>0</v>
      </c>
      <c r="BM29" s="500">
        <v>0</v>
      </c>
      <c r="BN29" s="500">
        <v>0</v>
      </c>
      <c r="BO29" s="501">
        <f t="shared" si="4"/>
        <v>3414142.75</v>
      </c>
      <c r="BP29" s="501">
        <f t="shared" si="5"/>
        <v>-76007.269999999553</v>
      </c>
      <c r="BQ29" s="501">
        <f t="shared" si="0"/>
        <v>31240.730000000447</v>
      </c>
      <c r="BR29" s="501">
        <f t="shared" si="6"/>
        <v>0</v>
      </c>
      <c r="BS29" s="501">
        <f t="shared" si="1"/>
        <v>31240.730000000447</v>
      </c>
      <c r="BT29" s="500">
        <v>21245</v>
      </c>
      <c r="BU29" s="500">
        <v>9339.25</v>
      </c>
      <c r="BV29" s="500">
        <v>0</v>
      </c>
      <c r="BW29" s="500">
        <v>0</v>
      </c>
      <c r="BX29" s="501">
        <f t="shared" si="7"/>
        <v>9339.25</v>
      </c>
      <c r="BY29" s="500">
        <v>0</v>
      </c>
      <c r="BZ29" s="500">
        <v>21883</v>
      </c>
      <c r="CA29" s="500">
        <v>0</v>
      </c>
      <c r="CB29" s="500">
        <v>0</v>
      </c>
      <c r="CC29" s="501">
        <f t="shared" si="8"/>
        <v>21883</v>
      </c>
      <c r="CD29" s="500">
        <f t="shared" si="9"/>
        <v>-12543.75</v>
      </c>
      <c r="CE29" s="224">
        <f t="shared" si="10"/>
        <v>8701.25</v>
      </c>
      <c r="CF29" s="224">
        <f t="shared" si="2"/>
        <v>39941.980000000447</v>
      </c>
      <c r="CI29" t="e">
        <f>_xlfn.XLOOKUP(D29,#REF!,#REF!)</f>
        <v>#REF!</v>
      </c>
      <c r="CJ29" t="e">
        <f>_xlfn.XLOOKUP(D29,#REF!,#REF!)</f>
        <v>#REF!</v>
      </c>
      <c r="CK29" t="e">
        <f t="shared" si="11"/>
        <v>#REF!</v>
      </c>
      <c r="CM29" s="224" t="e">
        <f t="shared" si="12"/>
        <v>#REF!</v>
      </c>
      <c r="CN29" s="224" t="e">
        <f t="shared" si="13"/>
        <v>#REF!</v>
      </c>
      <c r="CO29" s="224" t="e">
        <f t="shared" si="13"/>
        <v>#REF!</v>
      </c>
    </row>
    <row r="30" spans="1:93">
      <c r="A30" t="s">
        <v>153</v>
      </c>
      <c r="B30" t="s">
        <v>129</v>
      </c>
      <c r="C30">
        <v>101278</v>
      </c>
      <c r="D30" s="3">
        <v>3022024</v>
      </c>
      <c r="E30" s="3">
        <v>2024</v>
      </c>
      <c r="F30">
        <v>10064</v>
      </c>
      <c r="G30">
        <v>90064</v>
      </c>
      <c r="H30">
        <v>938621</v>
      </c>
      <c r="I30">
        <v>-168469</v>
      </c>
      <c r="J30">
        <v>10888</v>
      </c>
      <c r="K30">
        <v>-157581</v>
      </c>
      <c r="L30" s="500">
        <v>1531582.63</v>
      </c>
      <c r="M30" s="500">
        <v>0</v>
      </c>
      <c r="N30" s="500">
        <v>104288</v>
      </c>
      <c r="O30" s="500">
        <v>0</v>
      </c>
      <c r="P30" s="500">
        <v>126760.52</v>
      </c>
      <c r="Q30" s="500">
        <v>35200</v>
      </c>
      <c r="R30" s="500">
        <v>32621.07</v>
      </c>
      <c r="S30" s="500">
        <v>14064.9</v>
      </c>
      <c r="T30" s="500">
        <v>4544.58</v>
      </c>
      <c r="U30" s="500">
        <v>6258.54</v>
      </c>
      <c r="V30" s="500">
        <v>0</v>
      </c>
      <c r="W30" s="500">
        <v>0</v>
      </c>
      <c r="X30" s="500">
        <v>98926.32</v>
      </c>
      <c r="Y30" s="500">
        <v>9271.25</v>
      </c>
      <c r="Z30" s="500">
        <v>0</v>
      </c>
      <c r="AA30" s="500">
        <v>201514.3</v>
      </c>
      <c r="AB30" s="500">
        <v>0</v>
      </c>
      <c r="AC30" s="500">
        <v>0</v>
      </c>
      <c r="AD30" s="500">
        <v>0</v>
      </c>
      <c r="AE30" s="500">
        <v>24074.880000000001</v>
      </c>
      <c r="AF30" s="500">
        <v>35849</v>
      </c>
      <c r="AG30" s="501">
        <f t="shared" si="3"/>
        <v>2224955.9899999998</v>
      </c>
      <c r="AH30" s="500">
        <v>703642.85800000001</v>
      </c>
      <c r="AI30" s="500">
        <v>0</v>
      </c>
      <c r="AJ30" s="500">
        <v>356856.37</v>
      </c>
      <c r="AK30" s="500">
        <v>35977.11</v>
      </c>
      <c r="AL30" s="500">
        <v>98989.82</v>
      </c>
      <c r="AM30" s="500">
        <v>0</v>
      </c>
      <c r="AN30" s="500">
        <v>310231.08</v>
      </c>
      <c r="AO30" s="500">
        <v>6658.41</v>
      </c>
      <c r="AP30" s="500">
        <v>1056</v>
      </c>
      <c r="AQ30" s="500">
        <v>335.32</v>
      </c>
      <c r="AR30" s="500">
        <v>0</v>
      </c>
      <c r="AS30" s="500">
        <v>5274.65</v>
      </c>
      <c r="AT30" s="500">
        <v>2898.2599999999998</v>
      </c>
      <c r="AU30" s="500">
        <v>34908.839999999997</v>
      </c>
      <c r="AV30" s="500">
        <v>4438.67</v>
      </c>
      <c r="AW30" s="500">
        <v>65373.850000000006</v>
      </c>
      <c r="AX30" s="500">
        <v>50714.82</v>
      </c>
      <c r="AY30" s="500">
        <v>14638.56</v>
      </c>
      <c r="AZ30" s="500">
        <v>36324.5</v>
      </c>
      <c r="BA30" s="500">
        <v>17502.18</v>
      </c>
      <c r="BB30" s="500">
        <v>0</v>
      </c>
      <c r="BC30" s="500">
        <v>11964.18</v>
      </c>
      <c r="BD30" s="500">
        <v>8178.28</v>
      </c>
      <c r="BE30" s="500">
        <v>3188.55</v>
      </c>
      <c r="BF30" s="500">
        <v>81214.47</v>
      </c>
      <c r="BG30" s="500">
        <v>8094.5</v>
      </c>
      <c r="BH30" s="500">
        <v>66678.789999999994</v>
      </c>
      <c r="BI30" s="500">
        <v>52130.46</v>
      </c>
      <c r="BJ30" s="500">
        <v>0</v>
      </c>
      <c r="BK30" s="500">
        <v>0</v>
      </c>
      <c r="BL30" s="500">
        <v>0</v>
      </c>
      <c r="BM30" s="500">
        <v>128310.97</v>
      </c>
      <c r="BN30" s="500">
        <v>30113.84</v>
      </c>
      <c r="BO30" s="501">
        <f t="shared" si="4"/>
        <v>2135695.3380000005</v>
      </c>
      <c r="BP30" s="501">
        <f t="shared" si="5"/>
        <v>89260.651999999303</v>
      </c>
      <c r="BQ30" s="501">
        <f t="shared" si="0"/>
        <v>-122297.83800000075</v>
      </c>
      <c r="BR30" s="501">
        <f t="shared" si="6"/>
        <v>53977.489999999991</v>
      </c>
      <c r="BS30" s="501">
        <f t="shared" si="1"/>
        <v>-68320.348000000697</v>
      </c>
      <c r="BT30" s="500">
        <v>21150</v>
      </c>
      <c r="BU30" s="500">
        <v>6663.1</v>
      </c>
      <c r="BV30" s="500">
        <v>0</v>
      </c>
      <c r="BW30" s="500">
        <v>0</v>
      </c>
      <c r="BX30" s="501">
        <f t="shared" si="7"/>
        <v>6663.1</v>
      </c>
      <c r="BY30" s="500"/>
      <c r="BZ30" s="500"/>
      <c r="CA30" s="500"/>
      <c r="CB30" s="500"/>
      <c r="CC30" s="501">
        <f t="shared" si="8"/>
        <v>0</v>
      </c>
      <c r="CD30" s="500">
        <f t="shared" si="9"/>
        <v>6663.1</v>
      </c>
      <c r="CE30" s="224">
        <f t="shared" si="10"/>
        <v>27813.1</v>
      </c>
      <c r="CF30" s="224">
        <f t="shared" si="2"/>
        <v>-40507.248000000698</v>
      </c>
      <c r="CI30" t="e">
        <f>_xlfn.XLOOKUP(D30,#REF!,#REF!)</f>
        <v>#REF!</v>
      </c>
      <c r="CJ30" t="e">
        <f>_xlfn.XLOOKUP(D30,#REF!,#REF!)</f>
        <v>#REF!</v>
      </c>
      <c r="CK30" t="e">
        <f t="shared" si="11"/>
        <v>#REF!</v>
      </c>
      <c r="CM30" s="224" t="e">
        <f t="shared" si="12"/>
        <v>#REF!</v>
      </c>
      <c r="CN30" s="224" t="e">
        <f t="shared" si="13"/>
        <v>#REF!</v>
      </c>
      <c r="CO30" s="224" t="e">
        <f t="shared" si="13"/>
        <v>#REF!</v>
      </c>
    </row>
    <row r="31" spans="1:93">
      <c r="A31" t="s">
        <v>154</v>
      </c>
      <c r="B31" t="s">
        <v>129</v>
      </c>
      <c r="C31">
        <v>101279</v>
      </c>
      <c r="D31" s="3">
        <v>3022025</v>
      </c>
      <c r="E31" s="3">
        <v>2025</v>
      </c>
      <c r="F31">
        <v>10065</v>
      </c>
      <c r="G31">
        <v>90065</v>
      </c>
      <c r="H31">
        <v>938622</v>
      </c>
      <c r="I31">
        <v>71087</v>
      </c>
      <c r="J31">
        <v>0</v>
      </c>
      <c r="K31">
        <v>71087</v>
      </c>
      <c r="L31" s="500">
        <v>1577309.42</v>
      </c>
      <c r="M31" s="500">
        <v>62797.4</v>
      </c>
      <c r="N31" s="500">
        <v>0</v>
      </c>
      <c r="O31" s="500">
        <v>0</v>
      </c>
      <c r="P31" s="500">
        <v>21589.99</v>
      </c>
      <c r="Q31" s="500">
        <v>400</v>
      </c>
      <c r="R31" s="500">
        <v>61596.99</v>
      </c>
      <c r="S31" s="500">
        <v>45806.79</v>
      </c>
      <c r="T31" s="500">
        <v>28247.82</v>
      </c>
      <c r="U31" s="500">
        <v>13997.26</v>
      </c>
      <c r="V31" s="500">
        <v>0</v>
      </c>
      <c r="W31" s="500">
        <v>0</v>
      </c>
      <c r="X31" s="500">
        <v>78640.59</v>
      </c>
      <c r="Y31" s="500">
        <v>36388.61</v>
      </c>
      <c r="Z31" s="500">
        <v>0</v>
      </c>
      <c r="AA31" s="500">
        <v>0</v>
      </c>
      <c r="AB31" s="500">
        <v>0</v>
      </c>
      <c r="AC31" s="500">
        <v>0</v>
      </c>
      <c r="AD31" s="500">
        <v>0</v>
      </c>
      <c r="AE31" s="500">
        <v>2973.12</v>
      </c>
      <c r="AF31" s="500">
        <v>78960</v>
      </c>
      <c r="AG31" s="501">
        <f t="shared" si="3"/>
        <v>2008707.9900000002</v>
      </c>
      <c r="AH31" s="500">
        <v>996204.37</v>
      </c>
      <c r="AI31" s="500">
        <v>24311.56</v>
      </c>
      <c r="AJ31" s="500">
        <v>297875.67</v>
      </c>
      <c r="AK31" s="500">
        <v>86398.76</v>
      </c>
      <c r="AL31" s="500">
        <v>71246.83</v>
      </c>
      <c r="AM31" s="500">
        <v>0</v>
      </c>
      <c r="AN31" s="500">
        <v>44832.6</v>
      </c>
      <c r="AO31" s="500">
        <v>9014.7099999999991</v>
      </c>
      <c r="AP31" s="500">
        <v>2906.51</v>
      </c>
      <c r="AQ31" s="500">
        <v>532.86</v>
      </c>
      <c r="AR31" s="500">
        <v>0</v>
      </c>
      <c r="AS31" s="500">
        <v>4616.21</v>
      </c>
      <c r="AT31" s="500">
        <v>0</v>
      </c>
      <c r="AU31" s="500">
        <v>2444.6</v>
      </c>
      <c r="AV31" s="500">
        <v>3966.8</v>
      </c>
      <c r="AW31" s="500">
        <v>56119.839999999997</v>
      </c>
      <c r="AX31" s="500">
        <v>34048</v>
      </c>
      <c r="AY31" s="500">
        <v>5529.85</v>
      </c>
      <c r="AZ31" s="500">
        <v>101659.13</v>
      </c>
      <c r="BA31" s="500">
        <v>7183.78</v>
      </c>
      <c r="BB31" s="500">
        <v>0</v>
      </c>
      <c r="BC31" s="500">
        <v>9364.23</v>
      </c>
      <c r="BD31" s="500">
        <v>12483.69</v>
      </c>
      <c r="BE31" s="500">
        <v>6112.92</v>
      </c>
      <c r="BF31" s="500">
        <v>110761.36</v>
      </c>
      <c r="BG31" s="500">
        <v>10990.3</v>
      </c>
      <c r="BH31" s="500">
        <v>69711.88</v>
      </c>
      <c r="BI31" s="500">
        <v>34484.06</v>
      </c>
      <c r="BJ31" s="500">
        <v>0</v>
      </c>
      <c r="BK31" s="500">
        <v>0</v>
      </c>
      <c r="BL31" s="500">
        <v>23065</v>
      </c>
      <c r="BM31" s="500">
        <v>0</v>
      </c>
      <c r="BN31" s="500">
        <v>0</v>
      </c>
      <c r="BO31" s="501">
        <f t="shared" si="4"/>
        <v>2025865.5200000009</v>
      </c>
      <c r="BP31" s="501">
        <f t="shared" si="5"/>
        <v>-17157.530000000726</v>
      </c>
      <c r="BQ31" s="501">
        <f t="shared" si="0"/>
        <v>53929.469999999274</v>
      </c>
      <c r="BR31" s="501">
        <f t="shared" si="6"/>
        <v>0</v>
      </c>
      <c r="BS31" s="501">
        <f t="shared" si="1"/>
        <v>53929.469999999274</v>
      </c>
      <c r="BT31" s="500">
        <v>19874</v>
      </c>
      <c r="BU31" s="500">
        <v>7566.25</v>
      </c>
      <c r="BV31" s="500">
        <v>0</v>
      </c>
      <c r="BW31" s="500">
        <v>23065</v>
      </c>
      <c r="BX31" s="501">
        <f t="shared" si="7"/>
        <v>30631.25</v>
      </c>
      <c r="BY31" s="500">
        <v>0</v>
      </c>
      <c r="BZ31" s="500">
        <v>20999.99</v>
      </c>
      <c r="CA31" s="500">
        <v>0</v>
      </c>
      <c r="CB31" s="500">
        <v>6260</v>
      </c>
      <c r="CC31" s="501">
        <f t="shared" si="8"/>
        <v>27259.99</v>
      </c>
      <c r="CD31" s="500">
        <f t="shared" si="9"/>
        <v>3371.2599999999984</v>
      </c>
      <c r="CE31" s="224">
        <f t="shared" si="10"/>
        <v>23245.26</v>
      </c>
      <c r="CF31" s="224">
        <f t="shared" si="2"/>
        <v>77174.729999999268</v>
      </c>
      <c r="CI31" t="e">
        <f>_xlfn.XLOOKUP(D31,#REF!,#REF!)</f>
        <v>#REF!</v>
      </c>
      <c r="CJ31" t="e">
        <f>_xlfn.XLOOKUP(D31,#REF!,#REF!)</f>
        <v>#REF!</v>
      </c>
      <c r="CK31" t="e">
        <f t="shared" si="11"/>
        <v>#REF!</v>
      </c>
      <c r="CM31" s="224" t="e">
        <f t="shared" si="12"/>
        <v>#REF!</v>
      </c>
      <c r="CN31" s="224" t="e">
        <f t="shared" si="13"/>
        <v>#REF!</v>
      </c>
      <c r="CO31" s="224" t="e">
        <f t="shared" si="13"/>
        <v>#REF!</v>
      </c>
    </row>
    <row r="32" spans="1:93">
      <c r="A32" t="s">
        <v>155</v>
      </c>
      <c r="B32" t="s">
        <v>129</v>
      </c>
      <c r="C32">
        <v>101280</v>
      </c>
      <c r="D32" s="3">
        <v>3022026</v>
      </c>
      <c r="E32" s="3">
        <v>2026</v>
      </c>
      <c r="F32">
        <v>10066</v>
      </c>
      <c r="G32">
        <v>90066</v>
      </c>
      <c r="H32">
        <v>938623</v>
      </c>
      <c r="I32">
        <v>-256645</v>
      </c>
      <c r="J32">
        <v>0</v>
      </c>
      <c r="K32">
        <v>-256645</v>
      </c>
      <c r="L32" s="500">
        <v>2685483.57</v>
      </c>
      <c r="M32" s="500">
        <v>0</v>
      </c>
      <c r="N32" s="500">
        <v>109308.82</v>
      </c>
      <c r="O32" s="500">
        <v>0</v>
      </c>
      <c r="P32" s="500">
        <v>114879.99</v>
      </c>
      <c r="Q32" s="500">
        <v>0</v>
      </c>
      <c r="R32" s="500">
        <v>79963</v>
      </c>
      <c r="S32" s="500">
        <v>62058.93</v>
      </c>
      <c r="T32" s="500">
        <v>1270.3800000000001</v>
      </c>
      <c r="U32" s="500">
        <v>18520.47</v>
      </c>
      <c r="V32" s="500">
        <v>0</v>
      </c>
      <c r="W32" s="500">
        <v>0</v>
      </c>
      <c r="X32" s="500">
        <v>200381.27</v>
      </c>
      <c r="Y32" s="500">
        <v>13967.73</v>
      </c>
      <c r="Z32" s="500">
        <v>0</v>
      </c>
      <c r="AA32" s="500">
        <v>0</v>
      </c>
      <c r="AB32" s="500">
        <v>0</v>
      </c>
      <c r="AC32" s="500">
        <v>0</v>
      </c>
      <c r="AD32" s="500">
        <v>0</v>
      </c>
      <c r="AE32" s="500">
        <v>19798.12</v>
      </c>
      <c r="AF32" s="500">
        <v>79607</v>
      </c>
      <c r="AG32" s="501">
        <f t="shared" si="3"/>
        <v>3385239.2800000003</v>
      </c>
      <c r="AH32" s="500">
        <v>1333139.8400000001</v>
      </c>
      <c r="AI32" s="500">
        <v>914.38</v>
      </c>
      <c r="AJ32" s="500">
        <v>704942.06</v>
      </c>
      <c r="AK32" s="500">
        <v>54890.13</v>
      </c>
      <c r="AL32" s="500">
        <v>151366.29</v>
      </c>
      <c r="AM32" s="500">
        <v>0</v>
      </c>
      <c r="AN32" s="500">
        <v>98265.79</v>
      </c>
      <c r="AO32" s="500">
        <v>17005.88</v>
      </c>
      <c r="AP32" s="500">
        <v>2641.87</v>
      </c>
      <c r="AQ32" s="500">
        <v>751.98</v>
      </c>
      <c r="AR32" s="500">
        <v>0</v>
      </c>
      <c r="AS32" s="500">
        <v>31228.560000000001</v>
      </c>
      <c r="AT32" s="500">
        <v>4426.7</v>
      </c>
      <c r="AU32" s="500">
        <v>66733.16</v>
      </c>
      <c r="AV32" s="500">
        <v>4905.3</v>
      </c>
      <c r="AW32" s="500">
        <v>108581.75999999999</v>
      </c>
      <c r="AX32" s="500">
        <v>42997.34</v>
      </c>
      <c r="AY32" s="500">
        <v>16305.09</v>
      </c>
      <c r="AZ32" s="500">
        <v>95820.67</v>
      </c>
      <c r="BA32" s="500">
        <v>17478.849999999999</v>
      </c>
      <c r="BB32" s="500">
        <v>0</v>
      </c>
      <c r="BC32" s="500">
        <v>21069.06</v>
      </c>
      <c r="BD32" s="500">
        <v>18488.560000000001</v>
      </c>
      <c r="BE32" s="500">
        <v>717.75</v>
      </c>
      <c r="BF32" s="500">
        <v>146080.37</v>
      </c>
      <c r="BG32" s="500">
        <v>79840.06</v>
      </c>
      <c r="BH32" s="500">
        <v>154387.63</v>
      </c>
      <c r="BI32" s="500">
        <v>54725.82</v>
      </c>
      <c r="BJ32" s="500">
        <v>0</v>
      </c>
      <c r="BK32" s="500">
        <v>0</v>
      </c>
      <c r="BL32" s="500">
        <v>0</v>
      </c>
      <c r="BM32" s="500">
        <v>0</v>
      </c>
      <c r="BN32" s="500">
        <v>0</v>
      </c>
      <c r="BO32" s="501">
        <f t="shared" si="4"/>
        <v>3227704.8999999994</v>
      </c>
      <c r="BP32" s="501">
        <f t="shared" si="5"/>
        <v>157534.38000000082</v>
      </c>
      <c r="BQ32" s="501">
        <f t="shared" si="0"/>
        <v>-99110.61999999918</v>
      </c>
      <c r="BR32" s="501">
        <f t="shared" si="6"/>
        <v>0</v>
      </c>
      <c r="BS32" s="501">
        <f t="shared" si="1"/>
        <v>-99110.61999999918</v>
      </c>
      <c r="BT32" s="500">
        <v>18750</v>
      </c>
      <c r="BU32" s="500">
        <v>9672.25</v>
      </c>
      <c r="BV32" s="500">
        <v>0</v>
      </c>
      <c r="BW32" s="500">
        <v>0</v>
      </c>
      <c r="BX32" s="501">
        <f t="shared" si="7"/>
        <v>9672.25</v>
      </c>
      <c r="BY32" s="500">
        <v>0</v>
      </c>
      <c r="BZ32" s="500">
        <v>0</v>
      </c>
      <c r="CA32" s="500">
        <v>7819</v>
      </c>
      <c r="CB32" s="500">
        <v>0</v>
      </c>
      <c r="CC32" s="501">
        <f t="shared" si="8"/>
        <v>7819</v>
      </c>
      <c r="CD32" s="500">
        <f t="shared" si="9"/>
        <v>1853.25</v>
      </c>
      <c r="CE32" s="224">
        <f t="shared" si="10"/>
        <v>20603.25</v>
      </c>
      <c r="CF32" s="224">
        <f t="shared" si="2"/>
        <v>-78507.36999999918</v>
      </c>
      <c r="CI32" t="e">
        <f>_xlfn.XLOOKUP(D32,#REF!,#REF!)</f>
        <v>#REF!</v>
      </c>
      <c r="CJ32" t="e">
        <f>_xlfn.XLOOKUP(D32,#REF!,#REF!)</f>
        <v>#REF!</v>
      </c>
      <c r="CK32" t="e">
        <f t="shared" si="11"/>
        <v>#REF!</v>
      </c>
      <c r="CM32" s="224" t="e">
        <f t="shared" si="12"/>
        <v>#REF!</v>
      </c>
      <c r="CN32" s="224" t="e">
        <f t="shared" si="13"/>
        <v>#REF!</v>
      </c>
      <c r="CO32" s="224" t="e">
        <f t="shared" si="13"/>
        <v>#REF!</v>
      </c>
    </row>
    <row r="33" spans="1:93">
      <c r="A33" t="s">
        <v>156</v>
      </c>
      <c r="B33" t="s">
        <v>129</v>
      </c>
      <c r="C33">
        <v>101282</v>
      </c>
      <c r="D33" s="3">
        <v>3022028</v>
      </c>
      <c r="E33" s="3">
        <v>2028</v>
      </c>
      <c r="F33">
        <v>10068</v>
      </c>
      <c r="G33">
        <v>90068</v>
      </c>
      <c r="H33">
        <v>938625</v>
      </c>
      <c r="I33">
        <v>-174959</v>
      </c>
      <c r="J33">
        <v>0</v>
      </c>
      <c r="K33">
        <v>-174959</v>
      </c>
      <c r="L33" s="500">
        <v>1410834.31</v>
      </c>
      <c r="M33" s="500">
        <v>0</v>
      </c>
      <c r="N33" s="500">
        <v>111300.38</v>
      </c>
      <c r="O33" s="500">
        <v>0</v>
      </c>
      <c r="P33" s="500">
        <v>77114.990000000005</v>
      </c>
      <c r="Q33" s="500">
        <v>4412.99</v>
      </c>
      <c r="R33" s="500">
        <v>34963.58</v>
      </c>
      <c r="S33" s="500">
        <v>13750</v>
      </c>
      <c r="T33" s="500">
        <v>7825.91</v>
      </c>
      <c r="U33" s="500">
        <v>492.19</v>
      </c>
      <c r="V33" s="500">
        <v>1600</v>
      </c>
      <c r="W33" s="500">
        <v>0</v>
      </c>
      <c r="X33" s="500">
        <v>7357.95</v>
      </c>
      <c r="Y33" s="500">
        <v>5680.74</v>
      </c>
      <c r="Z33" s="500">
        <v>0</v>
      </c>
      <c r="AA33" s="500">
        <v>0</v>
      </c>
      <c r="AB33" s="500">
        <v>0</v>
      </c>
      <c r="AC33" s="500">
        <v>0</v>
      </c>
      <c r="AD33" s="500">
        <v>0</v>
      </c>
      <c r="AE33" s="500">
        <v>11424.37</v>
      </c>
      <c r="AF33" s="500">
        <v>94132</v>
      </c>
      <c r="AG33" s="501">
        <f t="shared" si="3"/>
        <v>1780889.41</v>
      </c>
      <c r="AH33" s="500">
        <v>829220.5</v>
      </c>
      <c r="AI33" s="500">
        <v>586.20000000000005</v>
      </c>
      <c r="AJ33" s="500">
        <v>233633.82</v>
      </c>
      <c r="AK33" s="500">
        <v>44588.23</v>
      </c>
      <c r="AL33" s="500">
        <v>107726.99</v>
      </c>
      <c r="AM33" s="500">
        <v>0</v>
      </c>
      <c r="AN33" s="500">
        <v>37889.339999999997</v>
      </c>
      <c r="AO33" s="500">
        <v>9192.85</v>
      </c>
      <c r="AP33" s="500">
        <v>1517.8</v>
      </c>
      <c r="AQ33" s="500">
        <v>7987.54</v>
      </c>
      <c r="AR33" s="500">
        <v>0</v>
      </c>
      <c r="AS33" s="500">
        <v>23375.87</v>
      </c>
      <c r="AT33" s="500">
        <v>2912.74</v>
      </c>
      <c r="AU33" s="500">
        <v>21316.83</v>
      </c>
      <c r="AV33" s="500">
        <v>2616.54</v>
      </c>
      <c r="AW33" s="500">
        <v>39034.33</v>
      </c>
      <c r="AX33" s="500">
        <v>19542.8</v>
      </c>
      <c r="AY33" s="500">
        <v>9507.25</v>
      </c>
      <c r="AZ33" s="500">
        <v>20175.82</v>
      </c>
      <c r="BA33" s="500">
        <v>6712.2</v>
      </c>
      <c r="BB33" s="500">
        <v>0</v>
      </c>
      <c r="BC33" s="500">
        <v>11237.09</v>
      </c>
      <c r="BD33" s="500">
        <v>9269.1299999999992</v>
      </c>
      <c r="BE33" s="500">
        <v>965.8</v>
      </c>
      <c r="BF33" s="500">
        <v>83748.240000000005</v>
      </c>
      <c r="BG33" s="500">
        <v>67711.08</v>
      </c>
      <c r="BH33" s="500">
        <v>229626.34</v>
      </c>
      <c r="BI33" s="500">
        <v>33007</v>
      </c>
      <c r="BJ33" s="500">
        <v>0</v>
      </c>
      <c r="BK33" s="500">
        <v>0</v>
      </c>
      <c r="BL33" s="500">
        <v>0</v>
      </c>
      <c r="BM33" s="500">
        <v>0</v>
      </c>
      <c r="BN33" s="500">
        <v>0</v>
      </c>
      <c r="BO33" s="501">
        <f t="shared" si="4"/>
        <v>1853102.3300000008</v>
      </c>
      <c r="BP33" s="501">
        <f t="shared" si="5"/>
        <v>-72212.920000000857</v>
      </c>
      <c r="BQ33" s="501">
        <f t="shared" si="0"/>
        <v>-247171.92000000086</v>
      </c>
      <c r="BR33" s="501">
        <f t="shared" si="6"/>
        <v>0</v>
      </c>
      <c r="BS33" s="501">
        <f t="shared" si="1"/>
        <v>-247171.92000000086</v>
      </c>
      <c r="BT33" s="500">
        <v>14763</v>
      </c>
      <c r="BU33" s="500">
        <v>6475</v>
      </c>
      <c r="BV33" s="500">
        <v>13664.65</v>
      </c>
      <c r="BW33" s="500">
        <v>0</v>
      </c>
      <c r="BX33" s="501">
        <f t="shared" si="7"/>
        <v>20139.650000000001</v>
      </c>
      <c r="BY33" s="500">
        <v>0</v>
      </c>
      <c r="BZ33" s="500">
        <v>0</v>
      </c>
      <c r="CA33" s="500">
        <v>0</v>
      </c>
      <c r="CB33" s="500">
        <v>20106.400000000001</v>
      </c>
      <c r="CC33" s="501">
        <f t="shared" si="8"/>
        <v>20106.400000000001</v>
      </c>
      <c r="CD33" s="500">
        <f t="shared" si="9"/>
        <v>33.25</v>
      </c>
      <c r="CE33" s="224">
        <f t="shared" si="10"/>
        <v>14796.25</v>
      </c>
      <c r="CF33" s="224">
        <f t="shared" si="2"/>
        <v>-232375.67000000086</v>
      </c>
      <c r="CI33" t="e">
        <f>_xlfn.XLOOKUP(D33,#REF!,#REF!)</f>
        <v>#REF!</v>
      </c>
      <c r="CJ33" t="e">
        <f>_xlfn.XLOOKUP(D33,#REF!,#REF!)</f>
        <v>#REF!</v>
      </c>
      <c r="CK33" t="e">
        <f t="shared" si="11"/>
        <v>#REF!</v>
      </c>
      <c r="CM33" s="224" t="e">
        <f t="shared" si="12"/>
        <v>#REF!</v>
      </c>
      <c r="CN33" s="224" t="e">
        <f t="shared" si="13"/>
        <v>#REF!</v>
      </c>
      <c r="CO33" s="224" t="e">
        <f t="shared" si="13"/>
        <v>#REF!</v>
      </c>
    </row>
    <row r="34" spans="1:93">
      <c r="A34" t="s">
        <v>157</v>
      </c>
      <c r="B34" t="s">
        <v>129</v>
      </c>
      <c r="C34">
        <v>101281</v>
      </c>
      <c r="D34" s="3">
        <v>3022027</v>
      </c>
      <c r="E34" s="3">
        <v>2027</v>
      </c>
      <c r="F34">
        <v>10067</v>
      </c>
      <c r="G34">
        <v>90067</v>
      </c>
      <c r="H34">
        <v>938624</v>
      </c>
      <c r="I34">
        <v>-61244</v>
      </c>
      <c r="J34">
        <v>0</v>
      </c>
      <c r="K34">
        <v>-61244</v>
      </c>
      <c r="L34" s="500">
        <v>1801594.14</v>
      </c>
      <c r="M34" s="500">
        <v>0</v>
      </c>
      <c r="N34" s="500">
        <v>113971.09</v>
      </c>
      <c r="O34" s="500">
        <v>0</v>
      </c>
      <c r="P34" s="500">
        <v>137800</v>
      </c>
      <c r="Q34" s="500">
        <v>4944.42</v>
      </c>
      <c r="R34" s="500">
        <v>100689.72</v>
      </c>
      <c r="S34" s="500">
        <v>16205</v>
      </c>
      <c r="T34" s="500">
        <v>16657.259999999998</v>
      </c>
      <c r="U34" s="500">
        <v>22123.32</v>
      </c>
      <c r="V34" s="500">
        <v>0</v>
      </c>
      <c r="W34" s="500">
        <v>0</v>
      </c>
      <c r="X34" s="500">
        <v>37913.85</v>
      </c>
      <c r="Y34" s="500">
        <v>10557.28</v>
      </c>
      <c r="Z34" s="500">
        <v>0</v>
      </c>
      <c r="AA34" s="500">
        <v>0</v>
      </c>
      <c r="AB34" s="500">
        <v>0</v>
      </c>
      <c r="AC34" s="500">
        <v>0</v>
      </c>
      <c r="AD34" s="500">
        <v>0</v>
      </c>
      <c r="AE34" s="500">
        <v>22081.87</v>
      </c>
      <c r="AF34" s="500">
        <v>19293</v>
      </c>
      <c r="AG34" s="501">
        <f t="shared" si="3"/>
        <v>2303830.9499999997</v>
      </c>
      <c r="AH34" s="500">
        <v>1121208.48</v>
      </c>
      <c r="AI34" s="500">
        <v>0</v>
      </c>
      <c r="AJ34" s="500">
        <v>320429.28000000003</v>
      </c>
      <c r="AK34" s="500">
        <v>44760.44</v>
      </c>
      <c r="AL34" s="500">
        <v>106377.67</v>
      </c>
      <c r="AM34" s="500">
        <v>0</v>
      </c>
      <c r="AN34" s="500">
        <v>26295.119999999999</v>
      </c>
      <c r="AO34" s="500">
        <v>10459.950000000001</v>
      </c>
      <c r="AP34" s="500">
        <v>2024.77</v>
      </c>
      <c r="AQ34" s="500">
        <v>8943.6200000000008</v>
      </c>
      <c r="AR34" s="500">
        <v>0</v>
      </c>
      <c r="AS34" s="500">
        <v>13733.69</v>
      </c>
      <c r="AT34" s="500">
        <v>3286.68</v>
      </c>
      <c r="AU34" s="500">
        <v>28402.39</v>
      </c>
      <c r="AV34" s="500">
        <v>3924.81</v>
      </c>
      <c r="AW34" s="500">
        <v>56323.74</v>
      </c>
      <c r="AX34" s="500">
        <v>19542.8</v>
      </c>
      <c r="AY34" s="500">
        <v>11609.49</v>
      </c>
      <c r="AZ34" s="500">
        <v>66610.23</v>
      </c>
      <c r="BA34" s="500">
        <v>15954.65</v>
      </c>
      <c r="BB34" s="500">
        <v>0</v>
      </c>
      <c r="BC34" s="500">
        <v>17534.93</v>
      </c>
      <c r="BD34" s="500">
        <v>13314.9</v>
      </c>
      <c r="BE34" s="500">
        <v>9808.76</v>
      </c>
      <c r="BF34" s="500">
        <v>99768.35</v>
      </c>
      <c r="BG34" s="500">
        <v>80392.62</v>
      </c>
      <c r="BH34" s="500">
        <v>223355.94</v>
      </c>
      <c r="BI34" s="500">
        <v>32726.959999999999</v>
      </c>
      <c r="BJ34" s="500">
        <v>0</v>
      </c>
      <c r="BK34" s="500">
        <v>0</v>
      </c>
      <c r="BL34" s="500">
        <v>0</v>
      </c>
      <c r="BM34" s="500">
        <v>0</v>
      </c>
      <c r="BN34" s="500">
        <v>0</v>
      </c>
      <c r="BO34" s="501">
        <f t="shared" si="4"/>
        <v>2336790.2699999996</v>
      </c>
      <c r="BP34" s="501">
        <f t="shared" si="5"/>
        <v>-32959.319999999832</v>
      </c>
      <c r="BQ34" s="501">
        <f t="shared" si="0"/>
        <v>-94203.319999999832</v>
      </c>
      <c r="BR34" s="501">
        <f t="shared" si="6"/>
        <v>0</v>
      </c>
      <c r="BS34" s="501">
        <f t="shared" si="1"/>
        <v>-94203.319999999832</v>
      </c>
      <c r="BT34" s="500">
        <v>20032</v>
      </c>
      <c r="BU34" s="500">
        <v>7723.75</v>
      </c>
      <c r="BV34" s="500">
        <v>0</v>
      </c>
      <c r="BW34" s="500">
        <v>0</v>
      </c>
      <c r="BX34" s="501">
        <f t="shared" si="7"/>
        <v>7723.75</v>
      </c>
      <c r="BY34" s="500"/>
      <c r="BZ34" s="500"/>
      <c r="CA34" s="500"/>
      <c r="CB34" s="500"/>
      <c r="CC34" s="501">
        <f t="shared" si="8"/>
        <v>0</v>
      </c>
      <c r="CD34" s="500">
        <f t="shared" si="9"/>
        <v>7723.75</v>
      </c>
      <c r="CE34" s="224">
        <f t="shared" si="10"/>
        <v>27755.75</v>
      </c>
      <c r="CF34" s="224">
        <f t="shared" si="2"/>
        <v>-66447.569999999832</v>
      </c>
      <c r="CI34" t="e">
        <f>_xlfn.XLOOKUP(D34,#REF!,#REF!)</f>
        <v>#REF!</v>
      </c>
      <c r="CJ34" t="e">
        <f>_xlfn.XLOOKUP(D34,#REF!,#REF!)</f>
        <v>#REF!</v>
      </c>
      <c r="CK34" t="e">
        <f t="shared" si="11"/>
        <v>#REF!</v>
      </c>
      <c r="CM34" s="224" t="e">
        <f t="shared" si="12"/>
        <v>#REF!</v>
      </c>
      <c r="CN34" s="224" t="e">
        <f t="shared" si="13"/>
        <v>#REF!</v>
      </c>
      <c r="CO34" s="224" t="e">
        <f t="shared" si="13"/>
        <v>#REF!</v>
      </c>
    </row>
    <row r="35" spans="1:93">
      <c r="A35" t="s">
        <v>158</v>
      </c>
      <c r="B35" t="s">
        <v>129</v>
      </c>
      <c r="C35">
        <v>101283</v>
      </c>
      <c r="D35" s="3">
        <v>3022029</v>
      </c>
      <c r="E35" s="3">
        <v>2029</v>
      </c>
      <c r="F35">
        <v>10069</v>
      </c>
      <c r="G35">
        <v>90069</v>
      </c>
      <c r="H35">
        <v>938626</v>
      </c>
      <c r="I35">
        <v>21927</v>
      </c>
      <c r="J35">
        <v>0</v>
      </c>
      <c r="K35">
        <v>21927</v>
      </c>
      <c r="L35" s="500">
        <v>2715656.87</v>
      </c>
      <c r="M35" s="500">
        <v>0</v>
      </c>
      <c r="N35" s="500">
        <v>177084.71</v>
      </c>
      <c r="O35" s="500">
        <v>0</v>
      </c>
      <c r="P35" s="500">
        <v>232735.02</v>
      </c>
      <c r="Q35" s="500">
        <v>2812.99</v>
      </c>
      <c r="R35" s="500">
        <v>97346.34</v>
      </c>
      <c r="S35" s="500">
        <v>0</v>
      </c>
      <c r="T35" s="500">
        <v>30400.45</v>
      </c>
      <c r="U35" s="500">
        <v>15931.53</v>
      </c>
      <c r="V35" s="500">
        <v>0</v>
      </c>
      <c r="W35" s="500">
        <v>0</v>
      </c>
      <c r="X35" s="500">
        <v>34781.9</v>
      </c>
      <c r="Y35" s="500">
        <v>7794.14</v>
      </c>
      <c r="Z35" s="500">
        <v>0</v>
      </c>
      <c r="AA35" s="500">
        <v>0</v>
      </c>
      <c r="AB35" s="500">
        <v>0</v>
      </c>
      <c r="AC35" s="500">
        <v>0</v>
      </c>
      <c r="AD35" s="500">
        <v>0</v>
      </c>
      <c r="AE35" s="500">
        <v>38483.75</v>
      </c>
      <c r="AF35" s="500">
        <v>66393</v>
      </c>
      <c r="AG35" s="501">
        <f t="shared" si="3"/>
        <v>3419420.7</v>
      </c>
      <c r="AH35" s="500">
        <v>1259132.3899999999</v>
      </c>
      <c r="AI35" s="500">
        <v>0</v>
      </c>
      <c r="AJ35" s="500">
        <v>1006369.62</v>
      </c>
      <c r="AK35" s="500">
        <v>198843.33</v>
      </c>
      <c r="AL35" s="500">
        <v>83908.66</v>
      </c>
      <c r="AM35" s="500">
        <v>115682.93</v>
      </c>
      <c r="AN35" s="500">
        <v>269616.62</v>
      </c>
      <c r="AO35" s="500">
        <v>12302.39</v>
      </c>
      <c r="AP35" s="500">
        <v>2918.8</v>
      </c>
      <c r="AQ35" s="500">
        <v>693.88</v>
      </c>
      <c r="AR35" s="500">
        <v>0</v>
      </c>
      <c r="AS35" s="500">
        <v>37072.6</v>
      </c>
      <c r="AT35" s="500">
        <v>4033.28</v>
      </c>
      <c r="AU35" s="500">
        <v>5197.29</v>
      </c>
      <c r="AV35" s="500">
        <v>3241.63</v>
      </c>
      <c r="AW35" s="500">
        <v>51883.47</v>
      </c>
      <c r="AX35" s="500">
        <v>30600</v>
      </c>
      <c r="AY35" s="500">
        <v>22216.46</v>
      </c>
      <c r="AZ35" s="500">
        <v>81644</v>
      </c>
      <c r="BA35" s="500">
        <v>16153.36</v>
      </c>
      <c r="BB35" s="500">
        <v>0</v>
      </c>
      <c r="BC35" s="500">
        <v>26901.71</v>
      </c>
      <c r="BD35" s="500">
        <v>16256.02</v>
      </c>
      <c r="BE35" s="500">
        <v>12806.65</v>
      </c>
      <c r="BF35" s="500">
        <v>87015.26</v>
      </c>
      <c r="BG35" s="500">
        <v>78562.73</v>
      </c>
      <c r="BH35" s="500">
        <v>187341.33</v>
      </c>
      <c r="BI35" s="500">
        <v>43573.2</v>
      </c>
      <c r="BJ35" s="500">
        <v>0</v>
      </c>
      <c r="BK35" s="500">
        <v>0</v>
      </c>
      <c r="BL35" s="500">
        <v>0</v>
      </c>
      <c r="BM35" s="500">
        <v>0</v>
      </c>
      <c r="BN35" s="500">
        <v>0</v>
      </c>
      <c r="BO35" s="501">
        <f t="shared" si="4"/>
        <v>3653967.61</v>
      </c>
      <c r="BP35" s="501">
        <f t="shared" si="5"/>
        <v>-234546.90999999968</v>
      </c>
      <c r="BQ35" s="501">
        <f t="shared" si="0"/>
        <v>-212619.90999999968</v>
      </c>
      <c r="BR35" s="501">
        <f t="shared" si="6"/>
        <v>0</v>
      </c>
      <c r="BS35" s="501">
        <f t="shared" si="1"/>
        <v>-212619.90999999968</v>
      </c>
      <c r="BT35" s="500">
        <v>50711</v>
      </c>
      <c r="BU35" s="500">
        <v>9186.25</v>
      </c>
      <c r="BV35" s="500">
        <v>0</v>
      </c>
      <c r="BW35" s="500">
        <v>0</v>
      </c>
      <c r="BX35" s="501">
        <f t="shared" si="7"/>
        <v>9186.25</v>
      </c>
      <c r="BY35" s="500">
        <v>34835</v>
      </c>
      <c r="BZ35" s="500">
        <v>0</v>
      </c>
      <c r="CA35" s="500">
        <v>0</v>
      </c>
      <c r="CB35" s="500">
        <v>0</v>
      </c>
      <c r="CC35" s="501">
        <f t="shared" si="8"/>
        <v>34835</v>
      </c>
      <c r="CD35" s="500">
        <f t="shared" si="9"/>
        <v>-25648.75</v>
      </c>
      <c r="CE35" s="224">
        <f t="shared" si="10"/>
        <v>25062.25</v>
      </c>
      <c r="CF35" s="224">
        <f t="shared" si="2"/>
        <v>-187557.65999999968</v>
      </c>
      <c r="CI35" t="e">
        <f>_xlfn.XLOOKUP(D35,#REF!,#REF!)</f>
        <v>#REF!</v>
      </c>
      <c r="CJ35" t="e">
        <f>_xlfn.XLOOKUP(D35,#REF!,#REF!)</f>
        <v>#REF!</v>
      </c>
      <c r="CK35" t="e">
        <f t="shared" si="11"/>
        <v>#REF!</v>
      </c>
      <c r="CM35" s="224" t="e">
        <f t="shared" si="12"/>
        <v>#REF!</v>
      </c>
      <c r="CN35" s="224" t="e">
        <f t="shared" si="13"/>
        <v>#REF!</v>
      </c>
      <c r="CO35" s="224" t="e">
        <f t="shared" si="13"/>
        <v>#REF!</v>
      </c>
    </row>
    <row r="36" spans="1:93">
      <c r="A36" t="s">
        <v>159</v>
      </c>
      <c r="B36" t="s">
        <v>129</v>
      </c>
      <c r="C36">
        <v>130998</v>
      </c>
      <c r="D36" s="3">
        <v>3023516</v>
      </c>
      <c r="E36" s="3">
        <v>3516</v>
      </c>
      <c r="F36">
        <v>10121</v>
      </c>
      <c r="G36">
        <v>90121</v>
      </c>
      <c r="H36">
        <v>938678</v>
      </c>
      <c r="I36">
        <v>10134</v>
      </c>
      <c r="J36">
        <v>0</v>
      </c>
      <c r="K36">
        <v>10134</v>
      </c>
      <c r="L36" s="500">
        <v>1201221.8700000001</v>
      </c>
      <c r="M36" s="500">
        <v>0</v>
      </c>
      <c r="N36" s="500">
        <v>130960.47</v>
      </c>
      <c r="O36" s="500">
        <v>0</v>
      </c>
      <c r="P36" s="500">
        <v>52380.04</v>
      </c>
      <c r="Q36" s="500">
        <v>64968.180000000008</v>
      </c>
      <c r="R36" s="500">
        <v>47536.42</v>
      </c>
      <c r="S36" s="500">
        <v>0</v>
      </c>
      <c r="T36" s="500">
        <v>4298</v>
      </c>
      <c r="U36" s="500">
        <v>10626.45</v>
      </c>
      <c r="V36" s="500">
        <v>9700</v>
      </c>
      <c r="W36" s="500">
        <v>0</v>
      </c>
      <c r="X36" s="500">
        <v>12817</v>
      </c>
      <c r="Y36" s="500">
        <v>215106.83</v>
      </c>
      <c r="Z36" s="500">
        <v>0</v>
      </c>
      <c r="AA36" s="500">
        <v>0</v>
      </c>
      <c r="AB36" s="500">
        <v>0</v>
      </c>
      <c r="AC36" s="500">
        <v>0</v>
      </c>
      <c r="AD36" s="500">
        <v>0</v>
      </c>
      <c r="AE36" s="500">
        <v>8014.37</v>
      </c>
      <c r="AF36" s="500">
        <v>43061</v>
      </c>
      <c r="AG36" s="501">
        <f t="shared" si="3"/>
        <v>1800690.6300000001</v>
      </c>
      <c r="AH36" s="500">
        <v>973482.04</v>
      </c>
      <c r="AI36" s="500">
        <v>0</v>
      </c>
      <c r="AJ36" s="500">
        <v>250091.78</v>
      </c>
      <c r="AK36" s="500">
        <v>76062.33</v>
      </c>
      <c r="AL36" s="500">
        <v>158009.47</v>
      </c>
      <c r="AM36" s="500">
        <v>0</v>
      </c>
      <c r="AN36" s="500">
        <v>31613.66</v>
      </c>
      <c r="AO36" s="500">
        <v>2529.27</v>
      </c>
      <c r="AP36" s="500">
        <v>1909</v>
      </c>
      <c r="AQ36" s="500">
        <v>9277.41</v>
      </c>
      <c r="AR36" s="500">
        <v>720</v>
      </c>
      <c r="AS36" s="500">
        <v>6971.68</v>
      </c>
      <c r="AT36" s="500">
        <v>204.94</v>
      </c>
      <c r="AU36" s="500">
        <v>1260.02</v>
      </c>
      <c r="AV36" s="500">
        <v>3354.19</v>
      </c>
      <c r="AW36" s="500">
        <v>18665.310000000001</v>
      </c>
      <c r="AX36" s="500">
        <v>19918.080000000002</v>
      </c>
      <c r="AY36" s="500">
        <v>64652.78</v>
      </c>
      <c r="AZ36" s="500">
        <v>61846.81</v>
      </c>
      <c r="BA36" s="500">
        <v>11325.63</v>
      </c>
      <c r="BB36" s="500">
        <v>0</v>
      </c>
      <c r="BC36" s="500">
        <v>9116.07</v>
      </c>
      <c r="BD36" s="500">
        <v>7479.11</v>
      </c>
      <c r="BE36" s="500">
        <v>815.56</v>
      </c>
      <c r="BF36" s="500">
        <v>40433.74</v>
      </c>
      <c r="BG36" s="500">
        <v>22202.27</v>
      </c>
      <c r="BH36" s="500">
        <v>43589.57</v>
      </c>
      <c r="BI36" s="500">
        <v>14742.52</v>
      </c>
      <c r="BJ36" s="500">
        <v>0</v>
      </c>
      <c r="BK36" s="500">
        <v>0</v>
      </c>
      <c r="BL36" s="500">
        <v>0</v>
      </c>
      <c r="BM36" s="500">
        <v>0</v>
      </c>
      <c r="BN36" s="500">
        <v>0</v>
      </c>
      <c r="BO36" s="501">
        <f t="shared" si="4"/>
        <v>1830273.2400000002</v>
      </c>
      <c r="BP36" s="501">
        <f t="shared" si="5"/>
        <v>-29582.610000000102</v>
      </c>
      <c r="BQ36" s="501">
        <f t="shared" si="0"/>
        <v>-19448.610000000102</v>
      </c>
      <c r="BR36" s="501">
        <f t="shared" si="6"/>
        <v>0</v>
      </c>
      <c r="BS36" s="501">
        <f t="shared" si="1"/>
        <v>-19448.610000000102</v>
      </c>
      <c r="BT36" s="500">
        <v>0</v>
      </c>
      <c r="BU36" s="500"/>
      <c r="BV36" s="500"/>
      <c r="BW36" s="500"/>
      <c r="BX36" s="501">
        <f t="shared" si="7"/>
        <v>0</v>
      </c>
      <c r="BY36" s="500"/>
      <c r="BZ36" s="500"/>
      <c r="CA36" s="500"/>
      <c r="CB36" s="500"/>
      <c r="CC36" s="501">
        <f t="shared" si="8"/>
        <v>0</v>
      </c>
      <c r="CD36" s="500">
        <f t="shared" si="9"/>
        <v>0</v>
      </c>
      <c r="CE36" s="224">
        <f t="shared" si="10"/>
        <v>0</v>
      </c>
      <c r="CF36" s="224">
        <f t="shared" si="2"/>
        <v>-19448.610000000102</v>
      </c>
      <c r="CI36" t="e">
        <f>_xlfn.XLOOKUP(D36,#REF!,#REF!)</f>
        <v>#REF!</v>
      </c>
      <c r="CJ36" t="e">
        <f>_xlfn.XLOOKUP(D36,#REF!,#REF!)</f>
        <v>#REF!</v>
      </c>
      <c r="CK36" t="e">
        <f t="shared" si="11"/>
        <v>#REF!</v>
      </c>
      <c r="CM36" s="224" t="e">
        <f t="shared" si="12"/>
        <v>#REF!</v>
      </c>
      <c r="CN36" s="224" t="e">
        <f t="shared" si="13"/>
        <v>#REF!</v>
      </c>
      <c r="CO36" s="224" t="e">
        <f t="shared" si="13"/>
        <v>#REF!</v>
      </c>
    </row>
    <row r="37" spans="1:93">
      <c r="A37" t="s">
        <v>160</v>
      </c>
      <c r="B37" t="s">
        <v>129</v>
      </c>
      <c r="C37">
        <v>101285</v>
      </c>
      <c r="D37" s="3">
        <v>3022031</v>
      </c>
      <c r="E37" s="3">
        <v>2031</v>
      </c>
      <c r="F37">
        <v>10071</v>
      </c>
      <c r="G37">
        <v>90071</v>
      </c>
      <c r="H37">
        <v>938628</v>
      </c>
      <c r="I37">
        <v>18863</v>
      </c>
      <c r="J37">
        <v>0</v>
      </c>
      <c r="K37">
        <v>18863</v>
      </c>
      <c r="L37" s="500">
        <v>1298841.52</v>
      </c>
      <c r="M37" s="500">
        <v>0</v>
      </c>
      <c r="N37" s="500">
        <v>87477.09</v>
      </c>
      <c r="O37" s="500">
        <v>0</v>
      </c>
      <c r="P37" s="500">
        <v>123452.04</v>
      </c>
      <c r="Q37" s="500">
        <v>12913.03</v>
      </c>
      <c r="R37" s="500">
        <v>25418.48</v>
      </c>
      <c r="S37" s="500">
        <v>33892.46</v>
      </c>
      <c r="T37" s="500">
        <v>10720.35</v>
      </c>
      <c r="U37" s="500">
        <v>6474.3</v>
      </c>
      <c r="V37" s="500">
        <v>0</v>
      </c>
      <c r="W37" s="500">
        <v>0</v>
      </c>
      <c r="X37" s="500">
        <v>22051.1</v>
      </c>
      <c r="Y37" s="500">
        <v>5458.8399999999965</v>
      </c>
      <c r="Z37" s="500">
        <v>0</v>
      </c>
      <c r="AA37" s="500">
        <v>0</v>
      </c>
      <c r="AB37" s="500">
        <v>0</v>
      </c>
      <c r="AC37" s="500">
        <v>0</v>
      </c>
      <c r="AD37" s="500">
        <v>0</v>
      </c>
      <c r="AE37" s="500">
        <v>0</v>
      </c>
      <c r="AF37" s="500">
        <v>52179.76</v>
      </c>
      <c r="AG37" s="501">
        <f t="shared" si="3"/>
        <v>1678878.9700000004</v>
      </c>
      <c r="AH37" s="500">
        <v>664569.84000000008</v>
      </c>
      <c r="AI37" s="500">
        <v>0</v>
      </c>
      <c r="AJ37" s="500">
        <v>506639.24</v>
      </c>
      <c r="AK37" s="500">
        <v>45539.17</v>
      </c>
      <c r="AL37" s="500">
        <v>86119.61</v>
      </c>
      <c r="AM37" s="500">
        <v>0</v>
      </c>
      <c r="AN37" s="500">
        <v>37628.65</v>
      </c>
      <c r="AO37" s="500">
        <v>3112.83</v>
      </c>
      <c r="AP37" s="500">
        <v>2216</v>
      </c>
      <c r="AQ37" s="500">
        <v>310.42</v>
      </c>
      <c r="AR37" s="500">
        <v>0</v>
      </c>
      <c r="AS37" s="500">
        <v>9397.39</v>
      </c>
      <c r="AT37" s="500">
        <v>8521.44</v>
      </c>
      <c r="AU37" s="500">
        <v>29096.25</v>
      </c>
      <c r="AV37" s="500">
        <v>4149.45</v>
      </c>
      <c r="AW37" s="500">
        <v>25322.58</v>
      </c>
      <c r="AX37" s="500">
        <v>23550</v>
      </c>
      <c r="AY37" s="500">
        <v>16780.23</v>
      </c>
      <c r="AZ37" s="500">
        <v>46652.2</v>
      </c>
      <c r="BA37" s="500">
        <v>8387.8700000000008</v>
      </c>
      <c r="BB37" s="500">
        <v>0</v>
      </c>
      <c r="BC37" s="500">
        <v>7096.29</v>
      </c>
      <c r="BD37" s="500">
        <v>8445.2199999999993</v>
      </c>
      <c r="BE37" s="500">
        <v>3024.84</v>
      </c>
      <c r="BF37" s="500">
        <v>61919.65</v>
      </c>
      <c r="BG37" s="500">
        <v>62515.06</v>
      </c>
      <c r="BH37" s="500">
        <v>101156.05</v>
      </c>
      <c r="BI37" s="500">
        <v>21992.57</v>
      </c>
      <c r="BJ37" s="500">
        <v>0</v>
      </c>
      <c r="BK37" s="500">
        <v>0</v>
      </c>
      <c r="BL37" s="500">
        <v>0</v>
      </c>
      <c r="BM37" s="500">
        <v>0</v>
      </c>
      <c r="BN37" s="500">
        <v>0</v>
      </c>
      <c r="BO37" s="501">
        <f t="shared" si="4"/>
        <v>1784142.85</v>
      </c>
      <c r="BP37" s="501">
        <f t="shared" si="5"/>
        <v>-105263.87999999966</v>
      </c>
      <c r="BQ37" s="501">
        <f t="shared" si="0"/>
        <v>-86400.879999999655</v>
      </c>
      <c r="BR37" s="501">
        <f t="shared" si="6"/>
        <v>0</v>
      </c>
      <c r="BS37" s="501">
        <f t="shared" si="1"/>
        <v>-86400.879999999655</v>
      </c>
      <c r="BT37" s="500">
        <v>30836</v>
      </c>
      <c r="BU37" s="500">
        <v>43546.400000000001</v>
      </c>
      <c r="BV37" s="500">
        <v>0</v>
      </c>
      <c r="BW37" s="500">
        <v>0</v>
      </c>
      <c r="BX37" s="501">
        <f t="shared" si="7"/>
        <v>43546.400000000001</v>
      </c>
      <c r="BY37" s="500">
        <v>0</v>
      </c>
      <c r="BZ37" s="500">
        <v>37264</v>
      </c>
      <c r="CA37" s="500">
        <v>0</v>
      </c>
      <c r="CB37" s="500">
        <v>7079.17</v>
      </c>
      <c r="CC37" s="501">
        <f t="shared" si="8"/>
        <v>44343.17</v>
      </c>
      <c r="CD37" s="500">
        <f t="shared" si="9"/>
        <v>-796.7699999999968</v>
      </c>
      <c r="CE37" s="224">
        <f t="shared" si="10"/>
        <v>30039.230000000003</v>
      </c>
      <c r="CF37" s="224">
        <f t="shared" si="2"/>
        <v>-56361.649999999652</v>
      </c>
      <c r="CI37" t="e">
        <f>_xlfn.XLOOKUP(D37,#REF!,#REF!)</f>
        <v>#REF!</v>
      </c>
      <c r="CJ37" t="e">
        <f>_xlfn.XLOOKUP(D37,#REF!,#REF!)</f>
        <v>#REF!</v>
      </c>
      <c r="CK37" t="e">
        <f t="shared" si="11"/>
        <v>#REF!</v>
      </c>
      <c r="CM37" s="224" t="e">
        <f t="shared" si="12"/>
        <v>#REF!</v>
      </c>
      <c r="CN37" s="224" t="e">
        <f t="shared" si="13"/>
        <v>#REF!</v>
      </c>
      <c r="CO37" s="224" t="e">
        <f t="shared" si="13"/>
        <v>#REF!</v>
      </c>
    </row>
    <row r="38" spans="1:93">
      <c r="A38" t="s">
        <v>161</v>
      </c>
      <c r="B38" t="s">
        <v>129</v>
      </c>
      <c r="C38">
        <v>101286</v>
      </c>
      <c r="D38" s="3">
        <v>3022032</v>
      </c>
      <c r="E38" s="3">
        <v>2032</v>
      </c>
      <c r="F38">
        <v>10072</v>
      </c>
      <c r="G38">
        <v>90072</v>
      </c>
      <c r="H38">
        <v>938629</v>
      </c>
      <c r="I38">
        <v>2824</v>
      </c>
      <c r="J38">
        <v>0</v>
      </c>
      <c r="K38">
        <v>2824</v>
      </c>
      <c r="L38" s="500">
        <v>2408705.12</v>
      </c>
      <c r="M38" s="500">
        <v>0</v>
      </c>
      <c r="N38" s="500">
        <v>197517.9</v>
      </c>
      <c r="O38" s="500">
        <v>0</v>
      </c>
      <c r="P38" s="500">
        <v>144519.01999999999</v>
      </c>
      <c r="Q38" s="500">
        <v>0</v>
      </c>
      <c r="R38" s="500">
        <v>71461.919999999998</v>
      </c>
      <c r="S38" s="500">
        <v>101643.28</v>
      </c>
      <c r="T38" s="500">
        <v>0</v>
      </c>
      <c r="U38" s="500">
        <v>14398.52</v>
      </c>
      <c r="V38" s="500">
        <v>0</v>
      </c>
      <c r="W38" s="500">
        <v>0</v>
      </c>
      <c r="X38" s="500">
        <v>48131.789999999994</v>
      </c>
      <c r="Y38" s="500">
        <v>20932.78</v>
      </c>
      <c r="Z38" s="500">
        <v>0</v>
      </c>
      <c r="AA38" s="500">
        <v>0</v>
      </c>
      <c r="AB38" s="500">
        <v>0</v>
      </c>
      <c r="AC38" s="500">
        <v>0</v>
      </c>
      <c r="AD38" s="500">
        <v>0</v>
      </c>
      <c r="AE38" s="500">
        <v>0</v>
      </c>
      <c r="AF38" s="500">
        <v>102168.76</v>
      </c>
      <c r="AG38" s="501">
        <f t="shared" si="3"/>
        <v>3109479.0899999994</v>
      </c>
      <c r="AH38" s="500">
        <v>1401236.76</v>
      </c>
      <c r="AI38" s="500">
        <v>40317.03</v>
      </c>
      <c r="AJ38" s="500">
        <v>728214.77</v>
      </c>
      <c r="AK38" s="500">
        <v>47411.25</v>
      </c>
      <c r="AL38" s="500">
        <v>53600.54</v>
      </c>
      <c r="AM38" s="500">
        <v>0</v>
      </c>
      <c r="AN38" s="500">
        <v>47910.49</v>
      </c>
      <c r="AO38" s="500">
        <v>10787.55</v>
      </c>
      <c r="AP38" s="500">
        <v>1212.98</v>
      </c>
      <c r="AQ38" s="500">
        <v>700.52</v>
      </c>
      <c r="AR38" s="500">
        <v>3127</v>
      </c>
      <c r="AS38" s="500">
        <v>19755.89</v>
      </c>
      <c r="AT38" s="500">
        <v>4066.64</v>
      </c>
      <c r="AU38" s="500">
        <v>55756.29</v>
      </c>
      <c r="AV38" s="500">
        <v>4933.58</v>
      </c>
      <c r="AW38" s="500">
        <v>43778.78</v>
      </c>
      <c r="AX38" s="500">
        <v>31500</v>
      </c>
      <c r="AY38" s="500">
        <v>8384.17</v>
      </c>
      <c r="AZ38" s="500">
        <v>130133.35999999999</v>
      </c>
      <c r="BA38" s="500">
        <v>18812.93</v>
      </c>
      <c r="BB38" s="500">
        <v>0</v>
      </c>
      <c r="BC38" s="500">
        <v>20916.52</v>
      </c>
      <c r="BD38" s="500">
        <v>13284.58</v>
      </c>
      <c r="BE38" s="500">
        <v>2700</v>
      </c>
      <c r="BF38" s="500">
        <v>151858.29999999999</v>
      </c>
      <c r="BG38" s="500">
        <v>179905.35</v>
      </c>
      <c r="BH38" s="500">
        <v>69536.08</v>
      </c>
      <c r="BI38" s="500">
        <v>46753.98</v>
      </c>
      <c r="BJ38" s="500">
        <v>0</v>
      </c>
      <c r="BK38" s="500">
        <v>0</v>
      </c>
      <c r="BL38" s="500">
        <v>1707.75</v>
      </c>
      <c r="BM38" s="500">
        <v>0</v>
      </c>
      <c r="BN38" s="500">
        <v>0</v>
      </c>
      <c r="BO38" s="501">
        <f t="shared" si="4"/>
        <v>3138303.0900000003</v>
      </c>
      <c r="BP38" s="501">
        <f t="shared" si="5"/>
        <v>-28824.000000000931</v>
      </c>
      <c r="BQ38" s="501">
        <f t="shared" si="0"/>
        <v>-26000.000000000931</v>
      </c>
      <c r="BR38" s="501">
        <f t="shared" si="6"/>
        <v>0</v>
      </c>
      <c r="BS38" s="501">
        <f t="shared" si="1"/>
        <v>-26000.000000000931</v>
      </c>
      <c r="BT38" s="500">
        <v>0</v>
      </c>
      <c r="BU38" s="500">
        <v>9087.25</v>
      </c>
      <c r="BV38" s="500">
        <v>0</v>
      </c>
      <c r="BW38" s="500">
        <v>1707.75</v>
      </c>
      <c r="BX38" s="501">
        <f t="shared" si="7"/>
        <v>10795</v>
      </c>
      <c r="BY38" s="500">
        <v>0</v>
      </c>
      <c r="BZ38" s="500">
        <v>10795</v>
      </c>
      <c r="CA38" s="500">
        <v>0</v>
      </c>
      <c r="CB38" s="500">
        <v>0</v>
      </c>
      <c r="CC38" s="501">
        <f t="shared" si="8"/>
        <v>10795</v>
      </c>
      <c r="CD38" s="500">
        <f t="shared" si="9"/>
        <v>0</v>
      </c>
      <c r="CE38" s="224">
        <f t="shared" si="10"/>
        <v>0</v>
      </c>
      <c r="CF38" s="224">
        <f t="shared" si="2"/>
        <v>-26000.000000000931</v>
      </c>
      <c r="CI38" t="e">
        <f>_xlfn.XLOOKUP(D38,#REF!,#REF!)</f>
        <v>#REF!</v>
      </c>
      <c r="CJ38" t="e">
        <f>_xlfn.XLOOKUP(D38,#REF!,#REF!)</f>
        <v>#REF!</v>
      </c>
      <c r="CK38" t="e">
        <f t="shared" si="11"/>
        <v>#REF!</v>
      </c>
      <c r="CM38" s="224" t="e">
        <f t="shared" si="12"/>
        <v>#REF!</v>
      </c>
      <c r="CN38" s="224" t="e">
        <f t="shared" si="13"/>
        <v>#REF!</v>
      </c>
      <c r="CO38" s="224" t="e">
        <f t="shared" si="13"/>
        <v>#REF!</v>
      </c>
    </row>
    <row r="39" spans="1:93">
      <c r="A39" t="s">
        <v>162</v>
      </c>
      <c r="B39" t="s">
        <v>129</v>
      </c>
      <c r="C39">
        <v>101317</v>
      </c>
      <c r="D39" s="3">
        <v>3023304</v>
      </c>
      <c r="E39" s="3">
        <v>3304</v>
      </c>
      <c r="F39">
        <v>10073</v>
      </c>
      <c r="G39">
        <v>90073</v>
      </c>
      <c r="H39">
        <v>938654</v>
      </c>
      <c r="I39">
        <v>-84418</v>
      </c>
      <c r="J39">
        <v>0</v>
      </c>
      <c r="K39">
        <v>-84418</v>
      </c>
      <c r="L39" s="500">
        <v>1215853.76</v>
      </c>
      <c r="M39" s="500">
        <v>0</v>
      </c>
      <c r="N39" s="500">
        <v>146180.91</v>
      </c>
      <c r="O39" s="500">
        <v>0</v>
      </c>
      <c r="P39" s="500">
        <v>66550.03</v>
      </c>
      <c r="Q39" s="500">
        <v>7881.56</v>
      </c>
      <c r="R39" s="500">
        <v>33388.559999999998</v>
      </c>
      <c r="S39" s="500">
        <v>0</v>
      </c>
      <c r="T39" s="500">
        <v>53840.15</v>
      </c>
      <c r="U39" s="500">
        <v>9174.7099999999991</v>
      </c>
      <c r="V39" s="500">
        <v>0</v>
      </c>
      <c r="W39" s="500">
        <v>0</v>
      </c>
      <c r="X39" s="500">
        <v>12704.25</v>
      </c>
      <c r="Y39" s="500">
        <v>14176.48</v>
      </c>
      <c r="Z39" s="500">
        <v>0</v>
      </c>
      <c r="AA39" s="500">
        <v>0</v>
      </c>
      <c r="AB39" s="500">
        <v>0</v>
      </c>
      <c r="AC39" s="500">
        <v>0</v>
      </c>
      <c r="AD39" s="500">
        <v>0</v>
      </c>
      <c r="AE39" s="500">
        <v>11482.51</v>
      </c>
      <c r="AF39" s="500">
        <v>49507</v>
      </c>
      <c r="AG39" s="501">
        <f t="shared" si="3"/>
        <v>1620739.92</v>
      </c>
      <c r="AH39" s="500">
        <v>554974.27</v>
      </c>
      <c r="AI39" s="500">
        <v>3791.41</v>
      </c>
      <c r="AJ39" s="500">
        <v>302075.87</v>
      </c>
      <c r="AK39" s="500">
        <v>41036.57</v>
      </c>
      <c r="AL39" s="500">
        <v>69042.149999999994</v>
      </c>
      <c r="AM39" s="500">
        <v>0</v>
      </c>
      <c r="AN39" s="500">
        <v>30265.69</v>
      </c>
      <c r="AO39" s="500">
        <v>16917.96</v>
      </c>
      <c r="AP39" s="500">
        <v>11037.26</v>
      </c>
      <c r="AQ39" s="500">
        <v>330.34</v>
      </c>
      <c r="AR39" s="500">
        <v>0</v>
      </c>
      <c r="AS39" s="500">
        <v>15426.21</v>
      </c>
      <c r="AT39" s="500">
        <v>0</v>
      </c>
      <c r="AU39" s="500">
        <v>28031.72</v>
      </c>
      <c r="AV39" s="500">
        <v>3114.77</v>
      </c>
      <c r="AW39" s="500">
        <v>35707.89</v>
      </c>
      <c r="AX39" s="500">
        <v>3614</v>
      </c>
      <c r="AY39" s="500">
        <v>11377.62</v>
      </c>
      <c r="AZ39" s="500">
        <v>38573.269999999997</v>
      </c>
      <c r="BA39" s="500">
        <v>5917.9</v>
      </c>
      <c r="BB39" s="500">
        <v>0</v>
      </c>
      <c r="BC39" s="500">
        <v>9007.24</v>
      </c>
      <c r="BD39" s="500">
        <v>8026.61</v>
      </c>
      <c r="BE39" s="500">
        <v>4321.87</v>
      </c>
      <c r="BF39" s="500">
        <v>75226.95</v>
      </c>
      <c r="BG39" s="500">
        <v>83923.49</v>
      </c>
      <c r="BH39" s="500">
        <v>84468.83</v>
      </c>
      <c r="BI39" s="500">
        <v>58874.37</v>
      </c>
      <c r="BJ39" s="500">
        <v>0</v>
      </c>
      <c r="BK39" s="500">
        <v>0</v>
      </c>
      <c r="BL39" s="500">
        <v>0</v>
      </c>
      <c r="BM39" s="500">
        <v>0</v>
      </c>
      <c r="BN39" s="500">
        <v>0</v>
      </c>
      <c r="BO39" s="501">
        <f t="shared" si="4"/>
        <v>1495084.2600000002</v>
      </c>
      <c r="BP39" s="501">
        <f t="shared" si="5"/>
        <v>125655.65999999968</v>
      </c>
      <c r="BQ39" s="501">
        <f t="shared" si="0"/>
        <v>41237.659999999683</v>
      </c>
      <c r="BR39" s="501">
        <f t="shared" si="6"/>
        <v>0</v>
      </c>
      <c r="BS39" s="501">
        <f t="shared" si="1"/>
        <v>41237.659999999683</v>
      </c>
      <c r="BT39" s="500">
        <v>0</v>
      </c>
      <c r="BU39" s="500"/>
      <c r="BV39" s="500"/>
      <c r="BW39" s="500"/>
      <c r="BX39" s="501">
        <f t="shared" si="7"/>
        <v>0</v>
      </c>
      <c r="BY39" s="500"/>
      <c r="BZ39" s="500"/>
      <c r="CA39" s="500"/>
      <c r="CB39" s="500"/>
      <c r="CC39" s="501">
        <f t="shared" si="8"/>
        <v>0</v>
      </c>
      <c r="CD39" s="500">
        <f t="shared" si="9"/>
        <v>0</v>
      </c>
      <c r="CE39" s="224">
        <f t="shared" si="10"/>
        <v>0</v>
      </c>
      <c r="CF39" s="224">
        <f t="shared" si="2"/>
        <v>41237.659999999683</v>
      </c>
      <c r="CI39" t="e">
        <f>_xlfn.XLOOKUP(D39,#REF!,#REF!)</f>
        <v>#REF!</v>
      </c>
      <c r="CJ39" t="e">
        <f>_xlfn.XLOOKUP(D39,#REF!,#REF!)</f>
        <v>#REF!</v>
      </c>
      <c r="CK39" t="e">
        <f t="shared" si="11"/>
        <v>#REF!</v>
      </c>
      <c r="CM39" s="224" t="e">
        <f t="shared" si="12"/>
        <v>#REF!</v>
      </c>
      <c r="CN39" s="224" t="e">
        <f t="shared" si="13"/>
        <v>#REF!</v>
      </c>
      <c r="CO39" s="224" t="e">
        <f t="shared" si="13"/>
        <v>#REF!</v>
      </c>
    </row>
    <row r="40" spans="1:93">
      <c r="A40" t="s">
        <v>163</v>
      </c>
      <c r="B40" t="s">
        <v>129</v>
      </c>
      <c r="C40">
        <v>101289</v>
      </c>
      <c r="D40" s="3">
        <v>3022036</v>
      </c>
      <c r="E40" s="3">
        <v>2036</v>
      </c>
      <c r="F40">
        <v>10074</v>
      </c>
      <c r="G40">
        <v>90074</v>
      </c>
      <c r="H40">
        <v>938630</v>
      </c>
      <c r="I40">
        <v>762684</v>
      </c>
      <c r="J40">
        <v>0</v>
      </c>
      <c r="K40">
        <v>762684</v>
      </c>
      <c r="L40" s="500">
        <v>1787815.75</v>
      </c>
      <c r="M40" s="500">
        <v>0</v>
      </c>
      <c r="N40" s="500">
        <v>422697.06</v>
      </c>
      <c r="O40" s="500">
        <v>0</v>
      </c>
      <c r="P40" s="500">
        <v>108691.48</v>
      </c>
      <c r="Q40" s="500">
        <v>0</v>
      </c>
      <c r="R40" s="500">
        <v>23811.84</v>
      </c>
      <c r="S40" s="500">
        <v>7212</v>
      </c>
      <c r="T40" s="500">
        <v>65697.149999999994</v>
      </c>
      <c r="U40" s="500">
        <v>7110.34</v>
      </c>
      <c r="V40" s="500">
        <v>0</v>
      </c>
      <c r="W40" s="500">
        <v>0</v>
      </c>
      <c r="X40" s="500">
        <v>31109.18</v>
      </c>
      <c r="Y40" s="500">
        <v>2173.38</v>
      </c>
      <c r="Z40" s="500">
        <v>0</v>
      </c>
      <c r="AA40" s="500">
        <v>0</v>
      </c>
      <c r="AB40" s="500">
        <v>0</v>
      </c>
      <c r="AC40" s="500">
        <v>0</v>
      </c>
      <c r="AD40" s="500">
        <v>0</v>
      </c>
      <c r="AE40" s="500">
        <v>0</v>
      </c>
      <c r="AF40" s="500">
        <v>59609.41</v>
      </c>
      <c r="AG40" s="501">
        <f t="shared" si="3"/>
        <v>2515927.59</v>
      </c>
      <c r="AH40" s="500">
        <v>1034367.81</v>
      </c>
      <c r="AI40" s="500">
        <v>0</v>
      </c>
      <c r="AJ40" s="500">
        <v>673603.48</v>
      </c>
      <c r="AK40" s="500">
        <v>85433.65</v>
      </c>
      <c r="AL40" s="500">
        <v>41016.01</v>
      </c>
      <c r="AM40" s="500">
        <v>0</v>
      </c>
      <c r="AN40" s="500">
        <v>46826.47</v>
      </c>
      <c r="AO40" s="500">
        <v>12371.09</v>
      </c>
      <c r="AP40" s="500">
        <v>1176.82</v>
      </c>
      <c r="AQ40" s="500">
        <v>356.9</v>
      </c>
      <c r="AR40" s="500">
        <v>0</v>
      </c>
      <c r="AS40" s="500">
        <v>31547.83</v>
      </c>
      <c r="AT40" s="500">
        <v>18146.7</v>
      </c>
      <c r="AU40" s="500">
        <v>4164.99</v>
      </c>
      <c r="AV40" s="500">
        <v>2214.0100000000002</v>
      </c>
      <c r="AW40" s="500">
        <v>48377.06</v>
      </c>
      <c r="AX40" s="500">
        <v>28200</v>
      </c>
      <c r="AY40" s="500">
        <v>16110.61</v>
      </c>
      <c r="AZ40" s="500">
        <v>80265.58</v>
      </c>
      <c r="BA40" s="500">
        <v>26735.85</v>
      </c>
      <c r="BB40" s="500">
        <v>0</v>
      </c>
      <c r="BC40" s="500">
        <v>17328.66</v>
      </c>
      <c r="BD40" s="500">
        <v>11054.29</v>
      </c>
      <c r="BE40" s="500">
        <v>7043.29</v>
      </c>
      <c r="BF40" s="500">
        <v>71706.570000000007</v>
      </c>
      <c r="BG40" s="500">
        <v>1575</v>
      </c>
      <c r="BH40" s="500">
        <v>115569.55</v>
      </c>
      <c r="BI40" s="500">
        <v>40952.89</v>
      </c>
      <c r="BJ40" s="500">
        <v>0</v>
      </c>
      <c r="BK40" s="500">
        <v>0</v>
      </c>
      <c r="BL40" s="500">
        <v>20560.87</v>
      </c>
      <c r="BM40" s="500">
        <v>0</v>
      </c>
      <c r="BN40" s="500">
        <v>0</v>
      </c>
      <c r="BO40" s="501">
        <f t="shared" si="4"/>
        <v>2436705.9800000004</v>
      </c>
      <c r="BP40" s="501">
        <f t="shared" si="5"/>
        <v>79221.609999999404</v>
      </c>
      <c r="BQ40" s="501">
        <f t="shared" si="0"/>
        <v>841905.6099999994</v>
      </c>
      <c r="BR40" s="501">
        <f t="shared" si="6"/>
        <v>0</v>
      </c>
      <c r="BS40" s="501">
        <f t="shared" si="1"/>
        <v>841905.6099999994</v>
      </c>
      <c r="BT40" s="500">
        <v>0</v>
      </c>
      <c r="BU40" s="500">
        <v>6832.3</v>
      </c>
      <c r="BV40" s="500">
        <v>0</v>
      </c>
      <c r="BW40" s="500">
        <v>20560.87</v>
      </c>
      <c r="BX40" s="501">
        <f t="shared" si="7"/>
        <v>27393.17</v>
      </c>
      <c r="BY40" s="500">
        <v>0</v>
      </c>
      <c r="BZ40" s="500">
        <v>27393.17</v>
      </c>
      <c r="CA40" s="500">
        <v>0</v>
      </c>
      <c r="CB40" s="500">
        <v>0</v>
      </c>
      <c r="CC40" s="501">
        <f t="shared" si="8"/>
        <v>27393.17</v>
      </c>
      <c r="CD40" s="500">
        <f t="shared" si="9"/>
        <v>0</v>
      </c>
      <c r="CE40" s="224">
        <f t="shared" si="10"/>
        <v>0</v>
      </c>
      <c r="CF40" s="224">
        <f t="shared" si="2"/>
        <v>841905.6099999994</v>
      </c>
      <c r="CI40" t="e">
        <f>_xlfn.XLOOKUP(D40,#REF!,#REF!)</f>
        <v>#REF!</v>
      </c>
      <c r="CJ40" t="e">
        <f>_xlfn.XLOOKUP(D40,#REF!,#REF!)</f>
        <v>#REF!</v>
      </c>
      <c r="CK40" t="e">
        <f t="shared" si="11"/>
        <v>#REF!</v>
      </c>
      <c r="CM40" s="224" t="e">
        <f t="shared" si="12"/>
        <v>#REF!</v>
      </c>
      <c r="CN40" s="224" t="e">
        <f t="shared" si="13"/>
        <v>#REF!</v>
      </c>
      <c r="CO40" s="224" t="e">
        <f t="shared" si="13"/>
        <v>#REF!</v>
      </c>
    </row>
    <row r="41" spans="1:93">
      <c r="A41" t="s">
        <v>164</v>
      </c>
      <c r="B41" t="s">
        <v>129</v>
      </c>
      <c r="C41">
        <v>101290</v>
      </c>
      <c r="D41" s="3">
        <v>3022037</v>
      </c>
      <c r="E41" s="3">
        <v>2037</v>
      </c>
      <c r="F41">
        <v>10075</v>
      </c>
      <c r="G41">
        <v>90075</v>
      </c>
      <c r="H41">
        <v>938631</v>
      </c>
      <c r="I41">
        <v>253709</v>
      </c>
      <c r="J41">
        <v>0</v>
      </c>
      <c r="K41">
        <v>253709</v>
      </c>
      <c r="L41" s="500">
        <v>1293199.3799999999</v>
      </c>
      <c r="M41" s="500">
        <v>0</v>
      </c>
      <c r="N41" s="500">
        <v>111377.05</v>
      </c>
      <c r="O41" s="500">
        <v>0</v>
      </c>
      <c r="P41" s="500">
        <v>50545.02</v>
      </c>
      <c r="Q41" s="500">
        <v>14384.25</v>
      </c>
      <c r="R41" s="500">
        <v>144582.78</v>
      </c>
      <c r="S41" s="500">
        <v>24472</v>
      </c>
      <c r="T41" s="500">
        <v>41090.370000000003</v>
      </c>
      <c r="U41" s="500">
        <v>6785.44</v>
      </c>
      <c r="V41" s="500">
        <v>0</v>
      </c>
      <c r="W41" s="500">
        <v>0</v>
      </c>
      <c r="X41" s="500">
        <v>54934.11</v>
      </c>
      <c r="Y41" s="500">
        <v>27953.5</v>
      </c>
      <c r="Z41" s="500">
        <v>0</v>
      </c>
      <c r="AA41" s="500">
        <v>0</v>
      </c>
      <c r="AB41" s="500">
        <v>0</v>
      </c>
      <c r="AC41" s="500">
        <v>0</v>
      </c>
      <c r="AD41" s="500">
        <v>0</v>
      </c>
      <c r="AE41" s="500">
        <v>9059.3700000000008</v>
      </c>
      <c r="AF41" s="500">
        <v>44142</v>
      </c>
      <c r="AG41" s="501">
        <f t="shared" si="3"/>
        <v>1822525.2700000003</v>
      </c>
      <c r="AH41" s="500">
        <v>785962.78</v>
      </c>
      <c r="AI41" s="500">
        <v>0</v>
      </c>
      <c r="AJ41" s="500">
        <v>440668.44</v>
      </c>
      <c r="AK41" s="500">
        <v>12605.09</v>
      </c>
      <c r="AL41" s="500">
        <v>77752.05</v>
      </c>
      <c r="AM41" s="500">
        <v>0</v>
      </c>
      <c r="AN41" s="500">
        <v>72939.3</v>
      </c>
      <c r="AO41" s="500">
        <v>10743.17</v>
      </c>
      <c r="AP41" s="500">
        <v>1614.4</v>
      </c>
      <c r="AQ41" s="500">
        <v>340.3</v>
      </c>
      <c r="AR41" s="500">
        <v>-2000</v>
      </c>
      <c r="AS41" s="500">
        <v>21286.51</v>
      </c>
      <c r="AT41" s="500">
        <v>5243.07</v>
      </c>
      <c r="AU41" s="500">
        <v>31208.59</v>
      </c>
      <c r="AV41" s="500">
        <v>2142</v>
      </c>
      <c r="AW41" s="500">
        <v>77328.27</v>
      </c>
      <c r="AX41" s="500">
        <v>33177.72</v>
      </c>
      <c r="AY41" s="500">
        <v>9107.1299999999992</v>
      </c>
      <c r="AZ41" s="500">
        <v>56480.29</v>
      </c>
      <c r="BA41" s="500">
        <v>9634.57</v>
      </c>
      <c r="BB41" s="500">
        <v>0</v>
      </c>
      <c r="BC41" s="500">
        <v>6951.01</v>
      </c>
      <c r="BD41" s="500">
        <v>3455.33</v>
      </c>
      <c r="BE41" s="500">
        <v>14260.16</v>
      </c>
      <c r="BF41" s="500">
        <v>90477.79</v>
      </c>
      <c r="BG41" s="500">
        <v>12879.25</v>
      </c>
      <c r="BH41" s="500">
        <v>164579.13</v>
      </c>
      <c r="BI41" s="500">
        <v>31529.17</v>
      </c>
      <c r="BJ41" s="500">
        <v>0</v>
      </c>
      <c r="BK41" s="500">
        <v>0</v>
      </c>
      <c r="BL41" s="500">
        <v>0</v>
      </c>
      <c r="BM41" s="500">
        <v>0</v>
      </c>
      <c r="BN41" s="500">
        <v>0</v>
      </c>
      <c r="BO41" s="501">
        <f t="shared" si="4"/>
        <v>1970365.52</v>
      </c>
      <c r="BP41" s="501">
        <f t="shared" si="5"/>
        <v>-147840.24999999977</v>
      </c>
      <c r="BQ41" s="501">
        <f t="shared" si="0"/>
        <v>105868.75000000023</v>
      </c>
      <c r="BR41" s="501">
        <f t="shared" si="6"/>
        <v>0</v>
      </c>
      <c r="BS41" s="501">
        <f t="shared" si="1"/>
        <v>105868.75000000023</v>
      </c>
      <c r="BT41" s="500">
        <v>28803</v>
      </c>
      <c r="BU41" s="500">
        <v>6989.13</v>
      </c>
      <c r="BV41" s="500">
        <v>0</v>
      </c>
      <c r="BW41" s="500">
        <v>0</v>
      </c>
      <c r="BX41" s="501">
        <f t="shared" si="7"/>
        <v>6989.13</v>
      </c>
      <c r="BY41" s="500">
        <v>0</v>
      </c>
      <c r="BZ41" s="500">
        <v>4641</v>
      </c>
      <c r="CA41" s="500">
        <v>0</v>
      </c>
      <c r="CB41" s="500">
        <v>12069</v>
      </c>
      <c r="CC41" s="501">
        <f t="shared" si="8"/>
        <v>16710</v>
      </c>
      <c r="CD41" s="500">
        <f t="shared" si="9"/>
        <v>-9720.869999999999</v>
      </c>
      <c r="CE41" s="224">
        <f t="shared" si="10"/>
        <v>19082.13</v>
      </c>
      <c r="CF41" s="224">
        <f t="shared" si="2"/>
        <v>124950.88000000024</v>
      </c>
      <c r="CM41" s="224"/>
      <c r="CN41" s="224"/>
      <c r="CO41" s="224"/>
    </row>
    <row r="42" spans="1:93">
      <c r="A42" t="s">
        <v>165</v>
      </c>
      <c r="B42" t="s">
        <v>129</v>
      </c>
      <c r="C42">
        <v>135226</v>
      </c>
      <c r="D42" s="3">
        <v>3023523</v>
      </c>
      <c r="E42" s="3">
        <v>3523</v>
      </c>
      <c r="F42">
        <v>11093</v>
      </c>
      <c r="G42">
        <v>91093</v>
      </c>
      <c r="H42">
        <v>938700</v>
      </c>
      <c r="I42">
        <v>223997</v>
      </c>
      <c r="J42">
        <v>0</v>
      </c>
      <c r="K42">
        <v>223997</v>
      </c>
      <c r="L42" s="500">
        <v>3608771.68</v>
      </c>
      <c r="M42" s="500">
        <v>0</v>
      </c>
      <c r="N42" s="500">
        <v>190379.46</v>
      </c>
      <c r="O42" s="500">
        <v>0</v>
      </c>
      <c r="P42" s="500">
        <v>244027.54</v>
      </c>
      <c r="Q42" s="500">
        <v>3144.42</v>
      </c>
      <c r="R42" s="500">
        <v>77836.77</v>
      </c>
      <c r="S42" s="500">
        <v>107547.06</v>
      </c>
      <c r="T42" s="500">
        <v>17162.12</v>
      </c>
      <c r="U42" s="500">
        <v>29095.54</v>
      </c>
      <c r="V42" s="500">
        <v>9700</v>
      </c>
      <c r="W42" s="500">
        <v>0</v>
      </c>
      <c r="X42" s="500">
        <v>155215.54</v>
      </c>
      <c r="Y42" s="500">
        <v>24149.13</v>
      </c>
      <c r="Z42" s="500">
        <v>0</v>
      </c>
      <c r="AA42" s="500">
        <v>0</v>
      </c>
      <c r="AB42" s="500">
        <v>0</v>
      </c>
      <c r="AC42" s="500">
        <v>0</v>
      </c>
      <c r="AD42" s="500">
        <v>0</v>
      </c>
      <c r="AE42" s="500">
        <v>38481.01</v>
      </c>
      <c r="AF42" s="500">
        <v>106750</v>
      </c>
      <c r="AG42" s="501">
        <f t="shared" si="3"/>
        <v>4612260.2699999996</v>
      </c>
      <c r="AH42" s="500">
        <v>1921331.42</v>
      </c>
      <c r="AI42" s="500">
        <v>0</v>
      </c>
      <c r="AJ42" s="500">
        <v>1002546.25</v>
      </c>
      <c r="AK42" s="500">
        <v>219049.42</v>
      </c>
      <c r="AL42" s="500">
        <v>149170.07999999999</v>
      </c>
      <c r="AM42" s="500">
        <v>0</v>
      </c>
      <c r="AN42" s="500">
        <v>157189.29</v>
      </c>
      <c r="AO42" s="500">
        <v>24430.54</v>
      </c>
      <c r="AP42" s="500">
        <v>4084.73</v>
      </c>
      <c r="AQ42" s="500">
        <v>12110.4</v>
      </c>
      <c r="AR42" s="500">
        <v>0</v>
      </c>
      <c r="AS42" s="500">
        <v>12575.87</v>
      </c>
      <c r="AT42" s="500">
        <v>1848.22</v>
      </c>
      <c r="AU42" s="500">
        <v>10764.36</v>
      </c>
      <c r="AV42" s="500">
        <v>10055.66</v>
      </c>
      <c r="AW42" s="500">
        <v>71419.55</v>
      </c>
      <c r="AX42" s="500">
        <v>56924.4</v>
      </c>
      <c r="AY42" s="500">
        <v>15630.27</v>
      </c>
      <c r="AZ42" s="500">
        <v>122654.96</v>
      </c>
      <c r="BA42" s="500">
        <v>16114.51</v>
      </c>
      <c r="BB42" s="500">
        <v>0</v>
      </c>
      <c r="BC42" s="500">
        <v>15211.09</v>
      </c>
      <c r="BD42" s="500">
        <v>24072.91</v>
      </c>
      <c r="BE42" s="500">
        <v>640.29999999999995</v>
      </c>
      <c r="BF42" s="500">
        <v>234299.26</v>
      </c>
      <c r="BG42" s="500">
        <v>38006.019999999997</v>
      </c>
      <c r="BH42" s="500">
        <v>350047.95</v>
      </c>
      <c r="BI42" s="500">
        <v>43972.82</v>
      </c>
      <c r="BJ42" s="500">
        <v>0</v>
      </c>
      <c r="BK42" s="500">
        <v>0</v>
      </c>
      <c r="BL42" s="500">
        <v>0</v>
      </c>
      <c r="BM42" s="500">
        <v>0</v>
      </c>
      <c r="BN42" s="500">
        <v>0</v>
      </c>
      <c r="BO42" s="501">
        <f t="shared" si="4"/>
        <v>4514150.2799999993</v>
      </c>
      <c r="BP42" s="501">
        <f t="shared" si="5"/>
        <v>98109.990000000224</v>
      </c>
      <c r="BQ42" s="501">
        <f t="shared" si="0"/>
        <v>322106.99000000022</v>
      </c>
      <c r="BR42" s="501">
        <f t="shared" si="6"/>
        <v>0</v>
      </c>
      <c r="BS42" s="501">
        <f t="shared" si="1"/>
        <v>322106.99000000022</v>
      </c>
      <c r="BT42" s="500">
        <v>50055</v>
      </c>
      <c r="BU42" s="500">
        <v>11542</v>
      </c>
      <c r="BV42" s="500">
        <v>0</v>
      </c>
      <c r="BW42" s="500">
        <v>0</v>
      </c>
      <c r="BX42" s="501">
        <f t="shared" si="7"/>
        <v>11542</v>
      </c>
      <c r="BY42" s="500">
        <v>0</v>
      </c>
      <c r="BZ42" s="500">
        <v>26489.759999999998</v>
      </c>
      <c r="CA42" s="500">
        <v>0</v>
      </c>
      <c r="CB42" s="500">
        <v>14352</v>
      </c>
      <c r="CC42" s="501">
        <f t="shared" si="8"/>
        <v>40841.759999999995</v>
      </c>
      <c r="CD42" s="500">
        <f t="shared" si="9"/>
        <v>-29299.759999999995</v>
      </c>
      <c r="CE42" s="224">
        <f t="shared" si="10"/>
        <v>20755.240000000005</v>
      </c>
      <c r="CF42" s="224">
        <f t="shared" si="2"/>
        <v>342862.23000000021</v>
      </c>
      <c r="CI42" t="e">
        <f>_xlfn.XLOOKUP(D42,#REF!,#REF!)</f>
        <v>#REF!</v>
      </c>
      <c r="CJ42" t="e">
        <f>_xlfn.XLOOKUP(D42,#REF!,#REF!)</f>
        <v>#REF!</v>
      </c>
      <c r="CK42" t="e">
        <f t="shared" si="11"/>
        <v>#REF!</v>
      </c>
      <c r="CM42" s="224" t="e">
        <f t="shared" si="12"/>
        <v>#REF!</v>
      </c>
      <c r="CN42" s="224" t="e">
        <f t="shared" si="13"/>
        <v>#REF!</v>
      </c>
      <c r="CO42" s="224" t="e">
        <f t="shared" si="13"/>
        <v>#REF!</v>
      </c>
    </row>
    <row r="43" spans="1:93">
      <c r="A43" t="s">
        <v>166</v>
      </c>
      <c r="B43" t="s">
        <v>129</v>
      </c>
      <c r="C43">
        <v>101376</v>
      </c>
      <c r="D43" s="3">
        <v>3025948</v>
      </c>
      <c r="E43" s="3">
        <v>5948</v>
      </c>
      <c r="F43">
        <v>10125</v>
      </c>
      <c r="G43">
        <v>90125</v>
      </c>
      <c r="H43">
        <v>938694</v>
      </c>
      <c r="I43">
        <v>-52450</v>
      </c>
      <c r="J43">
        <v>0</v>
      </c>
      <c r="K43">
        <v>-52450</v>
      </c>
      <c r="L43" s="500">
        <v>1157696.45</v>
      </c>
      <c r="M43" s="500">
        <v>0</v>
      </c>
      <c r="N43" s="500">
        <v>23548.07</v>
      </c>
      <c r="O43" s="500">
        <v>0</v>
      </c>
      <c r="P43" s="500">
        <v>5820.04</v>
      </c>
      <c r="Q43" s="500">
        <v>52227.94</v>
      </c>
      <c r="R43" s="500">
        <v>0</v>
      </c>
      <c r="S43" s="500">
        <v>0</v>
      </c>
      <c r="T43" s="500">
        <v>94941.59</v>
      </c>
      <c r="U43" s="500">
        <v>0</v>
      </c>
      <c r="V43" s="500">
        <v>4468.66</v>
      </c>
      <c r="W43" s="500">
        <v>0</v>
      </c>
      <c r="X43" s="500">
        <v>54177.41</v>
      </c>
      <c r="Y43" s="500">
        <v>270673.57</v>
      </c>
      <c r="Z43" s="500">
        <v>0</v>
      </c>
      <c r="AA43" s="500">
        <v>0</v>
      </c>
      <c r="AB43" s="500">
        <v>0</v>
      </c>
      <c r="AC43" s="500">
        <v>86961.04</v>
      </c>
      <c r="AD43" s="500">
        <v>0</v>
      </c>
      <c r="AE43" s="500">
        <v>0</v>
      </c>
      <c r="AF43" s="500">
        <v>0</v>
      </c>
      <c r="AG43" s="501">
        <f t="shared" si="3"/>
        <v>1750514.77</v>
      </c>
      <c r="AH43" s="500">
        <v>813218.9</v>
      </c>
      <c r="AI43" s="500">
        <v>0</v>
      </c>
      <c r="AJ43" s="500">
        <v>289880.38</v>
      </c>
      <c r="AK43" s="500">
        <v>21276.03</v>
      </c>
      <c r="AL43" s="500">
        <v>92351.55</v>
      </c>
      <c r="AM43" s="500">
        <v>0</v>
      </c>
      <c r="AN43" s="500">
        <v>9002.23</v>
      </c>
      <c r="AO43" s="500">
        <v>958.4</v>
      </c>
      <c r="AP43" s="500">
        <v>7513.45</v>
      </c>
      <c r="AQ43" s="500">
        <v>0</v>
      </c>
      <c r="AR43" s="500">
        <v>9001.33</v>
      </c>
      <c r="AS43" s="500">
        <v>16662.849999999999</v>
      </c>
      <c r="AT43" s="500">
        <v>0</v>
      </c>
      <c r="AU43" s="500">
        <v>32150.13</v>
      </c>
      <c r="AV43" s="500">
        <v>8694.59</v>
      </c>
      <c r="AW43" s="500">
        <v>30113</v>
      </c>
      <c r="AX43" s="500">
        <v>16972.8</v>
      </c>
      <c r="AY43" s="500">
        <v>73675.44</v>
      </c>
      <c r="AZ43" s="500">
        <v>79192.09</v>
      </c>
      <c r="BA43" s="500">
        <v>14489.34</v>
      </c>
      <c r="BB43" s="500">
        <v>22696.22</v>
      </c>
      <c r="BC43" s="500">
        <v>17257.66</v>
      </c>
      <c r="BD43" s="500">
        <v>7509.17</v>
      </c>
      <c r="BE43" s="500">
        <v>6003.21</v>
      </c>
      <c r="BF43" s="500">
        <v>77409.149999999994</v>
      </c>
      <c r="BG43" s="500">
        <v>0</v>
      </c>
      <c r="BH43" s="500">
        <v>15642.11</v>
      </c>
      <c r="BI43" s="500">
        <v>30142.21</v>
      </c>
      <c r="BJ43" s="500">
        <v>0</v>
      </c>
      <c r="BK43" s="500">
        <v>0</v>
      </c>
      <c r="BL43" s="500">
        <v>0</v>
      </c>
      <c r="BM43" s="500">
        <v>0</v>
      </c>
      <c r="BN43" s="500">
        <v>0</v>
      </c>
      <c r="BO43" s="501">
        <f t="shared" si="4"/>
        <v>1691812.24</v>
      </c>
      <c r="BP43" s="501">
        <f t="shared" si="5"/>
        <v>58702.530000000028</v>
      </c>
      <c r="BQ43" s="501">
        <f t="shared" si="0"/>
        <v>6252.5300000000279</v>
      </c>
      <c r="BR43" s="501">
        <f t="shared" si="6"/>
        <v>0</v>
      </c>
      <c r="BS43" s="501">
        <f t="shared" si="1"/>
        <v>6252.5300000000279</v>
      </c>
      <c r="BT43" s="500">
        <v>0</v>
      </c>
      <c r="BU43" s="500"/>
      <c r="BV43" s="500"/>
      <c r="BW43" s="500"/>
      <c r="BX43" s="501">
        <f t="shared" si="7"/>
        <v>0</v>
      </c>
      <c r="BY43" s="500"/>
      <c r="BZ43" s="500"/>
      <c r="CA43" s="500"/>
      <c r="CB43" s="500"/>
      <c r="CC43" s="501">
        <f t="shared" si="8"/>
        <v>0</v>
      </c>
      <c r="CD43" s="500">
        <f t="shared" si="9"/>
        <v>0</v>
      </c>
      <c r="CE43" s="224">
        <f t="shared" si="10"/>
        <v>0</v>
      </c>
      <c r="CF43" s="224">
        <f t="shared" si="2"/>
        <v>6252.5300000000279</v>
      </c>
      <c r="CM43" s="224"/>
      <c r="CN43" s="224"/>
      <c r="CO43" s="224"/>
    </row>
    <row r="44" spans="1:93">
      <c r="A44" t="s">
        <v>167</v>
      </c>
      <c r="B44" t="s">
        <v>129</v>
      </c>
      <c r="C44">
        <v>131359</v>
      </c>
      <c r="D44" s="3">
        <v>3025949</v>
      </c>
      <c r="E44" s="3">
        <v>5949</v>
      </c>
      <c r="F44">
        <v>10126</v>
      </c>
      <c r="G44">
        <v>90126</v>
      </c>
      <c r="H44">
        <v>938695</v>
      </c>
      <c r="I44">
        <v>-33328</v>
      </c>
      <c r="J44">
        <v>0</v>
      </c>
      <c r="K44">
        <v>-33328</v>
      </c>
      <c r="L44">
        <v>1793647.68</v>
      </c>
      <c r="M44">
        <v>0</v>
      </c>
      <c r="N44">
        <v>35903.769999999997</v>
      </c>
      <c r="O44">
        <v>0</v>
      </c>
      <c r="P44">
        <v>20370.02</v>
      </c>
      <c r="Q44">
        <v>0</v>
      </c>
      <c r="R44">
        <v>8775.7099999999991</v>
      </c>
      <c r="S44">
        <v>0</v>
      </c>
      <c r="T44">
        <v>4468.68</v>
      </c>
      <c r="U44">
        <v>-1605.55</v>
      </c>
      <c r="V44">
        <v>0</v>
      </c>
      <c r="W44">
        <v>0</v>
      </c>
      <c r="X44">
        <v>16102.1</v>
      </c>
      <c r="Y44">
        <v>1128517.94</v>
      </c>
      <c r="Z44">
        <v>170018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 s="501">
        <f t="shared" si="3"/>
        <v>3176198.3499999996</v>
      </c>
      <c r="AH44">
        <v>1086138.5900000001</v>
      </c>
      <c r="AI44">
        <v>0</v>
      </c>
      <c r="AJ44">
        <v>1148530.73</v>
      </c>
      <c r="AK44">
        <v>59962.09</v>
      </c>
      <c r="AL44">
        <v>115836.9</v>
      </c>
      <c r="AM44">
        <v>0</v>
      </c>
      <c r="AN44">
        <v>11298.86</v>
      </c>
      <c r="AO44">
        <v>17478.98</v>
      </c>
      <c r="AP44">
        <v>38154.51</v>
      </c>
      <c r="AQ44">
        <v>569.38</v>
      </c>
      <c r="AR44">
        <v>0</v>
      </c>
      <c r="AS44">
        <v>17175.21</v>
      </c>
      <c r="AT44">
        <v>0</v>
      </c>
      <c r="AU44">
        <v>83947.92</v>
      </c>
      <c r="AV44">
        <v>3299.26</v>
      </c>
      <c r="AW44">
        <v>63052.65</v>
      </c>
      <c r="AX44">
        <v>38376</v>
      </c>
      <c r="AY44">
        <v>11202.7</v>
      </c>
      <c r="AZ44">
        <v>136392.53</v>
      </c>
      <c r="BA44">
        <v>16686.28</v>
      </c>
      <c r="BB44">
        <v>0</v>
      </c>
      <c r="BC44">
        <v>13775.56</v>
      </c>
      <c r="BD44">
        <v>22149.01</v>
      </c>
      <c r="BE44">
        <v>330</v>
      </c>
      <c r="BF44">
        <v>36486.86</v>
      </c>
      <c r="BG44">
        <v>63643</v>
      </c>
      <c r="BH44">
        <v>34567.980000000003</v>
      </c>
      <c r="BI44">
        <v>0</v>
      </c>
      <c r="BJ44">
        <v>143688.70000000001</v>
      </c>
      <c r="BK44">
        <v>0</v>
      </c>
      <c r="BL44">
        <v>0</v>
      </c>
      <c r="BM44">
        <v>0</v>
      </c>
      <c r="BN44">
        <v>0</v>
      </c>
      <c r="BO44" s="501">
        <f t="shared" si="4"/>
        <v>3162743.6999999988</v>
      </c>
      <c r="BP44" s="501">
        <f t="shared" si="5"/>
        <v>13454.650000000838</v>
      </c>
      <c r="BQ44" s="501">
        <f t="shared" si="0"/>
        <v>-19873.349999999162</v>
      </c>
      <c r="BR44" s="501">
        <f t="shared" si="6"/>
        <v>0</v>
      </c>
      <c r="BS44" s="501">
        <f t="shared" si="1"/>
        <v>-19873.349999999162</v>
      </c>
      <c r="BT44" s="500">
        <v>0</v>
      </c>
      <c r="BU44" s="500"/>
      <c r="BV44" s="500"/>
      <c r="BW44" s="500"/>
      <c r="BX44" s="501">
        <f t="shared" si="7"/>
        <v>0</v>
      </c>
      <c r="BY44" s="500"/>
      <c r="BZ44" s="500"/>
      <c r="CA44" s="500"/>
      <c r="CB44" s="500"/>
      <c r="CC44" s="501">
        <f t="shared" si="8"/>
        <v>0</v>
      </c>
      <c r="CD44" s="500">
        <f t="shared" si="9"/>
        <v>0</v>
      </c>
      <c r="CE44" s="224">
        <f t="shared" si="10"/>
        <v>0</v>
      </c>
      <c r="CF44" s="224">
        <f t="shared" si="2"/>
        <v>-19873.349999999162</v>
      </c>
      <c r="CM44" s="224"/>
      <c r="CN44" s="224"/>
      <c r="CO44" s="224"/>
    </row>
    <row r="45" spans="1:93">
      <c r="A45" t="s">
        <v>168</v>
      </c>
      <c r="B45" t="s">
        <v>129</v>
      </c>
      <c r="C45">
        <v>101341</v>
      </c>
      <c r="D45" s="3">
        <v>3023513</v>
      </c>
      <c r="E45" s="3">
        <v>3513</v>
      </c>
      <c r="F45">
        <v>10114</v>
      </c>
      <c r="G45">
        <v>90114</v>
      </c>
      <c r="H45">
        <v>938676</v>
      </c>
      <c r="I45">
        <v>9109</v>
      </c>
      <c r="J45">
        <v>0</v>
      </c>
      <c r="K45">
        <v>9109</v>
      </c>
      <c r="L45" s="500">
        <v>1969209.58</v>
      </c>
      <c r="M45" s="500">
        <v>0</v>
      </c>
      <c r="N45" s="500">
        <v>76054.59</v>
      </c>
      <c r="O45" s="500">
        <v>0</v>
      </c>
      <c r="P45" s="500">
        <v>14549.98</v>
      </c>
      <c r="Q45" s="500">
        <v>80490</v>
      </c>
      <c r="R45" s="500">
        <v>94528</v>
      </c>
      <c r="S45" s="500">
        <v>0</v>
      </c>
      <c r="T45" s="500">
        <v>1664.44</v>
      </c>
      <c r="U45" s="500">
        <v>9770.5499999999993</v>
      </c>
      <c r="V45" s="500">
        <v>0</v>
      </c>
      <c r="W45" s="500">
        <v>0</v>
      </c>
      <c r="X45" s="500">
        <v>29714.41</v>
      </c>
      <c r="Y45" s="500">
        <v>492773.3</v>
      </c>
      <c r="Z45" s="500">
        <v>0</v>
      </c>
      <c r="AA45" s="500">
        <v>0</v>
      </c>
      <c r="AB45" s="500">
        <v>0</v>
      </c>
      <c r="AC45" s="500">
        <v>0</v>
      </c>
      <c r="AD45" s="500">
        <v>0</v>
      </c>
      <c r="AE45" s="500">
        <v>3346.26</v>
      </c>
      <c r="AF45" s="500">
        <v>112052</v>
      </c>
      <c r="AG45" s="501">
        <f t="shared" si="3"/>
        <v>2884153.11</v>
      </c>
      <c r="AH45" s="500">
        <v>1470868.42</v>
      </c>
      <c r="AI45" s="500">
        <v>0</v>
      </c>
      <c r="AJ45" s="500">
        <v>169078.55</v>
      </c>
      <c r="AK45" s="500">
        <v>40811.769999999997</v>
      </c>
      <c r="AL45" s="500">
        <v>112009.61</v>
      </c>
      <c r="AM45" s="500">
        <v>0</v>
      </c>
      <c r="AN45" s="500">
        <v>46449.760000000002</v>
      </c>
      <c r="AO45" s="500">
        <v>3541.1</v>
      </c>
      <c r="AP45" s="500">
        <v>1520</v>
      </c>
      <c r="AQ45" s="500">
        <v>627.48</v>
      </c>
      <c r="AR45" s="500">
        <v>0</v>
      </c>
      <c r="AS45" s="500">
        <v>20804.43</v>
      </c>
      <c r="AT45" s="500">
        <v>105</v>
      </c>
      <c r="AU45" s="500">
        <v>41720.82</v>
      </c>
      <c r="AV45" s="500">
        <v>6022.19</v>
      </c>
      <c r="AW45" s="500">
        <v>111821.57</v>
      </c>
      <c r="AX45" s="500">
        <v>5771.86</v>
      </c>
      <c r="AY45" s="500">
        <v>113098.76</v>
      </c>
      <c r="AZ45" s="500">
        <v>118847.3</v>
      </c>
      <c r="BA45" s="500">
        <v>13500.03</v>
      </c>
      <c r="BB45" s="500">
        <v>0</v>
      </c>
      <c r="BC45" s="500">
        <v>14889.3</v>
      </c>
      <c r="BD45" s="500">
        <v>6006.42</v>
      </c>
      <c r="BE45" s="500">
        <v>53549.94</v>
      </c>
      <c r="BF45" s="500">
        <v>72553.59</v>
      </c>
      <c r="BG45" s="500">
        <v>0</v>
      </c>
      <c r="BH45" s="500">
        <v>377923.53</v>
      </c>
      <c r="BI45" s="500">
        <v>25843.1</v>
      </c>
      <c r="BJ45" s="500">
        <v>0</v>
      </c>
      <c r="BK45" s="500">
        <v>0</v>
      </c>
      <c r="BL45" s="500">
        <v>0</v>
      </c>
      <c r="BM45" s="500">
        <v>0</v>
      </c>
      <c r="BN45" s="500">
        <v>0</v>
      </c>
      <c r="BO45" s="501">
        <f t="shared" si="4"/>
        <v>2827364.53</v>
      </c>
      <c r="BP45" s="501">
        <f t="shared" si="5"/>
        <v>56788.580000000075</v>
      </c>
      <c r="BQ45" s="501">
        <f t="shared" si="0"/>
        <v>65897.580000000075</v>
      </c>
      <c r="BR45" s="501">
        <f t="shared" si="6"/>
        <v>0</v>
      </c>
      <c r="BS45" s="501">
        <f t="shared" si="1"/>
        <v>65897.580000000075</v>
      </c>
      <c r="BT45" s="500">
        <v>0</v>
      </c>
      <c r="BU45" s="500"/>
      <c r="BV45" s="500"/>
      <c r="BW45" s="500"/>
      <c r="BX45" s="501">
        <f t="shared" si="7"/>
        <v>0</v>
      </c>
      <c r="BY45" s="500"/>
      <c r="BZ45" s="500"/>
      <c r="CA45" s="500"/>
      <c r="CB45" s="500"/>
      <c r="CC45" s="501">
        <f t="shared" si="8"/>
        <v>0</v>
      </c>
      <c r="CD45" s="500">
        <f t="shared" si="9"/>
        <v>0</v>
      </c>
      <c r="CE45" s="224">
        <f t="shared" si="10"/>
        <v>0</v>
      </c>
      <c r="CF45" s="224">
        <f t="shared" si="2"/>
        <v>65897.580000000075</v>
      </c>
      <c r="CI45" t="e">
        <f>_xlfn.XLOOKUP(D45,#REF!,#REF!)</f>
        <v>#REF!</v>
      </c>
      <c r="CJ45" t="e">
        <f>_xlfn.XLOOKUP(D45,#REF!,#REF!)</f>
        <v>#REF!</v>
      </c>
      <c r="CK45" t="e">
        <f t="shared" si="11"/>
        <v>#REF!</v>
      </c>
      <c r="CM45" s="224" t="e">
        <f t="shared" si="12"/>
        <v>#REF!</v>
      </c>
      <c r="CN45" s="224" t="e">
        <f t="shared" si="13"/>
        <v>#REF!</v>
      </c>
      <c r="CO45" s="224" t="e">
        <f t="shared" si="13"/>
        <v>#REF!</v>
      </c>
    </row>
    <row r="46" spans="1:93">
      <c r="A46" t="s">
        <v>169</v>
      </c>
      <c r="B46" t="s">
        <v>129</v>
      </c>
      <c r="C46">
        <v>101318</v>
      </c>
      <c r="D46" s="3">
        <v>3023305</v>
      </c>
      <c r="E46" s="3">
        <v>3305</v>
      </c>
      <c r="F46">
        <v>10078</v>
      </c>
      <c r="G46">
        <v>90078</v>
      </c>
      <c r="H46">
        <v>938655</v>
      </c>
      <c r="I46">
        <v>43774</v>
      </c>
      <c r="J46">
        <v>0</v>
      </c>
      <c r="K46">
        <v>43774</v>
      </c>
      <c r="L46" s="500">
        <v>812445.33</v>
      </c>
      <c r="M46" s="500">
        <v>0</v>
      </c>
      <c r="N46" s="500">
        <v>23145.27</v>
      </c>
      <c r="O46" s="500">
        <v>0</v>
      </c>
      <c r="P46" s="500">
        <v>24354.99</v>
      </c>
      <c r="Q46" s="500">
        <v>200</v>
      </c>
      <c r="R46" s="500">
        <v>71161.67</v>
      </c>
      <c r="S46" s="500">
        <v>5370</v>
      </c>
      <c r="T46" s="500">
        <v>7936.26</v>
      </c>
      <c r="U46" s="500">
        <v>6843.12</v>
      </c>
      <c r="V46" s="500">
        <v>0</v>
      </c>
      <c r="W46" s="500">
        <v>476</v>
      </c>
      <c r="X46" s="500">
        <v>19677.189999999999</v>
      </c>
      <c r="Y46" s="500">
        <v>5178.07</v>
      </c>
      <c r="Z46" s="500">
        <v>0</v>
      </c>
      <c r="AA46" s="500">
        <v>0</v>
      </c>
      <c r="AB46" s="500">
        <v>0</v>
      </c>
      <c r="AC46" s="500">
        <v>0</v>
      </c>
      <c r="AD46" s="500">
        <v>0</v>
      </c>
      <c r="AE46" s="500">
        <v>4055.01</v>
      </c>
      <c r="AF46" s="500">
        <v>40979</v>
      </c>
      <c r="AG46" s="501">
        <f t="shared" si="3"/>
        <v>1021821.9099999999</v>
      </c>
      <c r="AH46" s="500">
        <v>534768.46</v>
      </c>
      <c r="AI46" s="500">
        <v>0</v>
      </c>
      <c r="AJ46" s="500">
        <v>143477.19</v>
      </c>
      <c r="AK46" s="500">
        <v>46793.15</v>
      </c>
      <c r="AL46" s="500">
        <v>41925.07</v>
      </c>
      <c r="AM46" s="500">
        <v>0</v>
      </c>
      <c r="AN46" s="500">
        <v>35577.51</v>
      </c>
      <c r="AO46" s="500">
        <v>4671.68</v>
      </c>
      <c r="AP46" s="500">
        <v>1553</v>
      </c>
      <c r="AQ46" s="500">
        <v>245.68</v>
      </c>
      <c r="AR46" s="500">
        <v>0</v>
      </c>
      <c r="AS46" s="500">
        <v>11499.82</v>
      </c>
      <c r="AT46" s="500">
        <v>0</v>
      </c>
      <c r="AU46" s="500">
        <v>1021.88</v>
      </c>
      <c r="AV46" s="500">
        <v>1059.0899999999999</v>
      </c>
      <c r="AW46" s="500">
        <v>14042.08</v>
      </c>
      <c r="AX46" s="500">
        <v>1587.2</v>
      </c>
      <c r="AY46" s="500">
        <v>5470.2</v>
      </c>
      <c r="AZ46" s="500">
        <v>39240.199999999997</v>
      </c>
      <c r="BA46" s="500">
        <v>4894.12</v>
      </c>
      <c r="BB46" s="500">
        <v>0</v>
      </c>
      <c r="BC46" s="500">
        <v>9616.76</v>
      </c>
      <c r="BD46" s="500">
        <v>4719.72</v>
      </c>
      <c r="BE46" s="500">
        <v>4812.78</v>
      </c>
      <c r="BF46" s="500">
        <v>50405.47</v>
      </c>
      <c r="BG46" s="500">
        <v>1000</v>
      </c>
      <c r="BH46" s="500">
        <v>20380.150000000001</v>
      </c>
      <c r="BI46" s="500">
        <v>29358.82</v>
      </c>
      <c r="BJ46" s="500">
        <v>0</v>
      </c>
      <c r="BK46" s="500">
        <v>0</v>
      </c>
      <c r="BL46" s="500">
        <v>0</v>
      </c>
      <c r="BM46" s="500">
        <v>0</v>
      </c>
      <c r="BN46" s="500">
        <v>0</v>
      </c>
      <c r="BO46" s="501">
        <f t="shared" si="4"/>
        <v>1008120.0299999997</v>
      </c>
      <c r="BP46" s="501">
        <f t="shared" si="5"/>
        <v>13701.880000000237</v>
      </c>
      <c r="BQ46" s="501">
        <f t="shared" si="0"/>
        <v>57475.880000000237</v>
      </c>
      <c r="BR46" s="501">
        <f t="shared" si="6"/>
        <v>0</v>
      </c>
      <c r="BS46" s="501">
        <f t="shared" si="1"/>
        <v>57475.880000000237</v>
      </c>
      <c r="BT46" s="500">
        <v>0</v>
      </c>
      <c r="BU46" s="500"/>
      <c r="BV46" s="500"/>
      <c r="BW46" s="500"/>
      <c r="BX46" s="501">
        <f t="shared" si="7"/>
        <v>0</v>
      </c>
      <c r="BY46" s="500"/>
      <c r="BZ46" s="500"/>
      <c r="CA46" s="500"/>
      <c r="CB46" s="500"/>
      <c r="CC46" s="501">
        <f t="shared" si="8"/>
        <v>0</v>
      </c>
      <c r="CD46" s="500">
        <f t="shared" si="9"/>
        <v>0</v>
      </c>
      <c r="CE46" s="224">
        <f t="shared" si="10"/>
        <v>0</v>
      </c>
      <c r="CF46" s="224">
        <f t="shared" si="2"/>
        <v>57475.880000000237</v>
      </c>
      <c r="CI46" t="e">
        <f>_xlfn.XLOOKUP(D46,#REF!,#REF!)</f>
        <v>#REF!</v>
      </c>
      <c r="CJ46" t="e">
        <f>_xlfn.XLOOKUP(D46,#REF!,#REF!)</f>
        <v>#REF!</v>
      </c>
      <c r="CK46" t="e">
        <f t="shared" si="11"/>
        <v>#REF!</v>
      </c>
      <c r="CM46" s="224" t="e">
        <f t="shared" si="12"/>
        <v>#REF!</v>
      </c>
      <c r="CN46" s="224" t="e">
        <f t="shared" si="13"/>
        <v>#REF!</v>
      </c>
      <c r="CO46" s="224" t="e">
        <f t="shared" si="13"/>
        <v>#REF!</v>
      </c>
    </row>
    <row r="47" spans="1:93">
      <c r="A47" t="s">
        <v>170</v>
      </c>
      <c r="B47" t="s">
        <v>129</v>
      </c>
      <c r="C47">
        <v>101293</v>
      </c>
      <c r="D47" s="3">
        <v>3022042</v>
      </c>
      <c r="E47" s="3">
        <v>2042</v>
      </c>
      <c r="F47">
        <v>10079</v>
      </c>
      <c r="G47">
        <v>90079</v>
      </c>
      <c r="H47">
        <v>938632</v>
      </c>
      <c r="I47">
        <v>304390</v>
      </c>
      <c r="J47">
        <v>0</v>
      </c>
      <c r="K47">
        <v>304390</v>
      </c>
      <c r="L47" s="500">
        <v>2027101.1</v>
      </c>
      <c r="M47" s="500">
        <v>0</v>
      </c>
      <c r="N47" s="500">
        <v>113082.49</v>
      </c>
      <c r="O47" s="500">
        <v>0</v>
      </c>
      <c r="P47" s="500">
        <v>35360.019999999997</v>
      </c>
      <c r="Q47" s="500">
        <v>0</v>
      </c>
      <c r="R47" s="500">
        <v>71464.100000000006</v>
      </c>
      <c r="S47" s="500">
        <v>21380.080000000002</v>
      </c>
      <c r="T47" s="500">
        <v>146936.99</v>
      </c>
      <c r="U47" s="500">
        <v>20917.8</v>
      </c>
      <c r="V47" s="500">
        <v>3665</v>
      </c>
      <c r="W47" s="500">
        <v>0</v>
      </c>
      <c r="X47" s="500">
        <v>52183.55</v>
      </c>
      <c r="Y47" s="500">
        <v>25631.74</v>
      </c>
      <c r="Z47" s="500">
        <v>0</v>
      </c>
      <c r="AA47" s="500">
        <v>0</v>
      </c>
      <c r="AB47" s="500">
        <v>0</v>
      </c>
      <c r="AC47" s="500">
        <v>0</v>
      </c>
      <c r="AD47" s="500">
        <v>0</v>
      </c>
      <c r="AE47" s="500">
        <v>5953.13</v>
      </c>
      <c r="AF47" s="500">
        <v>89241</v>
      </c>
      <c r="AG47" s="501">
        <f t="shared" si="3"/>
        <v>2612917</v>
      </c>
      <c r="AH47" s="500">
        <v>1148670.77</v>
      </c>
      <c r="AI47" s="500">
        <v>0</v>
      </c>
      <c r="AJ47" s="500">
        <v>572936.93000000005</v>
      </c>
      <c r="AK47" s="500">
        <v>40702.79</v>
      </c>
      <c r="AL47" s="500">
        <v>90799.37</v>
      </c>
      <c r="AM47" s="500">
        <v>0</v>
      </c>
      <c r="AN47" s="500">
        <v>187985.43</v>
      </c>
      <c r="AO47" s="500">
        <v>9817.48</v>
      </c>
      <c r="AP47" s="500">
        <v>687.5</v>
      </c>
      <c r="AQ47" s="500">
        <v>7468.56</v>
      </c>
      <c r="AR47" s="500">
        <v>0</v>
      </c>
      <c r="AS47" s="500">
        <v>10996.89</v>
      </c>
      <c r="AT47" s="500">
        <v>3708.6</v>
      </c>
      <c r="AU47" s="500">
        <v>43657.91</v>
      </c>
      <c r="AV47" s="500">
        <v>2869.2</v>
      </c>
      <c r="AW47" s="500">
        <v>45850.39</v>
      </c>
      <c r="AX47" s="500">
        <v>36600</v>
      </c>
      <c r="AY47" s="500">
        <v>10975.61</v>
      </c>
      <c r="AZ47" s="500">
        <v>113554.76</v>
      </c>
      <c r="BA47" s="500">
        <v>9170.18</v>
      </c>
      <c r="BB47" s="500">
        <v>0</v>
      </c>
      <c r="BC47" s="500">
        <v>12267.71</v>
      </c>
      <c r="BD47" s="500">
        <v>16333.8</v>
      </c>
      <c r="BE47" s="500">
        <v>11205.82</v>
      </c>
      <c r="BF47" s="500">
        <v>138879.57</v>
      </c>
      <c r="BG47" s="500">
        <v>7254.69</v>
      </c>
      <c r="BH47" s="500">
        <v>101837.41</v>
      </c>
      <c r="BI47" s="500">
        <v>13385.43</v>
      </c>
      <c r="BJ47" s="500">
        <v>0</v>
      </c>
      <c r="BK47" s="500">
        <v>0</v>
      </c>
      <c r="BL47" s="500">
        <v>0</v>
      </c>
      <c r="BM47" s="500">
        <v>0</v>
      </c>
      <c r="BN47" s="500">
        <v>0</v>
      </c>
      <c r="BO47" s="501">
        <f t="shared" si="4"/>
        <v>2637616.8000000003</v>
      </c>
      <c r="BP47" s="501">
        <f t="shared" si="5"/>
        <v>-24699.800000000279</v>
      </c>
      <c r="BQ47" s="501">
        <f t="shared" si="0"/>
        <v>279690.19999999972</v>
      </c>
      <c r="BR47" s="501">
        <f t="shared" si="6"/>
        <v>0</v>
      </c>
      <c r="BS47" s="501">
        <f t="shared" si="1"/>
        <v>279690.19999999972</v>
      </c>
      <c r="BT47" s="500">
        <v>43169</v>
      </c>
      <c r="BU47" s="500">
        <v>8758.75</v>
      </c>
      <c r="BV47" s="500">
        <v>0</v>
      </c>
      <c r="BW47" s="500">
        <v>0</v>
      </c>
      <c r="BX47" s="501">
        <f t="shared" si="7"/>
        <v>8758.75</v>
      </c>
      <c r="BY47" s="500">
        <v>0</v>
      </c>
      <c r="BZ47" s="500">
        <v>10655</v>
      </c>
      <c r="CA47" s="500">
        <v>15585.48</v>
      </c>
      <c r="CB47" s="500">
        <v>0</v>
      </c>
      <c r="CC47" s="501">
        <f t="shared" si="8"/>
        <v>26240.48</v>
      </c>
      <c r="CD47" s="500">
        <f t="shared" si="9"/>
        <v>-17481.73</v>
      </c>
      <c r="CE47" s="224">
        <f t="shared" si="10"/>
        <v>25687.27</v>
      </c>
      <c r="CF47" s="224">
        <f t="shared" si="2"/>
        <v>305377.46999999974</v>
      </c>
      <c r="CI47" t="e">
        <f>_xlfn.XLOOKUP(D47,#REF!,#REF!)</f>
        <v>#REF!</v>
      </c>
      <c r="CJ47" t="e">
        <f>_xlfn.XLOOKUP(D47,#REF!,#REF!)</f>
        <v>#REF!</v>
      </c>
      <c r="CK47" t="e">
        <f t="shared" si="11"/>
        <v>#REF!</v>
      </c>
      <c r="CM47" s="224" t="e">
        <f t="shared" si="12"/>
        <v>#REF!</v>
      </c>
      <c r="CN47" s="224" t="e">
        <f t="shared" si="13"/>
        <v>#REF!</v>
      </c>
      <c r="CO47" s="224" t="e">
        <f t="shared" si="13"/>
        <v>#REF!</v>
      </c>
    </row>
    <row r="48" spans="1:93" s="502" customFormat="1">
      <c r="A48" s="502" t="s">
        <v>171</v>
      </c>
      <c r="B48" s="502" t="s">
        <v>129</v>
      </c>
      <c r="C48" s="502">
        <v>101295</v>
      </c>
      <c r="D48" s="503">
        <v>3022044</v>
      </c>
      <c r="E48" s="503">
        <v>2044</v>
      </c>
      <c r="F48" s="502">
        <v>10081</v>
      </c>
      <c r="G48" s="502">
        <v>90081</v>
      </c>
      <c r="H48" s="502">
        <v>938634</v>
      </c>
      <c r="I48" s="502">
        <v>-59404</v>
      </c>
      <c r="J48" s="502">
        <v>0</v>
      </c>
      <c r="K48" s="502">
        <v>-59404</v>
      </c>
      <c r="L48" s="504">
        <v>1922965.98</v>
      </c>
      <c r="M48" s="504">
        <v>0</v>
      </c>
      <c r="N48" s="504">
        <v>94076.67</v>
      </c>
      <c r="O48" s="504">
        <v>0</v>
      </c>
      <c r="P48" s="504">
        <v>76629.990000000005</v>
      </c>
      <c r="Q48" s="504">
        <v>10088</v>
      </c>
      <c r="R48" s="504">
        <v>0</v>
      </c>
      <c r="S48" s="504">
        <v>38155.040000000001</v>
      </c>
      <c r="T48" s="504">
        <v>31161.47</v>
      </c>
      <c r="U48" s="504">
        <v>0</v>
      </c>
      <c r="V48" s="504">
        <v>0</v>
      </c>
      <c r="W48" s="504">
        <v>0</v>
      </c>
      <c r="X48" s="504">
        <v>28943.02</v>
      </c>
      <c r="Y48" s="504">
        <v>14396.92</v>
      </c>
      <c r="Z48" s="504">
        <v>0</v>
      </c>
      <c r="AA48" s="504">
        <v>0</v>
      </c>
      <c r="AB48" s="504">
        <v>0</v>
      </c>
      <c r="AC48" s="504">
        <v>0</v>
      </c>
      <c r="AD48" s="504">
        <v>0</v>
      </c>
      <c r="AE48" s="504">
        <v>11065</v>
      </c>
      <c r="AF48" s="504">
        <v>161219</v>
      </c>
      <c r="AG48" s="505">
        <f>SUM(L48:AF48)</f>
        <v>2388701.09</v>
      </c>
      <c r="AH48" s="504">
        <v>873999.91</v>
      </c>
      <c r="AI48" s="504">
        <v>0</v>
      </c>
      <c r="AJ48" s="504">
        <v>339230.57</v>
      </c>
      <c r="AK48" s="504">
        <v>38740.620000000003</v>
      </c>
      <c r="AL48" s="504">
        <v>120188.95999999999</v>
      </c>
      <c r="AM48" s="504">
        <v>0</v>
      </c>
      <c r="AN48" s="504">
        <v>66420.87</v>
      </c>
      <c r="AO48" s="504">
        <v>7500.78</v>
      </c>
      <c r="AP48" s="504">
        <v>3155.5</v>
      </c>
      <c r="AQ48" s="504">
        <v>589.29999999999995</v>
      </c>
      <c r="AR48" s="504">
        <v>0</v>
      </c>
      <c r="AS48" s="504">
        <v>23052.080000000002</v>
      </c>
      <c r="AT48" s="504">
        <v>3963.41</v>
      </c>
      <c r="AU48" s="504">
        <v>40336.92</v>
      </c>
      <c r="AV48" s="504">
        <v>11836.69</v>
      </c>
      <c r="AW48" s="504">
        <v>52354.69</v>
      </c>
      <c r="AX48" s="504">
        <v>19200</v>
      </c>
      <c r="AY48" s="504">
        <v>10630.33</v>
      </c>
      <c r="AZ48" s="504">
        <v>75767.669999999984</v>
      </c>
      <c r="BA48" s="504">
        <v>7492.84</v>
      </c>
      <c r="BB48" s="504">
        <v>0</v>
      </c>
      <c r="BC48" s="504">
        <v>21050.74</v>
      </c>
      <c r="BD48" s="504">
        <v>13883</v>
      </c>
      <c r="BE48" s="504">
        <v>666.64</v>
      </c>
      <c r="BF48" s="504">
        <v>127242.96</v>
      </c>
      <c r="BG48" s="504">
        <v>37055.019999999997</v>
      </c>
      <c r="BH48" s="504">
        <v>298694</v>
      </c>
      <c r="BI48" s="504">
        <v>19642.669999999998</v>
      </c>
      <c r="BJ48" s="504">
        <v>0</v>
      </c>
      <c r="BK48" s="504">
        <v>0</v>
      </c>
      <c r="BL48" s="504">
        <v>0</v>
      </c>
      <c r="BM48" s="504">
        <v>0</v>
      </c>
      <c r="BN48" s="504">
        <v>0</v>
      </c>
      <c r="BO48" s="505">
        <f t="shared" si="4"/>
        <v>2212696.17</v>
      </c>
      <c r="BP48" s="505">
        <f t="shared" si="5"/>
        <v>176004.91999999993</v>
      </c>
      <c r="BQ48" s="505">
        <f t="shared" si="0"/>
        <v>116600.91999999993</v>
      </c>
      <c r="BR48" s="505">
        <f t="shared" si="6"/>
        <v>0</v>
      </c>
      <c r="BS48" s="505">
        <f t="shared" si="1"/>
        <v>116600.91999999993</v>
      </c>
      <c r="BT48" s="504">
        <v>24230</v>
      </c>
      <c r="BU48" s="504">
        <v>24899</v>
      </c>
      <c r="BV48" s="504">
        <v>0</v>
      </c>
      <c r="BW48" s="504">
        <v>0</v>
      </c>
      <c r="BX48" s="505">
        <f t="shared" si="7"/>
        <v>24899</v>
      </c>
      <c r="BY48" s="504"/>
      <c r="BZ48" s="504"/>
      <c r="CA48" s="504"/>
      <c r="CB48" s="504"/>
      <c r="CC48" s="505">
        <f t="shared" si="8"/>
        <v>0</v>
      </c>
      <c r="CD48" s="504">
        <f t="shared" si="9"/>
        <v>24899</v>
      </c>
      <c r="CE48" s="506">
        <f t="shared" si="10"/>
        <v>49129</v>
      </c>
      <c r="CF48" s="506">
        <f t="shared" si="2"/>
        <v>165729.91999999993</v>
      </c>
      <c r="CI48" s="502" t="e">
        <f>_xlfn.XLOOKUP(D48,#REF!,#REF!)</f>
        <v>#REF!</v>
      </c>
      <c r="CJ48" s="502" t="e">
        <f>_xlfn.XLOOKUP(D48,#REF!,#REF!)</f>
        <v>#REF!</v>
      </c>
      <c r="CK48" s="502" t="e">
        <f t="shared" si="11"/>
        <v>#REF!</v>
      </c>
      <c r="CM48" s="506" t="e">
        <f t="shared" si="12"/>
        <v>#REF!</v>
      </c>
      <c r="CN48" s="506" t="e">
        <f t="shared" si="13"/>
        <v>#REF!</v>
      </c>
      <c r="CO48" s="506" t="e">
        <f t="shared" si="13"/>
        <v>#REF!</v>
      </c>
    </row>
    <row r="49" spans="1:93" s="502" customFormat="1">
      <c r="A49" s="502" t="s">
        <v>172</v>
      </c>
      <c r="B49" s="502" t="s">
        <v>129</v>
      </c>
      <c r="C49" s="502">
        <v>101294</v>
      </c>
      <c r="D49" s="503">
        <v>3022043</v>
      </c>
      <c r="E49" s="503">
        <v>2043</v>
      </c>
      <c r="F49" s="502">
        <v>10080</v>
      </c>
      <c r="G49" s="502">
        <v>90080</v>
      </c>
      <c r="H49" s="502">
        <v>938633</v>
      </c>
      <c r="I49" s="502">
        <v>-54210</v>
      </c>
      <c r="J49" s="502">
        <v>0</v>
      </c>
      <c r="K49" s="502">
        <v>-54210</v>
      </c>
      <c r="L49" s="504">
        <v>2209424</v>
      </c>
      <c r="M49" s="504">
        <v>0</v>
      </c>
      <c r="N49" s="504">
        <v>123544</v>
      </c>
      <c r="O49" s="504">
        <v>0</v>
      </c>
      <c r="P49" s="504">
        <v>139995</v>
      </c>
      <c r="Q49" s="504">
        <v>14378</v>
      </c>
      <c r="R49" s="504">
        <v>113992</v>
      </c>
      <c r="S49" s="504">
        <v>69307.17</v>
      </c>
      <c r="T49" s="504">
        <v>28251</v>
      </c>
      <c r="U49" s="504">
        <v>35982</v>
      </c>
      <c r="V49" s="504">
        <v>216</v>
      </c>
      <c r="W49" s="504">
        <v>0</v>
      </c>
      <c r="X49" s="504">
        <v>103179</v>
      </c>
      <c r="Y49" s="504">
        <v>25642</v>
      </c>
      <c r="Z49" s="504">
        <v>0</v>
      </c>
      <c r="AA49" s="504">
        <v>0</v>
      </c>
      <c r="AB49" s="504">
        <v>0</v>
      </c>
      <c r="AC49" s="504">
        <v>0</v>
      </c>
      <c r="AD49" s="504">
        <v>0</v>
      </c>
      <c r="AE49" s="504">
        <v>23267</v>
      </c>
      <c r="AF49" s="504">
        <v>20414</v>
      </c>
      <c r="AG49" s="505">
        <f>SUM(L49:AF49)</f>
        <v>2907591.17</v>
      </c>
      <c r="AH49" s="504">
        <v>1239321.17</v>
      </c>
      <c r="AI49" s="504">
        <v>0</v>
      </c>
      <c r="AJ49" s="504">
        <v>449434.48</v>
      </c>
      <c r="AK49" s="504">
        <v>38741.440000000002</v>
      </c>
      <c r="AL49" s="504">
        <v>55802</v>
      </c>
      <c r="AM49" s="504">
        <v>0</v>
      </c>
      <c r="AN49" s="504">
        <v>30790.42</v>
      </c>
      <c r="AO49" s="504">
        <v>10480.23</v>
      </c>
      <c r="AP49" s="504">
        <v>3533</v>
      </c>
      <c r="AQ49" s="504">
        <v>720</v>
      </c>
      <c r="AR49" s="504">
        <v>0</v>
      </c>
      <c r="AS49" s="504">
        <v>29570</v>
      </c>
      <c r="AT49" s="504">
        <v>5730</v>
      </c>
      <c r="AU49" s="504">
        <v>74214</v>
      </c>
      <c r="AV49" s="504">
        <v>19312</v>
      </c>
      <c r="AW49" s="504">
        <v>95253</v>
      </c>
      <c r="AX49" s="504">
        <v>19200</v>
      </c>
      <c r="AY49" s="504">
        <v>11017</v>
      </c>
      <c r="AZ49" s="504">
        <v>147238.51</v>
      </c>
      <c r="BA49" s="504">
        <v>10401</v>
      </c>
      <c r="BB49" s="504">
        <v>0</v>
      </c>
      <c r="BC49" s="504">
        <v>37506</v>
      </c>
      <c r="BD49" s="504">
        <v>16615</v>
      </c>
      <c r="BE49" s="504">
        <v>0</v>
      </c>
      <c r="BF49" s="504">
        <v>138152</v>
      </c>
      <c r="BG49" s="504">
        <v>62990</v>
      </c>
      <c r="BH49" s="504">
        <v>190601</v>
      </c>
      <c r="BI49" s="504">
        <v>43632</v>
      </c>
      <c r="BJ49" s="504">
        <v>0</v>
      </c>
      <c r="BK49" s="504">
        <v>0</v>
      </c>
      <c r="BL49" s="504">
        <v>0</v>
      </c>
      <c r="BM49" s="504">
        <v>0</v>
      </c>
      <c r="BN49" s="504">
        <v>0</v>
      </c>
      <c r="BO49" s="505">
        <f t="shared" si="4"/>
        <v>2730254.25</v>
      </c>
      <c r="BP49" s="505">
        <f t="shared" si="5"/>
        <v>177336.91999999993</v>
      </c>
      <c r="BQ49" s="505">
        <f t="shared" si="0"/>
        <v>123126.91999999993</v>
      </c>
      <c r="BR49" s="505">
        <f t="shared" si="6"/>
        <v>0</v>
      </c>
      <c r="BS49" s="505">
        <f t="shared" si="1"/>
        <v>123126.91999999993</v>
      </c>
      <c r="BT49" s="504">
        <v>33421</v>
      </c>
      <c r="BU49" s="504">
        <v>27807</v>
      </c>
      <c r="BV49" s="504">
        <v>0</v>
      </c>
      <c r="BW49" s="504">
        <v>0</v>
      </c>
      <c r="BX49" s="505">
        <f t="shared" si="7"/>
        <v>27807</v>
      </c>
      <c r="BY49" s="504">
        <v>0</v>
      </c>
      <c r="BZ49" s="504">
        <v>0</v>
      </c>
      <c r="CA49" s="504">
        <v>0</v>
      </c>
      <c r="CB49" s="504">
        <v>8961</v>
      </c>
      <c r="CC49" s="505">
        <f t="shared" si="8"/>
        <v>8961</v>
      </c>
      <c r="CD49" s="504">
        <f t="shared" si="9"/>
        <v>18846</v>
      </c>
      <c r="CE49" s="506">
        <f t="shared" si="10"/>
        <v>52267</v>
      </c>
      <c r="CF49" s="506">
        <f t="shared" si="2"/>
        <v>175393.91999999993</v>
      </c>
      <c r="CI49" s="502" t="e">
        <f>_xlfn.XLOOKUP(D49,#REF!,#REF!)</f>
        <v>#REF!</v>
      </c>
      <c r="CJ49" s="502" t="e">
        <f>_xlfn.XLOOKUP(D49,#REF!,#REF!)</f>
        <v>#REF!</v>
      </c>
      <c r="CK49" s="502" t="e">
        <f t="shared" si="11"/>
        <v>#REF!</v>
      </c>
      <c r="CM49" s="506" t="e">
        <f t="shared" si="12"/>
        <v>#REF!</v>
      </c>
      <c r="CN49" s="506" t="e">
        <f t="shared" si="13"/>
        <v>#REF!</v>
      </c>
      <c r="CO49" s="506" t="e">
        <f t="shared" si="13"/>
        <v>#REF!</v>
      </c>
    </row>
    <row r="50" spans="1:93">
      <c r="A50" t="s">
        <v>281</v>
      </c>
      <c r="B50" t="s">
        <v>129</v>
      </c>
      <c r="C50">
        <v>149998</v>
      </c>
      <c r="D50" s="3">
        <v>3022053</v>
      </c>
      <c r="E50" s="3">
        <v>2053</v>
      </c>
      <c r="F50">
        <v>10113</v>
      </c>
      <c r="G50">
        <v>90113</v>
      </c>
      <c r="H50">
        <v>938708</v>
      </c>
      <c r="I50">
        <v>4308</v>
      </c>
      <c r="J50">
        <v>0</v>
      </c>
      <c r="K50">
        <v>4308</v>
      </c>
      <c r="L50" s="500">
        <v>1256768.6100000001</v>
      </c>
      <c r="M50" s="500">
        <v>0</v>
      </c>
      <c r="N50" s="500">
        <v>72024.86</v>
      </c>
      <c r="O50" s="500">
        <v>0</v>
      </c>
      <c r="P50" s="500">
        <v>5820.04</v>
      </c>
      <c r="Q50" s="500">
        <v>59753.3</v>
      </c>
      <c r="R50" s="500">
        <v>36232.82</v>
      </c>
      <c r="S50" s="500">
        <v>0</v>
      </c>
      <c r="T50" s="500">
        <v>6605.28</v>
      </c>
      <c r="U50" s="500">
        <v>1496.94</v>
      </c>
      <c r="V50" s="500">
        <v>0</v>
      </c>
      <c r="W50" s="500">
        <v>0</v>
      </c>
      <c r="X50" s="500">
        <v>9115.75</v>
      </c>
      <c r="Y50" s="500">
        <v>593371.5</v>
      </c>
      <c r="Z50" s="500">
        <v>0</v>
      </c>
      <c r="AA50" s="500">
        <v>0</v>
      </c>
      <c r="AB50" s="500">
        <v>0</v>
      </c>
      <c r="AC50" s="500">
        <v>0</v>
      </c>
      <c r="AD50" s="500">
        <v>0</v>
      </c>
      <c r="AE50" s="500">
        <v>500</v>
      </c>
      <c r="AF50" s="500">
        <v>60248.5</v>
      </c>
      <c r="AG50" s="501">
        <f t="shared" si="3"/>
        <v>2101937.6000000006</v>
      </c>
      <c r="AH50" s="500">
        <v>719365.27</v>
      </c>
      <c r="AI50" s="500">
        <v>0</v>
      </c>
      <c r="AJ50" s="500">
        <v>774930.91999999993</v>
      </c>
      <c r="AK50" s="500">
        <v>30173.48</v>
      </c>
      <c r="AL50" s="500">
        <v>159067.59</v>
      </c>
      <c r="AM50" s="500">
        <v>0</v>
      </c>
      <c r="AN50" s="500">
        <v>0</v>
      </c>
      <c r="AO50" s="500">
        <v>8440.82</v>
      </c>
      <c r="AP50" s="500">
        <v>7832.5</v>
      </c>
      <c r="AQ50" s="500">
        <v>346.94</v>
      </c>
      <c r="AR50" s="500">
        <v>0</v>
      </c>
      <c r="AS50" s="500">
        <v>17195.849999999999</v>
      </c>
      <c r="AT50" s="500">
        <v>23026.01</v>
      </c>
      <c r="AU50" s="500">
        <v>36554.620000000003</v>
      </c>
      <c r="AV50" s="500">
        <v>3020.48</v>
      </c>
      <c r="AW50" s="500">
        <v>21666.89</v>
      </c>
      <c r="AX50" s="500">
        <v>5406</v>
      </c>
      <c r="AY50" s="500">
        <v>71668.320000000007</v>
      </c>
      <c r="AZ50" s="500">
        <v>68124.740000000005</v>
      </c>
      <c r="BA50" s="500">
        <v>8561.3799999999992</v>
      </c>
      <c r="BB50" s="500">
        <v>0</v>
      </c>
      <c r="BC50" s="500">
        <v>24024.28</v>
      </c>
      <c r="BD50" s="500">
        <v>5811.01</v>
      </c>
      <c r="BE50" s="500">
        <v>392.72</v>
      </c>
      <c r="BF50" s="500">
        <v>78606.44</v>
      </c>
      <c r="BG50" s="500">
        <v>3354.82</v>
      </c>
      <c r="BH50" s="500">
        <v>52618.84</v>
      </c>
      <c r="BI50" s="500">
        <v>17240.12</v>
      </c>
      <c r="BJ50" s="500">
        <v>0</v>
      </c>
      <c r="BK50" s="500">
        <v>0</v>
      </c>
      <c r="BL50" s="500">
        <v>0</v>
      </c>
      <c r="BM50" s="500">
        <v>0</v>
      </c>
      <c r="BN50" s="500">
        <v>0</v>
      </c>
      <c r="BO50" s="501">
        <f t="shared" si="4"/>
        <v>2137430.04</v>
      </c>
      <c r="BP50" s="501">
        <f t="shared" si="5"/>
        <v>-35492.439999999478</v>
      </c>
      <c r="BQ50" s="501">
        <f t="shared" si="0"/>
        <v>-31184.439999999478</v>
      </c>
      <c r="BR50" s="501">
        <f t="shared" si="6"/>
        <v>0</v>
      </c>
      <c r="BS50" s="501">
        <f t="shared" si="1"/>
        <v>-31184.439999999478</v>
      </c>
      <c r="BT50" s="500">
        <v>0</v>
      </c>
      <c r="BU50" s="500"/>
      <c r="BV50" s="500"/>
      <c r="BW50" s="500"/>
      <c r="BX50" s="501">
        <f t="shared" si="7"/>
        <v>0</v>
      </c>
      <c r="BY50" s="500"/>
      <c r="BZ50" s="500"/>
      <c r="CA50" s="500"/>
      <c r="CB50" s="500"/>
      <c r="CC50" s="501">
        <f t="shared" si="8"/>
        <v>0</v>
      </c>
      <c r="CD50" s="500">
        <f t="shared" si="9"/>
        <v>0</v>
      </c>
      <c r="CE50" s="224">
        <f t="shared" si="10"/>
        <v>0</v>
      </c>
      <c r="CF50" s="224">
        <f t="shared" si="2"/>
        <v>-31184.439999999478</v>
      </c>
      <c r="CM50" s="224"/>
      <c r="CN50" s="224"/>
      <c r="CO50" s="224"/>
    </row>
    <row r="51" spans="1:93">
      <c r="A51" t="s">
        <v>173</v>
      </c>
      <c r="B51" t="s">
        <v>129</v>
      </c>
      <c r="C51">
        <v>101296</v>
      </c>
      <c r="D51" s="3">
        <v>3022045</v>
      </c>
      <c r="E51" s="3">
        <v>2045</v>
      </c>
      <c r="F51">
        <v>10082</v>
      </c>
      <c r="G51">
        <v>90082</v>
      </c>
      <c r="H51">
        <v>938635</v>
      </c>
      <c r="I51">
        <v>25206</v>
      </c>
      <c r="J51">
        <v>0</v>
      </c>
      <c r="K51">
        <v>25206</v>
      </c>
      <c r="L51" s="500">
        <v>1456938.82</v>
      </c>
      <c r="M51" s="500">
        <v>0</v>
      </c>
      <c r="N51" s="500">
        <v>90291.41</v>
      </c>
      <c r="O51" s="500">
        <v>0</v>
      </c>
      <c r="P51" s="500">
        <v>55094.98</v>
      </c>
      <c r="Q51" s="500">
        <v>7524.42</v>
      </c>
      <c r="R51" s="500">
        <v>40331.050000000003</v>
      </c>
      <c r="S51" s="500">
        <v>8254.84</v>
      </c>
      <c r="T51" s="500">
        <v>88061.759999999995</v>
      </c>
      <c r="U51" s="500">
        <v>2673.86</v>
      </c>
      <c r="V51" s="500">
        <v>0</v>
      </c>
      <c r="W51" s="500">
        <v>0</v>
      </c>
      <c r="X51" s="500">
        <v>100400.46</v>
      </c>
      <c r="Y51" s="500">
        <v>39417.03</v>
      </c>
      <c r="Z51" s="500">
        <v>0</v>
      </c>
      <c r="AA51" s="500">
        <v>0</v>
      </c>
      <c r="AB51" s="500">
        <v>0</v>
      </c>
      <c r="AC51" s="500">
        <v>0</v>
      </c>
      <c r="AD51" s="500">
        <v>0</v>
      </c>
      <c r="AE51" s="500">
        <v>8563.76</v>
      </c>
      <c r="AF51" s="500">
        <v>46048</v>
      </c>
      <c r="AG51" s="501">
        <f t="shared" si="3"/>
        <v>1943600.3900000001</v>
      </c>
      <c r="AH51" s="500">
        <v>818424.36</v>
      </c>
      <c r="AI51" s="500">
        <v>0</v>
      </c>
      <c r="AJ51" s="500">
        <v>503936.99</v>
      </c>
      <c r="AK51" s="500">
        <v>70319.83</v>
      </c>
      <c r="AL51" s="500">
        <v>58276.59</v>
      </c>
      <c r="AM51" s="500">
        <v>0</v>
      </c>
      <c r="AN51" s="500">
        <v>47071.59</v>
      </c>
      <c r="AO51" s="500">
        <v>8406.4599999999991</v>
      </c>
      <c r="AP51" s="500">
        <v>2162.9699999999998</v>
      </c>
      <c r="AQ51" s="500">
        <v>348.6</v>
      </c>
      <c r="AR51" s="500">
        <v>0</v>
      </c>
      <c r="AS51" s="500">
        <v>8293.7099999999991</v>
      </c>
      <c r="AT51" s="500">
        <v>0</v>
      </c>
      <c r="AU51" s="500">
        <v>133.02000000000001</v>
      </c>
      <c r="AV51" s="500">
        <v>2890.67</v>
      </c>
      <c r="AW51" s="500">
        <v>50985.55</v>
      </c>
      <c r="AX51" s="500">
        <v>30464</v>
      </c>
      <c r="AY51" s="500">
        <v>9220.81</v>
      </c>
      <c r="AZ51" s="500">
        <v>105667.59</v>
      </c>
      <c r="BA51" s="500">
        <v>9349.66</v>
      </c>
      <c r="BB51" s="500">
        <v>0</v>
      </c>
      <c r="BC51" s="500">
        <v>8823.24</v>
      </c>
      <c r="BD51" s="500">
        <v>9336.9</v>
      </c>
      <c r="BE51" s="500">
        <v>20674.62</v>
      </c>
      <c r="BF51" s="500">
        <v>70840.459999999992</v>
      </c>
      <c r="BG51" s="500">
        <v>12674.55</v>
      </c>
      <c r="BH51" s="500">
        <v>87203.37</v>
      </c>
      <c r="BI51" s="500">
        <v>35862.49</v>
      </c>
      <c r="BJ51" s="500">
        <v>0</v>
      </c>
      <c r="BK51" s="500">
        <v>0</v>
      </c>
      <c r="BL51" s="500">
        <v>1956.18</v>
      </c>
      <c r="BM51" s="500">
        <v>0</v>
      </c>
      <c r="BN51" s="500">
        <v>0</v>
      </c>
      <c r="BO51" s="501">
        <f t="shared" si="4"/>
        <v>1973324.2100000004</v>
      </c>
      <c r="BP51" s="501">
        <f t="shared" si="5"/>
        <v>-29723.820000000298</v>
      </c>
      <c r="BQ51" s="501">
        <f t="shared" si="0"/>
        <v>-4517.820000000298</v>
      </c>
      <c r="BR51" s="501">
        <f t="shared" si="6"/>
        <v>0</v>
      </c>
      <c r="BS51" s="501">
        <f t="shared" si="1"/>
        <v>-4517.820000000298</v>
      </c>
      <c r="BT51" s="500">
        <v>22506</v>
      </c>
      <c r="BU51" s="500">
        <v>6844</v>
      </c>
      <c r="BV51" s="500">
        <v>0</v>
      </c>
      <c r="BW51" s="500">
        <v>1956.18</v>
      </c>
      <c r="BX51" s="501">
        <f t="shared" si="7"/>
        <v>8800.18</v>
      </c>
      <c r="BY51" s="500">
        <v>0</v>
      </c>
      <c r="BZ51" s="500">
        <v>20759.78</v>
      </c>
      <c r="CA51" s="500">
        <v>0</v>
      </c>
      <c r="CB51" s="500">
        <v>10546.4</v>
      </c>
      <c r="CC51" s="501">
        <f t="shared" si="8"/>
        <v>31306.18</v>
      </c>
      <c r="CD51" s="500">
        <f t="shared" si="9"/>
        <v>-22506</v>
      </c>
      <c r="CE51" s="224">
        <f t="shared" si="10"/>
        <v>0</v>
      </c>
      <c r="CF51" s="224">
        <f t="shared" si="2"/>
        <v>-4517.820000000298</v>
      </c>
      <c r="CI51" t="e">
        <f>_xlfn.XLOOKUP(D51,#REF!,#REF!)</f>
        <v>#REF!</v>
      </c>
      <c r="CJ51" t="e">
        <f>_xlfn.XLOOKUP(D51,#REF!,#REF!)</f>
        <v>#REF!</v>
      </c>
      <c r="CK51" t="e">
        <f t="shared" si="11"/>
        <v>#REF!</v>
      </c>
      <c r="CM51" s="224" t="e">
        <f t="shared" si="12"/>
        <v>#REF!</v>
      </c>
      <c r="CN51" s="224" t="e">
        <f t="shared" si="13"/>
        <v>#REF!</v>
      </c>
      <c r="CO51" s="224" t="e">
        <f t="shared" si="13"/>
        <v>#REF!</v>
      </c>
    </row>
    <row r="52" spans="1:93">
      <c r="A52" t="s">
        <v>174</v>
      </c>
      <c r="B52" t="s">
        <v>129</v>
      </c>
      <c r="C52">
        <v>131970</v>
      </c>
      <c r="D52" s="3">
        <v>3022077</v>
      </c>
      <c r="E52" s="3">
        <v>2077</v>
      </c>
      <c r="F52">
        <v>10127</v>
      </c>
      <c r="G52">
        <v>90127</v>
      </c>
      <c r="H52">
        <v>938649</v>
      </c>
      <c r="I52">
        <v>-147250</v>
      </c>
      <c r="J52">
        <v>0</v>
      </c>
      <c r="K52">
        <v>-147250</v>
      </c>
      <c r="L52" s="500">
        <v>5883581.4800000004</v>
      </c>
      <c r="M52" s="500">
        <v>0</v>
      </c>
      <c r="N52" s="500">
        <v>785217.2</v>
      </c>
      <c r="O52" s="500">
        <v>0</v>
      </c>
      <c r="P52" s="500">
        <v>598544</v>
      </c>
      <c r="Q52" s="500">
        <v>1874.42</v>
      </c>
      <c r="R52" s="500">
        <v>106116.99</v>
      </c>
      <c r="S52" s="500">
        <v>14647.5</v>
      </c>
      <c r="T52" s="500">
        <v>139971.35</v>
      </c>
      <c r="U52" s="500">
        <v>36872.89</v>
      </c>
      <c r="V52" s="500">
        <v>0</v>
      </c>
      <c r="W52" s="500">
        <v>0</v>
      </c>
      <c r="X52" s="500">
        <v>91826.3</v>
      </c>
      <c r="Y52" s="500">
        <v>30257.93</v>
      </c>
      <c r="Z52" s="500">
        <v>0</v>
      </c>
      <c r="AA52" s="500">
        <v>0</v>
      </c>
      <c r="AB52" s="500">
        <v>0</v>
      </c>
      <c r="AC52" s="500">
        <v>26805</v>
      </c>
      <c r="AD52" s="500">
        <v>0</v>
      </c>
      <c r="AE52" s="500">
        <v>78736.929999999993</v>
      </c>
      <c r="AF52" s="500">
        <v>116746</v>
      </c>
      <c r="AG52" s="501">
        <f t="shared" si="3"/>
        <v>7911197.9899999993</v>
      </c>
      <c r="AH52" s="500">
        <v>3507231.71</v>
      </c>
      <c r="AI52" s="500">
        <v>0</v>
      </c>
      <c r="AJ52" s="500">
        <v>2104772.04</v>
      </c>
      <c r="AK52" s="500">
        <v>360597.77</v>
      </c>
      <c r="AL52" s="500">
        <v>283316.15000000002</v>
      </c>
      <c r="AM52" s="500">
        <v>156877.79</v>
      </c>
      <c r="AN52" s="500">
        <v>350810.71</v>
      </c>
      <c r="AO52" s="500">
        <v>32168.3</v>
      </c>
      <c r="AP52" s="500">
        <v>7283.19</v>
      </c>
      <c r="AQ52" s="500">
        <v>1392.74</v>
      </c>
      <c r="AR52" s="500">
        <v>0</v>
      </c>
      <c r="AS52" s="500">
        <v>130253.71</v>
      </c>
      <c r="AT52" s="500">
        <v>21197.119999999999</v>
      </c>
      <c r="AU52" s="500">
        <v>14736</v>
      </c>
      <c r="AV52" s="500">
        <v>45726.33</v>
      </c>
      <c r="AW52" s="500">
        <v>201165.75</v>
      </c>
      <c r="AX52" s="500">
        <v>-36017</v>
      </c>
      <c r="AY52" s="500">
        <v>55713.91</v>
      </c>
      <c r="AZ52" s="500">
        <v>298826.53999999998</v>
      </c>
      <c r="BA52" s="500">
        <v>21880.01</v>
      </c>
      <c r="BB52" s="500">
        <v>0</v>
      </c>
      <c r="BC52" s="500">
        <v>98513.2</v>
      </c>
      <c r="BD52" s="500">
        <v>34794.67</v>
      </c>
      <c r="BE52" s="500">
        <v>53030.73</v>
      </c>
      <c r="BF52" s="500">
        <v>252883.83</v>
      </c>
      <c r="BG52" s="500">
        <v>140725.13</v>
      </c>
      <c r="BH52" s="500">
        <v>430324.98</v>
      </c>
      <c r="BI52" s="500">
        <v>84679.84</v>
      </c>
      <c r="BJ52" s="500">
        <v>0</v>
      </c>
      <c r="BK52" s="500">
        <v>0</v>
      </c>
      <c r="BL52" s="500">
        <v>0</v>
      </c>
      <c r="BM52" s="500">
        <v>0</v>
      </c>
      <c r="BN52" s="500">
        <v>796.15</v>
      </c>
      <c r="BO52" s="501">
        <f t="shared" si="4"/>
        <v>8653681.3000000007</v>
      </c>
      <c r="BP52" s="501">
        <f t="shared" si="5"/>
        <v>-742483.31000000145</v>
      </c>
      <c r="BQ52" s="501">
        <f t="shared" si="0"/>
        <v>-888937.16000000143</v>
      </c>
      <c r="BR52" s="501">
        <f t="shared" si="6"/>
        <v>-796.15</v>
      </c>
      <c r="BS52" s="501">
        <f t="shared" si="1"/>
        <v>-889733.31000000145</v>
      </c>
      <c r="BT52" s="500">
        <v>51626</v>
      </c>
      <c r="BU52" s="500">
        <v>14386</v>
      </c>
      <c r="BV52" s="500">
        <v>0</v>
      </c>
      <c r="BW52" s="500">
        <v>0</v>
      </c>
      <c r="BX52" s="501">
        <f t="shared" si="7"/>
        <v>14386</v>
      </c>
      <c r="BY52" s="500">
        <v>39034.949999999997</v>
      </c>
      <c r="BZ52" s="500">
        <v>0</v>
      </c>
      <c r="CA52" s="500">
        <v>22545</v>
      </c>
      <c r="CB52" s="500"/>
      <c r="CC52" s="501">
        <f t="shared" si="8"/>
        <v>61579.95</v>
      </c>
      <c r="CD52" s="500">
        <f t="shared" si="9"/>
        <v>-47193.95</v>
      </c>
      <c r="CE52" s="224">
        <f t="shared" si="10"/>
        <v>4432.0500000000029</v>
      </c>
      <c r="CF52" s="224">
        <f t="shared" si="2"/>
        <v>-885301.26000000141</v>
      </c>
      <c r="CI52" t="e">
        <f>_xlfn.XLOOKUP(D52,#REF!,#REF!)</f>
        <v>#REF!</v>
      </c>
      <c r="CJ52" t="e">
        <f>_xlfn.XLOOKUP(D52,#REF!,#REF!)</f>
        <v>#REF!</v>
      </c>
      <c r="CK52" t="e">
        <f t="shared" si="11"/>
        <v>#REF!</v>
      </c>
      <c r="CM52" s="224" t="e">
        <f t="shared" si="12"/>
        <v>#REF!</v>
      </c>
      <c r="CN52" s="224" t="e">
        <f t="shared" si="13"/>
        <v>#REF!</v>
      </c>
      <c r="CO52" s="224" t="e">
        <f t="shared" si="13"/>
        <v>#REF!</v>
      </c>
    </row>
    <row r="53" spans="1:93">
      <c r="A53" t="s">
        <v>175</v>
      </c>
      <c r="B53" t="s">
        <v>129</v>
      </c>
      <c r="C53">
        <v>101356</v>
      </c>
      <c r="D53" s="3">
        <v>3025201</v>
      </c>
      <c r="E53" s="3">
        <v>5201</v>
      </c>
      <c r="F53">
        <v>10084</v>
      </c>
      <c r="G53">
        <v>90084</v>
      </c>
      <c r="H53">
        <v>938687</v>
      </c>
      <c r="I53">
        <v>364307</v>
      </c>
      <c r="J53">
        <v>0</v>
      </c>
      <c r="K53">
        <v>364307</v>
      </c>
      <c r="L53" s="500">
        <v>2180247.83</v>
      </c>
      <c r="M53" s="500">
        <v>0</v>
      </c>
      <c r="N53" s="500">
        <v>232006.6</v>
      </c>
      <c r="O53" s="500">
        <v>0</v>
      </c>
      <c r="P53" s="500">
        <v>130949.98</v>
      </c>
      <c r="Q53" s="500">
        <v>2080</v>
      </c>
      <c r="R53" s="500">
        <v>59112.53</v>
      </c>
      <c r="S53" s="500">
        <v>3961.1</v>
      </c>
      <c r="T53" s="500">
        <v>91304.22</v>
      </c>
      <c r="U53" s="500">
        <v>16510.72</v>
      </c>
      <c r="V53" s="500">
        <v>0</v>
      </c>
      <c r="W53" s="500">
        <v>317</v>
      </c>
      <c r="X53" s="500">
        <v>39265.65</v>
      </c>
      <c r="Y53" s="500">
        <v>2221.52</v>
      </c>
      <c r="Z53" s="500">
        <v>0</v>
      </c>
      <c r="AA53" s="500">
        <v>0</v>
      </c>
      <c r="AB53" s="500">
        <v>0</v>
      </c>
      <c r="AC53" s="500">
        <v>0</v>
      </c>
      <c r="AD53" s="500">
        <v>0</v>
      </c>
      <c r="AE53" s="500">
        <v>22117.5</v>
      </c>
      <c r="AF53" s="500">
        <v>74975</v>
      </c>
      <c r="AG53" s="501">
        <f t="shared" si="3"/>
        <v>2855069.6500000004</v>
      </c>
      <c r="AH53" s="500">
        <v>1200317.6299999999</v>
      </c>
      <c r="AI53" s="500">
        <v>0</v>
      </c>
      <c r="AJ53" s="500">
        <v>640827.81000000006</v>
      </c>
      <c r="AK53" s="500">
        <v>75446.41</v>
      </c>
      <c r="AL53" s="500">
        <v>146813.81</v>
      </c>
      <c r="AM53" s="500">
        <v>0</v>
      </c>
      <c r="AN53" s="500">
        <v>41127.94</v>
      </c>
      <c r="AO53" s="500">
        <v>2439.4299999999998</v>
      </c>
      <c r="AP53" s="500">
        <v>9420.58</v>
      </c>
      <c r="AQ53" s="500">
        <v>670.64</v>
      </c>
      <c r="AR53" s="500">
        <v>0</v>
      </c>
      <c r="AS53" s="500">
        <v>21577.75</v>
      </c>
      <c r="AT53" s="500">
        <v>39015.129999999997</v>
      </c>
      <c r="AU53" s="500">
        <v>40536.589999999997</v>
      </c>
      <c r="AV53" s="500">
        <v>5096.1499999999996</v>
      </c>
      <c r="AW53" s="500">
        <v>82452.17</v>
      </c>
      <c r="AX53" s="500">
        <v>7014.4</v>
      </c>
      <c r="AY53" s="500">
        <v>10970.95</v>
      </c>
      <c r="AZ53" s="500">
        <v>88253.37</v>
      </c>
      <c r="BA53" s="500">
        <v>12885.27</v>
      </c>
      <c r="BB53" s="500">
        <v>0</v>
      </c>
      <c r="BC53" s="500">
        <v>16383</v>
      </c>
      <c r="BD53" s="500">
        <v>17557.72</v>
      </c>
      <c r="BE53" s="500">
        <v>7863.66</v>
      </c>
      <c r="BF53" s="500">
        <v>149564.81</v>
      </c>
      <c r="BG53" s="500">
        <v>6682</v>
      </c>
      <c r="BH53" s="500">
        <v>109131.79</v>
      </c>
      <c r="BI53" s="500">
        <v>35689.730000000003</v>
      </c>
      <c r="BJ53" s="500">
        <v>0</v>
      </c>
      <c r="BK53" s="500">
        <v>0</v>
      </c>
      <c r="BL53" s="500">
        <v>0</v>
      </c>
      <c r="BM53" s="500">
        <v>0</v>
      </c>
      <c r="BN53" s="500">
        <v>0</v>
      </c>
      <c r="BO53" s="501">
        <f t="shared" si="4"/>
        <v>2767738.7400000007</v>
      </c>
      <c r="BP53" s="501">
        <f t="shared" si="5"/>
        <v>87330.909999999683</v>
      </c>
      <c r="BQ53" s="501">
        <f t="shared" si="0"/>
        <v>451637.90999999968</v>
      </c>
      <c r="BR53" s="501">
        <f t="shared" si="6"/>
        <v>0</v>
      </c>
      <c r="BS53" s="501">
        <f t="shared" si="1"/>
        <v>451637.90999999968</v>
      </c>
      <c r="BT53" s="500">
        <v>17934</v>
      </c>
      <c r="BU53" s="500">
        <v>8629.3799999999992</v>
      </c>
      <c r="BV53" s="500">
        <v>0</v>
      </c>
      <c r="BW53" s="500">
        <v>0</v>
      </c>
      <c r="BX53" s="501">
        <f t="shared" si="7"/>
        <v>8629.3799999999992</v>
      </c>
      <c r="BY53" s="500"/>
      <c r="BZ53" s="500"/>
      <c r="CA53" s="500"/>
      <c r="CB53" s="500"/>
      <c r="CC53" s="501">
        <f t="shared" si="8"/>
        <v>0</v>
      </c>
      <c r="CD53" s="500">
        <f t="shared" si="9"/>
        <v>8629.3799999999992</v>
      </c>
      <c r="CE53" s="224">
        <f t="shared" si="10"/>
        <v>26563.379999999997</v>
      </c>
      <c r="CF53" s="224">
        <f t="shared" si="2"/>
        <v>478201.28999999969</v>
      </c>
      <c r="CI53" t="e">
        <f>_xlfn.XLOOKUP(D53,#REF!,#REF!)</f>
        <v>#REF!</v>
      </c>
      <c r="CJ53" t="e">
        <f>_xlfn.XLOOKUP(D53,#REF!,#REF!)</f>
        <v>#REF!</v>
      </c>
      <c r="CK53" t="e">
        <f t="shared" si="11"/>
        <v>#REF!</v>
      </c>
      <c r="CM53" s="224" t="e">
        <f t="shared" si="12"/>
        <v>#REF!</v>
      </c>
      <c r="CN53" s="224" t="e">
        <f t="shared" si="13"/>
        <v>#REF!</v>
      </c>
      <c r="CO53" s="224" t="e">
        <f t="shared" si="13"/>
        <v>#REF!</v>
      </c>
    </row>
    <row r="54" spans="1:93">
      <c r="A54" t="s">
        <v>176</v>
      </c>
      <c r="B54" t="s">
        <v>129</v>
      </c>
      <c r="C54">
        <v>101331</v>
      </c>
      <c r="D54" s="3">
        <v>3023501</v>
      </c>
      <c r="E54" s="3">
        <v>3501</v>
      </c>
      <c r="F54">
        <v>10085</v>
      </c>
      <c r="G54">
        <v>90085</v>
      </c>
      <c r="H54">
        <v>938666</v>
      </c>
      <c r="I54">
        <v>-126538</v>
      </c>
      <c r="J54">
        <v>0</v>
      </c>
      <c r="K54">
        <v>-126538</v>
      </c>
      <c r="L54" s="500">
        <v>1243100</v>
      </c>
      <c r="M54" s="500">
        <v>0</v>
      </c>
      <c r="N54" s="500">
        <v>80553</v>
      </c>
      <c r="O54" s="500">
        <v>0</v>
      </c>
      <c r="P54" s="500">
        <v>58515</v>
      </c>
      <c r="Q54" s="500">
        <v>8826</v>
      </c>
      <c r="R54" s="500">
        <v>39715</v>
      </c>
      <c r="S54" s="500">
        <v>1825</v>
      </c>
      <c r="T54" s="500">
        <v>13003</v>
      </c>
      <c r="U54" s="500">
        <v>10074</v>
      </c>
      <c r="V54" s="500">
        <v>0</v>
      </c>
      <c r="W54" s="500">
        <v>0</v>
      </c>
      <c r="X54" s="500">
        <v>54017</v>
      </c>
      <c r="Y54" s="500">
        <v>16356</v>
      </c>
      <c r="Z54" s="500">
        <v>0</v>
      </c>
      <c r="AA54" s="500">
        <v>0</v>
      </c>
      <c r="AB54" s="500">
        <v>0</v>
      </c>
      <c r="AC54" s="500">
        <v>0</v>
      </c>
      <c r="AD54" s="500">
        <v>0</v>
      </c>
      <c r="AE54" s="500">
        <v>9101</v>
      </c>
      <c r="AF54" s="500">
        <v>41571</v>
      </c>
      <c r="AG54" s="501">
        <f t="shared" si="3"/>
        <v>1576656</v>
      </c>
      <c r="AH54" s="500">
        <v>645659</v>
      </c>
      <c r="AI54" s="500">
        <v>0</v>
      </c>
      <c r="AJ54" s="500">
        <v>209758</v>
      </c>
      <c r="AK54" s="500">
        <v>77970</v>
      </c>
      <c r="AL54" s="500">
        <v>77297</v>
      </c>
      <c r="AM54" s="500">
        <v>0</v>
      </c>
      <c r="AN54" s="500">
        <v>39956</v>
      </c>
      <c r="AO54" s="500">
        <v>1261</v>
      </c>
      <c r="AP54" s="500">
        <v>7413</v>
      </c>
      <c r="AQ54" s="500">
        <v>345</v>
      </c>
      <c r="AR54" s="500">
        <v>0</v>
      </c>
      <c r="AS54" s="500">
        <v>27875</v>
      </c>
      <c r="AT54" s="500">
        <v>474</v>
      </c>
      <c r="AU54" s="500">
        <v>2290</v>
      </c>
      <c r="AV54" s="500">
        <v>3786</v>
      </c>
      <c r="AW54" s="500">
        <v>63192</v>
      </c>
      <c r="AX54" s="500">
        <v>817</v>
      </c>
      <c r="AY54" s="500">
        <v>7601</v>
      </c>
      <c r="AZ54" s="500">
        <v>60497</v>
      </c>
      <c r="BA54" s="500">
        <v>10507</v>
      </c>
      <c r="BB54" s="500">
        <v>0</v>
      </c>
      <c r="BC54" s="500">
        <v>19765</v>
      </c>
      <c r="BD54" s="500">
        <v>13538</v>
      </c>
      <c r="BE54" s="500">
        <v>3890</v>
      </c>
      <c r="BF54" s="500">
        <v>59778</v>
      </c>
      <c r="BG54" s="500">
        <v>105047</v>
      </c>
      <c r="BH54" s="500">
        <v>167516</v>
      </c>
      <c r="BI54" s="500">
        <v>38493</v>
      </c>
      <c r="BJ54" s="500">
        <v>0</v>
      </c>
      <c r="BK54" s="500">
        <v>0</v>
      </c>
      <c r="BL54" s="500">
        <v>0</v>
      </c>
      <c r="BM54" s="500">
        <v>0</v>
      </c>
      <c r="BN54" s="500">
        <v>0</v>
      </c>
      <c r="BO54" s="501">
        <f t="shared" si="4"/>
        <v>1644725</v>
      </c>
      <c r="BP54" s="501">
        <f t="shared" si="5"/>
        <v>-68069</v>
      </c>
      <c r="BQ54" s="501">
        <f t="shared" si="0"/>
        <v>-194607</v>
      </c>
      <c r="BR54" s="501">
        <f t="shared" si="6"/>
        <v>0</v>
      </c>
      <c r="BS54" s="501">
        <f t="shared" si="1"/>
        <v>-194607</v>
      </c>
      <c r="BT54" s="500">
        <v>0</v>
      </c>
      <c r="BU54" s="500"/>
      <c r="BV54" s="500"/>
      <c r="BW54" s="500"/>
      <c r="BX54" s="501">
        <f t="shared" si="7"/>
        <v>0</v>
      </c>
      <c r="BY54" s="500"/>
      <c r="BZ54" s="500"/>
      <c r="CA54" s="500"/>
      <c r="CB54" s="500"/>
      <c r="CC54" s="501">
        <f t="shared" si="8"/>
        <v>0</v>
      </c>
      <c r="CD54" s="500">
        <f t="shared" si="9"/>
        <v>0</v>
      </c>
      <c r="CE54" s="224">
        <f t="shared" si="10"/>
        <v>0</v>
      </c>
      <c r="CF54" s="224">
        <f t="shared" si="2"/>
        <v>-194607</v>
      </c>
      <c r="CM54" s="224"/>
      <c r="CN54" s="224"/>
      <c r="CO54" s="224"/>
    </row>
    <row r="55" spans="1:93">
      <c r="A55" t="s">
        <v>177</v>
      </c>
      <c r="B55" t="s">
        <v>129</v>
      </c>
      <c r="C55">
        <v>133364</v>
      </c>
      <c r="D55" s="3">
        <v>3022078</v>
      </c>
      <c r="E55" s="3">
        <v>2078</v>
      </c>
      <c r="F55">
        <v>10129</v>
      </c>
      <c r="G55">
        <v>90129</v>
      </c>
      <c r="H55">
        <v>938650</v>
      </c>
      <c r="I55">
        <v>-220285</v>
      </c>
      <c r="J55">
        <v>0</v>
      </c>
      <c r="K55">
        <v>-220285</v>
      </c>
      <c r="L55" s="500">
        <v>1691229.41</v>
      </c>
      <c r="M55" s="500">
        <v>0</v>
      </c>
      <c r="N55" s="500">
        <v>78425.279999999999</v>
      </c>
      <c r="O55" s="500">
        <v>0</v>
      </c>
      <c r="P55" s="500">
        <v>30554.99</v>
      </c>
      <c r="Q55" s="500">
        <v>61937.33</v>
      </c>
      <c r="R55" s="500">
        <v>83328</v>
      </c>
      <c r="S55" s="500">
        <v>0</v>
      </c>
      <c r="T55" s="500">
        <v>7919.99</v>
      </c>
      <c r="U55" s="500">
        <v>9.85</v>
      </c>
      <c r="V55" s="500">
        <v>9800</v>
      </c>
      <c r="W55" s="500">
        <v>1976</v>
      </c>
      <c r="X55" s="500">
        <v>27418.51</v>
      </c>
      <c r="Y55" s="500">
        <v>125630.82</v>
      </c>
      <c r="Z55" s="500">
        <v>0</v>
      </c>
      <c r="AA55" s="500">
        <v>0</v>
      </c>
      <c r="AB55" s="500">
        <v>0</v>
      </c>
      <c r="AC55" s="500">
        <v>58783.63</v>
      </c>
      <c r="AD55" s="500">
        <v>0</v>
      </c>
      <c r="AE55" s="500">
        <v>0</v>
      </c>
      <c r="AF55" s="500">
        <v>0</v>
      </c>
      <c r="AG55" s="501">
        <f t="shared" si="3"/>
        <v>2177013.81</v>
      </c>
      <c r="AH55" s="500">
        <v>1055235.27</v>
      </c>
      <c r="AI55" s="500">
        <v>0</v>
      </c>
      <c r="AJ55" s="500">
        <v>328136.76</v>
      </c>
      <c r="AK55" s="500">
        <v>35509.15</v>
      </c>
      <c r="AL55" s="500">
        <v>182071.35</v>
      </c>
      <c r="AM55" s="500">
        <v>0</v>
      </c>
      <c r="AN55" s="500">
        <v>37911.4</v>
      </c>
      <c r="AO55" s="500">
        <v>5438.7</v>
      </c>
      <c r="AP55" s="500">
        <v>2276.25</v>
      </c>
      <c r="AQ55" s="500">
        <v>8053.03</v>
      </c>
      <c r="AR55" s="500">
        <v>-137.94</v>
      </c>
      <c r="AS55" s="500">
        <v>39616.629999999997</v>
      </c>
      <c r="AT55" s="500">
        <v>0</v>
      </c>
      <c r="AU55" s="500">
        <v>45433.08</v>
      </c>
      <c r="AV55" s="500">
        <v>6474.31</v>
      </c>
      <c r="AW55" s="500">
        <v>35748.39</v>
      </c>
      <c r="AX55" s="500">
        <v>0</v>
      </c>
      <c r="AY55" s="500">
        <v>80620.97</v>
      </c>
      <c r="AZ55" s="500">
        <v>92572.76</v>
      </c>
      <c r="BA55" s="500">
        <v>7463.98</v>
      </c>
      <c r="BB55" s="500">
        <v>0</v>
      </c>
      <c r="BC55" s="500">
        <v>9677.1</v>
      </c>
      <c r="BD55" s="500">
        <v>5656.84</v>
      </c>
      <c r="BE55" s="500">
        <v>7958.4</v>
      </c>
      <c r="BF55" s="500">
        <v>59160.12</v>
      </c>
      <c r="BG55" s="500">
        <v>70450.600000000006</v>
      </c>
      <c r="BH55" s="500">
        <v>82962.12</v>
      </c>
      <c r="BI55" s="500">
        <v>-6150.62</v>
      </c>
      <c r="BJ55" s="500">
        <v>0</v>
      </c>
      <c r="BK55" s="500">
        <v>0</v>
      </c>
      <c r="BL55" s="500">
        <v>0</v>
      </c>
      <c r="BM55" s="500">
        <v>0</v>
      </c>
      <c r="BN55" s="500">
        <v>0</v>
      </c>
      <c r="BO55" s="501">
        <f t="shared" si="4"/>
        <v>2192138.65</v>
      </c>
      <c r="BP55" s="501">
        <f t="shared" si="5"/>
        <v>-15124.839999999851</v>
      </c>
      <c r="BQ55" s="501">
        <f t="shared" si="0"/>
        <v>-235409.83999999985</v>
      </c>
      <c r="BR55" s="501">
        <f t="shared" si="6"/>
        <v>0</v>
      </c>
      <c r="BS55" s="501">
        <f t="shared" si="1"/>
        <v>-235409.83999999985</v>
      </c>
      <c r="BT55" s="500">
        <v>1378</v>
      </c>
      <c r="BU55" s="500"/>
      <c r="BV55" s="500"/>
      <c r="BW55" s="500"/>
      <c r="BX55" s="501">
        <f t="shared" si="7"/>
        <v>0</v>
      </c>
      <c r="BY55" s="500">
        <v>0</v>
      </c>
      <c r="BZ55" s="500">
        <v>20833.330000000002</v>
      </c>
      <c r="CA55" s="500">
        <v>0</v>
      </c>
      <c r="CB55" s="500">
        <v>0</v>
      </c>
      <c r="CC55" s="501">
        <f t="shared" si="8"/>
        <v>20833.330000000002</v>
      </c>
      <c r="CD55" s="500">
        <f t="shared" si="9"/>
        <v>-20833.330000000002</v>
      </c>
      <c r="CE55" s="224">
        <f t="shared" si="10"/>
        <v>-19455.330000000002</v>
      </c>
      <c r="CF55" s="224">
        <f t="shared" si="2"/>
        <v>-254865.16999999987</v>
      </c>
      <c r="CM55" s="224"/>
      <c r="CN55" s="224"/>
      <c r="CO55" s="224"/>
    </row>
    <row r="56" spans="1:93">
      <c r="A56" s="369" t="s">
        <v>279</v>
      </c>
      <c r="B56" t="s">
        <v>129</v>
      </c>
      <c r="C56">
        <v>101313</v>
      </c>
      <c r="D56" s="3">
        <v>3022072</v>
      </c>
      <c r="E56" s="3">
        <v>2072</v>
      </c>
      <c r="F56">
        <v>10086</v>
      </c>
      <c r="G56">
        <v>90086</v>
      </c>
      <c r="H56">
        <v>938645</v>
      </c>
      <c r="I56">
        <v>93855</v>
      </c>
      <c r="J56">
        <v>0</v>
      </c>
      <c r="K56">
        <v>93855</v>
      </c>
      <c r="L56" s="500">
        <v>2901785.86</v>
      </c>
      <c r="M56" s="500">
        <v>0</v>
      </c>
      <c r="N56" s="500">
        <v>543651.43999999994</v>
      </c>
      <c r="O56" s="500">
        <v>0</v>
      </c>
      <c r="P56" s="500">
        <v>217794.97</v>
      </c>
      <c r="Q56" s="500">
        <v>3430</v>
      </c>
      <c r="R56" s="500">
        <v>130420.87</v>
      </c>
      <c r="S56" s="500">
        <v>42371.49</v>
      </c>
      <c r="T56" s="500">
        <v>93795.07</v>
      </c>
      <c r="U56" s="500">
        <v>17589.53</v>
      </c>
      <c r="V56" s="500">
        <v>7200</v>
      </c>
      <c r="W56" s="500">
        <v>23433.94</v>
      </c>
      <c r="X56" s="500">
        <v>49046.400000000001</v>
      </c>
      <c r="Y56" s="500">
        <v>18215.04</v>
      </c>
      <c r="Z56" s="500">
        <v>0</v>
      </c>
      <c r="AA56" s="500">
        <v>0</v>
      </c>
      <c r="AB56" s="500">
        <v>0</v>
      </c>
      <c r="AC56" s="500">
        <v>0</v>
      </c>
      <c r="AD56" s="500">
        <v>0</v>
      </c>
      <c r="AE56" s="500">
        <v>21550.489999999998</v>
      </c>
      <c r="AF56" s="500">
        <v>78525</v>
      </c>
      <c r="AG56" s="501">
        <f t="shared" si="3"/>
        <v>4148810.1</v>
      </c>
      <c r="AH56" s="500">
        <v>1708812.99</v>
      </c>
      <c r="AI56" s="500">
        <v>0</v>
      </c>
      <c r="AJ56" s="500">
        <v>1038760.3</v>
      </c>
      <c r="AK56" s="500">
        <v>75330.75</v>
      </c>
      <c r="AL56" s="500">
        <v>192344.18</v>
      </c>
      <c r="AM56" s="500">
        <v>0</v>
      </c>
      <c r="AN56" s="500">
        <v>80296.710000000006</v>
      </c>
      <c r="AO56" s="500">
        <v>19937.240000000002</v>
      </c>
      <c r="AP56" s="500">
        <v>5933</v>
      </c>
      <c r="AQ56" s="500">
        <v>10262.64</v>
      </c>
      <c r="AR56" s="500">
        <v>9538.8700000000008</v>
      </c>
      <c r="AS56" s="500">
        <v>45055.839999999997</v>
      </c>
      <c r="AT56" s="500">
        <v>13826.75</v>
      </c>
      <c r="AU56" s="500">
        <v>75729.23</v>
      </c>
      <c r="AV56" s="500">
        <v>14879.36</v>
      </c>
      <c r="AW56" s="500">
        <v>63491.66</v>
      </c>
      <c r="AX56" s="500">
        <v>46825.74</v>
      </c>
      <c r="AY56" s="500">
        <v>21598.5</v>
      </c>
      <c r="AZ56" s="500">
        <v>83964.06</v>
      </c>
      <c r="BA56" s="500">
        <v>14694.29</v>
      </c>
      <c r="BB56" s="500">
        <v>0</v>
      </c>
      <c r="BC56" s="500">
        <v>26699.91</v>
      </c>
      <c r="BD56" s="500">
        <v>16966.04</v>
      </c>
      <c r="BE56" s="500">
        <v>16170.13</v>
      </c>
      <c r="BF56" s="500">
        <v>114165.48</v>
      </c>
      <c r="BG56" s="500">
        <v>93114.23</v>
      </c>
      <c r="BH56" s="500">
        <v>286355.56</v>
      </c>
      <c r="BI56" s="500">
        <v>20822.490000000002</v>
      </c>
      <c r="BJ56" s="500">
        <v>0</v>
      </c>
      <c r="BK56" s="500">
        <v>0</v>
      </c>
      <c r="BL56" s="500">
        <v>66977</v>
      </c>
      <c r="BM56" s="500">
        <v>0</v>
      </c>
      <c r="BN56" s="500">
        <v>0</v>
      </c>
      <c r="BO56" s="501">
        <f t="shared" si="4"/>
        <v>4162552.9500000011</v>
      </c>
      <c r="BP56" s="501">
        <f t="shared" si="5"/>
        <v>-13742.850000001024</v>
      </c>
      <c r="BQ56" s="501">
        <f t="shared" si="0"/>
        <v>80112.14999999851</v>
      </c>
      <c r="BR56" s="501">
        <f t="shared" si="6"/>
        <v>0</v>
      </c>
      <c r="BS56" s="501">
        <f t="shared" si="1"/>
        <v>80112.149999998976</v>
      </c>
      <c r="BT56" s="500">
        <v>31494</v>
      </c>
      <c r="BU56" s="500">
        <v>52898.25</v>
      </c>
      <c r="BV56" s="500">
        <v>0</v>
      </c>
      <c r="BW56" s="500">
        <v>66977</v>
      </c>
      <c r="BX56" s="501">
        <f t="shared" si="7"/>
        <v>119875.25</v>
      </c>
      <c r="BY56" s="500">
        <v>0</v>
      </c>
      <c r="BZ56" s="500">
        <v>105730.33</v>
      </c>
      <c r="CA56" s="500">
        <v>0</v>
      </c>
      <c r="CB56" s="500">
        <v>14595</v>
      </c>
      <c r="CC56" s="501">
        <f t="shared" si="8"/>
        <v>120325.33</v>
      </c>
      <c r="CD56" s="500">
        <f t="shared" si="9"/>
        <v>-450.08000000000175</v>
      </c>
      <c r="CE56" s="224">
        <f t="shared" si="10"/>
        <v>31043.919999999998</v>
      </c>
      <c r="CF56" s="224">
        <f t="shared" si="2"/>
        <v>111156.06999999897</v>
      </c>
      <c r="CI56" t="e">
        <f>_xlfn.XLOOKUP(D56,#REF!,#REF!)</f>
        <v>#REF!</v>
      </c>
      <c r="CJ56" t="e">
        <f>_xlfn.XLOOKUP(D56,#REF!,#REF!)</f>
        <v>#REF!</v>
      </c>
      <c r="CK56" t="e">
        <f t="shared" si="11"/>
        <v>#REF!</v>
      </c>
      <c r="CM56" s="224" t="e">
        <f t="shared" si="12"/>
        <v>#REF!</v>
      </c>
      <c r="CN56" s="224" t="e">
        <f t="shared" si="13"/>
        <v>#REF!</v>
      </c>
      <c r="CO56" s="224" t="e">
        <f t="shared" si="13"/>
        <v>#REF!</v>
      </c>
    </row>
    <row r="57" spans="1:93">
      <c r="A57" t="s">
        <v>179</v>
      </c>
      <c r="B57" t="s">
        <v>129</v>
      </c>
      <c r="C57">
        <v>101340</v>
      </c>
      <c r="D57" s="3">
        <v>3023512</v>
      </c>
      <c r="E57" s="3">
        <v>3512</v>
      </c>
      <c r="F57">
        <v>10112</v>
      </c>
      <c r="G57">
        <v>90112</v>
      </c>
      <c r="H57">
        <v>938675</v>
      </c>
      <c r="I57">
        <v>184711</v>
      </c>
      <c r="J57">
        <v>0</v>
      </c>
      <c r="K57">
        <v>184711</v>
      </c>
      <c r="L57" s="500">
        <v>1718905.83</v>
      </c>
      <c r="M57" s="500">
        <v>0</v>
      </c>
      <c r="N57" s="500">
        <v>36767.75</v>
      </c>
      <c r="O57" s="500">
        <v>0</v>
      </c>
      <c r="P57" s="500">
        <v>5819.9699999999993</v>
      </c>
      <c r="Q57" s="500">
        <v>9081.56</v>
      </c>
      <c r="R57" s="500">
        <v>89600</v>
      </c>
      <c r="S57" s="500">
        <v>4775</v>
      </c>
      <c r="T57" s="500">
        <v>45316.59</v>
      </c>
      <c r="U57" s="500">
        <v>82734.789999999994</v>
      </c>
      <c r="V57" s="500">
        <v>14683</v>
      </c>
      <c r="W57" s="500">
        <v>14344.5</v>
      </c>
      <c r="X57" s="500">
        <v>130952.5</v>
      </c>
      <c r="Y57" s="500">
        <v>348279.13</v>
      </c>
      <c r="Z57" s="500">
        <v>0</v>
      </c>
      <c r="AA57" s="500">
        <v>0</v>
      </c>
      <c r="AB57" s="500">
        <v>0</v>
      </c>
      <c r="AC57" s="500">
        <v>0</v>
      </c>
      <c r="AD57" s="500">
        <v>0</v>
      </c>
      <c r="AE57" s="500">
        <v>0</v>
      </c>
      <c r="AF57" s="500">
        <v>88124.12</v>
      </c>
      <c r="AG57" s="501">
        <f t="shared" si="3"/>
        <v>2589384.7400000002</v>
      </c>
      <c r="AH57" s="500">
        <v>1268637.25</v>
      </c>
      <c r="AI57" s="500">
        <v>13733.02</v>
      </c>
      <c r="AJ57" s="500">
        <v>355328.12</v>
      </c>
      <c r="AK57" s="500">
        <v>78723.960000000006</v>
      </c>
      <c r="AL57" s="500">
        <v>211683.03</v>
      </c>
      <c r="AM57" s="500">
        <v>0</v>
      </c>
      <c r="AN57" s="500">
        <v>57010.84</v>
      </c>
      <c r="AO57" s="500">
        <v>4999.1099999999997</v>
      </c>
      <c r="AP57" s="500">
        <v>11436.29</v>
      </c>
      <c r="AQ57" s="500">
        <v>22709.95</v>
      </c>
      <c r="AR57" s="500">
        <v>0</v>
      </c>
      <c r="AS57" s="500">
        <v>31364.84</v>
      </c>
      <c r="AT57" s="500">
        <v>0</v>
      </c>
      <c r="AU57" s="500">
        <v>49813.72</v>
      </c>
      <c r="AV57" s="500">
        <v>2663.19</v>
      </c>
      <c r="AW57" s="500">
        <v>59337.03</v>
      </c>
      <c r="AX57" s="500">
        <v>13000</v>
      </c>
      <c r="AY57" s="500">
        <v>9540.68</v>
      </c>
      <c r="AZ57" s="500">
        <v>92988.91</v>
      </c>
      <c r="BA57" s="500">
        <v>15831.65</v>
      </c>
      <c r="BB57" s="500">
        <v>0</v>
      </c>
      <c r="BC57" s="500">
        <v>13805.26</v>
      </c>
      <c r="BD57" s="500">
        <v>13300.38</v>
      </c>
      <c r="BE57" s="500">
        <v>14587.21</v>
      </c>
      <c r="BF57" s="500">
        <v>214154.89</v>
      </c>
      <c r="BG57" s="500">
        <v>36500.32</v>
      </c>
      <c r="BH57" s="500">
        <v>132191.19</v>
      </c>
      <c r="BI57" s="500">
        <v>44715.64</v>
      </c>
      <c r="BJ57" s="500">
        <v>0</v>
      </c>
      <c r="BK57" s="500">
        <v>0</v>
      </c>
      <c r="BL57" s="500">
        <v>10950</v>
      </c>
      <c r="BM57" s="500">
        <v>0</v>
      </c>
      <c r="BN57" s="500">
        <v>0</v>
      </c>
      <c r="BO57" s="501">
        <f t="shared" si="4"/>
        <v>2779006.48</v>
      </c>
      <c r="BP57" s="501">
        <f t="shared" si="5"/>
        <v>-189621.73999999976</v>
      </c>
      <c r="BQ57" s="501">
        <f t="shared" si="0"/>
        <v>-4910.7399999997579</v>
      </c>
      <c r="BR57" s="501">
        <f t="shared" si="6"/>
        <v>0</v>
      </c>
      <c r="BS57" s="501">
        <f t="shared" si="1"/>
        <v>-4910.7399999997579</v>
      </c>
      <c r="BT57" s="500">
        <v>0</v>
      </c>
      <c r="BU57" s="500">
        <v>0</v>
      </c>
      <c r="BV57" s="500">
        <v>0</v>
      </c>
      <c r="BW57" s="500">
        <v>10950</v>
      </c>
      <c r="BX57" s="501">
        <f t="shared" si="7"/>
        <v>10950</v>
      </c>
      <c r="BY57" s="500">
        <v>0</v>
      </c>
      <c r="BZ57" s="500">
        <v>0</v>
      </c>
      <c r="CA57" s="500">
        <v>0</v>
      </c>
      <c r="CB57" s="500">
        <v>10950</v>
      </c>
      <c r="CC57" s="501">
        <f t="shared" si="8"/>
        <v>10950</v>
      </c>
      <c r="CD57" s="500">
        <f t="shared" si="9"/>
        <v>0</v>
      </c>
      <c r="CE57" s="224">
        <f t="shared" si="10"/>
        <v>0</v>
      </c>
      <c r="CF57" s="224">
        <f t="shared" si="2"/>
        <v>-4910.7399999997579</v>
      </c>
      <c r="CI57" t="e">
        <f>_xlfn.XLOOKUP(D57,#REF!,#REF!)</f>
        <v>#REF!</v>
      </c>
      <c r="CJ57" t="e">
        <f>_xlfn.XLOOKUP(D57,#REF!,#REF!)</f>
        <v>#REF!</v>
      </c>
      <c r="CK57" t="e">
        <f t="shared" si="11"/>
        <v>#REF!</v>
      </c>
      <c r="CM57" s="224" t="e">
        <f t="shared" si="12"/>
        <v>#REF!</v>
      </c>
      <c r="CN57" s="224" t="e">
        <f t="shared" si="13"/>
        <v>#REF!</v>
      </c>
      <c r="CO57" s="224" t="e">
        <f t="shared" si="13"/>
        <v>#REF!</v>
      </c>
    </row>
    <row r="58" spans="1:93">
      <c r="A58" s="507" t="s">
        <v>180</v>
      </c>
      <c r="B58" t="s">
        <v>129</v>
      </c>
      <c r="C58">
        <v>101338</v>
      </c>
      <c r="D58" s="3">
        <v>3023510</v>
      </c>
      <c r="E58" s="3">
        <v>3510</v>
      </c>
      <c r="F58">
        <v>10110</v>
      </c>
      <c r="G58">
        <v>90110</v>
      </c>
      <c r="H58">
        <v>938673</v>
      </c>
      <c r="I58">
        <v>245406</v>
      </c>
      <c r="J58">
        <v>0</v>
      </c>
      <c r="K58">
        <v>245406</v>
      </c>
      <c r="L58" s="500">
        <v>1985780.51</v>
      </c>
      <c r="M58" s="500">
        <v>0</v>
      </c>
      <c r="N58" s="500">
        <v>44066.64</v>
      </c>
      <c r="O58" s="500">
        <v>0</v>
      </c>
      <c r="P58" s="500">
        <v>80144.990000000005</v>
      </c>
      <c r="Q58" s="500">
        <v>1900</v>
      </c>
      <c r="R58" s="500">
        <v>69157.3</v>
      </c>
      <c r="S58" s="500">
        <v>19200</v>
      </c>
      <c r="T58" s="500">
        <v>6084.2</v>
      </c>
      <c r="U58" s="500">
        <v>17778.3</v>
      </c>
      <c r="V58" s="500">
        <v>0</v>
      </c>
      <c r="W58" s="500">
        <v>0</v>
      </c>
      <c r="X58" s="500">
        <v>11000.599999999999</v>
      </c>
      <c r="Y58" s="500">
        <v>60504.09</v>
      </c>
      <c r="Z58" s="500">
        <v>0</v>
      </c>
      <c r="AA58" s="500">
        <v>0</v>
      </c>
      <c r="AB58" s="500">
        <v>0</v>
      </c>
      <c r="AC58" s="500">
        <v>0</v>
      </c>
      <c r="AD58" s="500">
        <v>0</v>
      </c>
      <c r="AE58" s="500">
        <v>12625.63</v>
      </c>
      <c r="AF58" s="500">
        <v>76536</v>
      </c>
      <c r="AG58" s="501">
        <f t="shared" si="3"/>
        <v>2384778.2599999998</v>
      </c>
      <c r="AH58" s="500">
        <v>1102274.81</v>
      </c>
      <c r="AI58" s="500">
        <v>8802.85</v>
      </c>
      <c r="AJ58" s="500">
        <v>385799.99</v>
      </c>
      <c r="AK58" s="500">
        <v>38183.67</v>
      </c>
      <c r="AL58" s="500">
        <v>113020.31</v>
      </c>
      <c r="AM58" s="500">
        <v>0</v>
      </c>
      <c r="AN58" s="500">
        <v>3076.04</v>
      </c>
      <c r="AO58" s="500">
        <v>12903.46</v>
      </c>
      <c r="AP58" s="500">
        <v>4791.78</v>
      </c>
      <c r="AQ58" s="500">
        <v>678.94</v>
      </c>
      <c r="AR58" s="500">
        <v>0</v>
      </c>
      <c r="AS58" s="500">
        <v>19212.560000000001</v>
      </c>
      <c r="AT58" s="500">
        <v>2194.92</v>
      </c>
      <c r="AU58" s="500">
        <v>33287.94</v>
      </c>
      <c r="AV58" s="500">
        <v>3103.2</v>
      </c>
      <c r="AW58" s="500">
        <v>62259.54</v>
      </c>
      <c r="AX58" s="500">
        <v>4862</v>
      </c>
      <c r="AY58" s="500">
        <v>10904.91</v>
      </c>
      <c r="AZ58" s="500">
        <v>92684.12</v>
      </c>
      <c r="BA58" s="500">
        <v>16321.85</v>
      </c>
      <c r="BB58" s="500">
        <v>0</v>
      </c>
      <c r="BC58" s="500">
        <v>46667.89</v>
      </c>
      <c r="BD58" s="500">
        <v>22777.41</v>
      </c>
      <c r="BE58" s="500">
        <v>2825.07</v>
      </c>
      <c r="BF58" s="500">
        <v>148535.9</v>
      </c>
      <c r="BG58" s="500">
        <v>66652.009999999995</v>
      </c>
      <c r="BH58" s="500">
        <v>139085.91</v>
      </c>
      <c r="BI58" s="500">
        <v>33674.17</v>
      </c>
      <c r="BJ58" s="500">
        <v>0</v>
      </c>
      <c r="BK58" s="500">
        <v>0</v>
      </c>
      <c r="BL58" s="500">
        <v>0</v>
      </c>
      <c r="BM58" s="500">
        <v>0</v>
      </c>
      <c r="BN58" s="500">
        <v>0</v>
      </c>
      <c r="BO58" s="501">
        <f t="shared" si="4"/>
        <v>2374581.25</v>
      </c>
      <c r="BP58" s="501">
        <f t="shared" si="5"/>
        <v>10197.009999999776</v>
      </c>
      <c r="BQ58" s="501">
        <f t="shared" si="0"/>
        <v>255603.00999999978</v>
      </c>
      <c r="BR58" s="501">
        <f t="shared" si="6"/>
        <v>0</v>
      </c>
      <c r="BS58" s="501">
        <f t="shared" si="1"/>
        <v>255603.00999999978</v>
      </c>
      <c r="BT58" s="500">
        <v>0</v>
      </c>
      <c r="BU58" s="500"/>
      <c r="BV58" s="500"/>
      <c r="BW58" s="500"/>
      <c r="BX58" s="501">
        <f t="shared" si="7"/>
        <v>0</v>
      </c>
      <c r="BY58" s="500"/>
      <c r="BZ58" s="500"/>
      <c r="CA58" s="500"/>
      <c r="CB58" s="500"/>
      <c r="CC58" s="501">
        <f t="shared" si="8"/>
        <v>0</v>
      </c>
      <c r="CD58" s="500">
        <f t="shared" si="9"/>
        <v>0</v>
      </c>
      <c r="CE58" s="224">
        <f t="shared" si="10"/>
        <v>0</v>
      </c>
      <c r="CF58" s="224">
        <f t="shared" si="2"/>
        <v>255603.00999999978</v>
      </c>
      <c r="CI58" t="e">
        <f>_xlfn.XLOOKUP(D58,#REF!,#REF!)</f>
        <v>#REF!</v>
      </c>
      <c r="CJ58" t="e">
        <f>_xlfn.XLOOKUP(D58,#REF!,#REF!)</f>
        <v>#REF!</v>
      </c>
      <c r="CK58" t="e">
        <f t="shared" si="11"/>
        <v>#REF!</v>
      </c>
      <c r="CM58" s="224" t="e">
        <f t="shared" si="12"/>
        <v>#REF!</v>
      </c>
      <c r="CN58" s="224" t="e">
        <f t="shared" si="13"/>
        <v>#REF!</v>
      </c>
      <c r="CO58" s="224" t="e">
        <f t="shared" si="13"/>
        <v>#REF!</v>
      </c>
    </row>
    <row r="59" spans="1:93">
      <c r="A59" s="507" t="s">
        <v>181</v>
      </c>
      <c r="B59" t="s">
        <v>129</v>
      </c>
      <c r="C59">
        <v>101332</v>
      </c>
      <c r="D59" s="3">
        <v>3023502</v>
      </c>
      <c r="E59" s="3">
        <v>3502</v>
      </c>
      <c r="F59">
        <v>10087</v>
      </c>
      <c r="G59">
        <v>90087</v>
      </c>
      <c r="H59">
        <v>938667</v>
      </c>
      <c r="I59">
        <v>877601</v>
      </c>
      <c r="J59">
        <v>0</v>
      </c>
      <c r="K59">
        <v>877601</v>
      </c>
      <c r="L59" s="500">
        <v>2363853.86</v>
      </c>
      <c r="M59" s="500">
        <v>0</v>
      </c>
      <c r="N59" s="500">
        <v>154673.85999999999</v>
      </c>
      <c r="O59" s="500">
        <v>0</v>
      </c>
      <c r="P59" s="500">
        <v>173459.98</v>
      </c>
      <c r="Q59" s="500">
        <v>3777.68</v>
      </c>
      <c r="R59" s="500">
        <v>46597.56</v>
      </c>
      <c r="S59" s="500">
        <v>2394.5</v>
      </c>
      <c r="T59" s="500">
        <v>37856.550000000003</v>
      </c>
      <c r="U59" s="500">
        <v>12528.49</v>
      </c>
      <c r="V59" s="500">
        <v>0</v>
      </c>
      <c r="W59" s="500">
        <v>0</v>
      </c>
      <c r="X59" s="500">
        <v>33445.410000000003</v>
      </c>
      <c r="Y59" s="500">
        <v>5359.58</v>
      </c>
      <c r="Z59" s="500">
        <v>0</v>
      </c>
      <c r="AA59" s="500">
        <v>0</v>
      </c>
      <c r="AB59" s="500">
        <v>0</v>
      </c>
      <c r="AC59" s="500">
        <v>0</v>
      </c>
      <c r="AD59" s="500">
        <v>0</v>
      </c>
      <c r="AE59" s="500">
        <v>0</v>
      </c>
      <c r="AF59" s="500">
        <v>88909.01</v>
      </c>
      <c r="AG59" s="501">
        <f t="shared" si="3"/>
        <v>2922856.48</v>
      </c>
      <c r="AH59" s="500">
        <v>1180039.18</v>
      </c>
      <c r="AI59" s="500">
        <v>0</v>
      </c>
      <c r="AJ59" s="500">
        <v>668073.22</v>
      </c>
      <c r="AK59" s="500">
        <v>93055.89</v>
      </c>
      <c r="AL59" s="500">
        <v>66784.850000000006</v>
      </c>
      <c r="AM59" s="500">
        <v>0</v>
      </c>
      <c r="AN59" s="500">
        <v>29268.2</v>
      </c>
      <c r="AO59" s="500">
        <v>1982.3</v>
      </c>
      <c r="AP59" s="500">
        <v>1599.17</v>
      </c>
      <c r="AQ59" s="500">
        <v>667.32</v>
      </c>
      <c r="AR59" s="500">
        <v>0</v>
      </c>
      <c r="AS59" s="500">
        <v>152628.12</v>
      </c>
      <c r="AT59" s="500">
        <v>2333.92</v>
      </c>
      <c r="AU59" s="500">
        <v>6827.46</v>
      </c>
      <c r="AV59" s="500">
        <v>15246.07</v>
      </c>
      <c r="AW59" s="500">
        <v>36803.230000000003</v>
      </c>
      <c r="AX59" s="500">
        <v>7425.6</v>
      </c>
      <c r="AY59" s="500">
        <v>11412.98</v>
      </c>
      <c r="AZ59" s="500">
        <v>93825.22</v>
      </c>
      <c r="BA59" s="500">
        <v>35674.07</v>
      </c>
      <c r="BB59" s="500">
        <v>0</v>
      </c>
      <c r="BC59" s="500">
        <v>15571.2</v>
      </c>
      <c r="BD59" s="500">
        <v>19838.560000000001</v>
      </c>
      <c r="BE59" s="500">
        <v>7508.6</v>
      </c>
      <c r="BF59" s="500">
        <v>129395.57</v>
      </c>
      <c r="BG59" s="500">
        <v>27251.5</v>
      </c>
      <c r="BH59" s="500">
        <v>180998.08</v>
      </c>
      <c r="BI59" s="500">
        <v>50561.46</v>
      </c>
      <c r="BJ59" s="500">
        <v>0</v>
      </c>
      <c r="BK59" s="500">
        <v>0</v>
      </c>
      <c r="BL59" s="500">
        <v>0</v>
      </c>
      <c r="BM59" s="500">
        <v>0</v>
      </c>
      <c r="BN59" s="500">
        <v>0</v>
      </c>
      <c r="BO59" s="501">
        <f t="shared" si="4"/>
        <v>2834771.77</v>
      </c>
      <c r="BP59" s="501">
        <f t="shared" si="5"/>
        <v>88084.709999999963</v>
      </c>
      <c r="BQ59" s="501">
        <f t="shared" si="0"/>
        <v>965685.71</v>
      </c>
      <c r="BR59" s="501">
        <f t="shared" si="6"/>
        <v>0</v>
      </c>
      <c r="BS59" s="501">
        <f t="shared" si="1"/>
        <v>965685.71</v>
      </c>
      <c r="BT59" s="500">
        <v>0</v>
      </c>
      <c r="BU59" s="500"/>
      <c r="BV59" s="500"/>
      <c r="BW59" s="500"/>
      <c r="BX59" s="501">
        <f t="shared" si="7"/>
        <v>0</v>
      </c>
      <c r="BY59" s="500"/>
      <c r="BZ59" s="500"/>
      <c r="CA59" s="500"/>
      <c r="CB59" s="500"/>
      <c r="CC59" s="501">
        <f t="shared" si="8"/>
        <v>0</v>
      </c>
      <c r="CD59" s="500">
        <f t="shared" si="9"/>
        <v>0</v>
      </c>
      <c r="CE59" s="224">
        <f t="shared" si="10"/>
        <v>0</v>
      </c>
      <c r="CF59" s="224">
        <f t="shared" si="2"/>
        <v>965685.71</v>
      </c>
      <c r="CI59" t="e">
        <f>_xlfn.XLOOKUP(D59,#REF!,#REF!)</f>
        <v>#REF!</v>
      </c>
      <c r="CJ59" t="e">
        <f>_xlfn.XLOOKUP(D59,#REF!,#REF!)</f>
        <v>#REF!</v>
      </c>
      <c r="CK59" t="e">
        <f t="shared" si="11"/>
        <v>#REF!</v>
      </c>
      <c r="CM59" s="224" t="e">
        <f t="shared" si="12"/>
        <v>#REF!</v>
      </c>
      <c r="CN59" s="224" t="e">
        <f t="shared" si="13"/>
        <v>#REF!</v>
      </c>
      <c r="CO59" s="224" t="e">
        <f t="shared" si="13"/>
        <v>#REF!</v>
      </c>
    </row>
    <row r="60" spans="1:93" s="502" customFormat="1">
      <c r="A60" s="508" t="s">
        <v>182</v>
      </c>
      <c r="B60" s="502" t="s">
        <v>129</v>
      </c>
      <c r="C60" s="502">
        <v>101327</v>
      </c>
      <c r="D60" s="503">
        <v>3023315</v>
      </c>
      <c r="E60" s="503">
        <v>3315</v>
      </c>
      <c r="F60" s="502">
        <v>10099</v>
      </c>
      <c r="G60" s="502">
        <v>90099</v>
      </c>
      <c r="H60" s="502">
        <v>938662</v>
      </c>
      <c r="I60" s="502">
        <v>66443</v>
      </c>
      <c r="J60" s="502">
        <v>0</v>
      </c>
      <c r="K60" s="502">
        <v>66443</v>
      </c>
      <c r="L60" s="504">
        <v>1076634.49</v>
      </c>
      <c r="M60" s="504">
        <v>0</v>
      </c>
      <c r="N60" s="504">
        <v>26345.02</v>
      </c>
      <c r="O60" s="504">
        <v>0</v>
      </c>
      <c r="P60" s="504">
        <v>17460.04</v>
      </c>
      <c r="Q60" s="504">
        <v>4935</v>
      </c>
      <c r="R60" s="504">
        <v>35044.92</v>
      </c>
      <c r="S60" s="504">
        <v>78601.89</v>
      </c>
      <c r="T60" s="504">
        <v>0</v>
      </c>
      <c r="U60" s="504">
        <v>11206.19</v>
      </c>
      <c r="V60" s="504">
        <v>0</v>
      </c>
      <c r="W60" s="504">
        <v>0</v>
      </c>
      <c r="X60" s="504">
        <v>22945.800000000003</v>
      </c>
      <c r="Y60" s="504">
        <v>114539.88</v>
      </c>
      <c r="Z60" s="504">
        <v>0</v>
      </c>
      <c r="AA60" s="504">
        <v>0</v>
      </c>
      <c r="AB60" s="504">
        <v>0</v>
      </c>
      <c r="AC60" s="504">
        <v>0</v>
      </c>
      <c r="AD60" s="504">
        <v>0</v>
      </c>
      <c r="AE60" s="504">
        <v>0</v>
      </c>
      <c r="AF60" s="504">
        <v>58401.62</v>
      </c>
      <c r="AG60" s="505">
        <f t="shared" si="3"/>
        <v>1446114.85</v>
      </c>
      <c r="AH60" s="504">
        <v>664170.94999999995</v>
      </c>
      <c r="AI60" s="504">
        <v>0</v>
      </c>
      <c r="AJ60" s="504">
        <v>226871.88</v>
      </c>
      <c r="AK60" s="504">
        <v>45073.35</v>
      </c>
      <c r="AL60" s="504">
        <v>76266.600000000006</v>
      </c>
      <c r="AM60" s="504">
        <v>0</v>
      </c>
      <c r="AN60" s="504">
        <v>52675.64</v>
      </c>
      <c r="AO60" s="504">
        <v>535.73</v>
      </c>
      <c r="AP60" s="504">
        <v>2153.67</v>
      </c>
      <c r="AQ60" s="504">
        <v>2047.81</v>
      </c>
      <c r="AR60" s="504">
        <v>3216.78</v>
      </c>
      <c r="AS60" s="504">
        <v>57089.4</v>
      </c>
      <c r="AT60" s="504">
        <v>0</v>
      </c>
      <c r="AU60" s="504">
        <v>3475.98</v>
      </c>
      <c r="AV60" s="504">
        <v>1134.48</v>
      </c>
      <c r="AW60" s="504">
        <v>15341.55</v>
      </c>
      <c r="AX60" s="504">
        <v>4180.8</v>
      </c>
      <c r="AY60" s="504">
        <v>6844.37</v>
      </c>
      <c r="AZ60" s="504">
        <v>66950.509999999995</v>
      </c>
      <c r="BA60" s="504">
        <v>9152.8700000000008</v>
      </c>
      <c r="BB60" s="504">
        <v>0</v>
      </c>
      <c r="BC60" s="504">
        <v>8447.6200000000008</v>
      </c>
      <c r="BD60" s="504">
        <v>6633.12</v>
      </c>
      <c r="BE60" s="504">
        <v>6758.94</v>
      </c>
      <c r="BF60" s="504">
        <v>84882.07</v>
      </c>
      <c r="BG60" s="504">
        <v>10891.49</v>
      </c>
      <c r="BH60" s="504">
        <v>22954.9</v>
      </c>
      <c r="BI60" s="504">
        <v>32495.62</v>
      </c>
      <c r="BJ60" s="504">
        <v>0</v>
      </c>
      <c r="BK60" s="504">
        <v>0</v>
      </c>
      <c r="BL60" s="504">
        <v>0</v>
      </c>
      <c r="BM60" s="504">
        <v>0</v>
      </c>
      <c r="BN60" s="504">
        <v>0</v>
      </c>
      <c r="BO60" s="505">
        <f t="shared" si="4"/>
        <v>1410246.1300000004</v>
      </c>
      <c r="BP60" s="505">
        <f t="shared" si="5"/>
        <v>35868.719999999739</v>
      </c>
      <c r="BQ60" s="505">
        <f t="shared" si="0"/>
        <v>102311.71999999974</v>
      </c>
      <c r="BR60" s="505">
        <f t="shared" si="6"/>
        <v>0</v>
      </c>
      <c r="BS60" s="505">
        <f t="shared" si="1"/>
        <v>102311.71999999974</v>
      </c>
      <c r="BT60" s="504">
        <v>0</v>
      </c>
      <c r="BU60" s="504"/>
      <c r="BV60" s="504"/>
      <c r="BW60" s="504"/>
      <c r="BX60" s="505">
        <f t="shared" si="7"/>
        <v>0</v>
      </c>
      <c r="BY60" s="504"/>
      <c r="BZ60" s="504"/>
      <c r="CA60" s="504"/>
      <c r="CB60" s="504"/>
      <c r="CC60" s="505">
        <f t="shared" si="8"/>
        <v>0</v>
      </c>
      <c r="CD60" s="504">
        <f t="shared" si="9"/>
        <v>0</v>
      </c>
      <c r="CE60" s="506">
        <f t="shared" si="10"/>
        <v>0</v>
      </c>
      <c r="CF60" s="506">
        <f t="shared" si="2"/>
        <v>102311.71999999974</v>
      </c>
      <c r="CI60" s="502" t="e">
        <f>_xlfn.XLOOKUP(D60,#REF!,#REF!)</f>
        <v>#REF!</v>
      </c>
      <c r="CJ60" s="502" t="e">
        <f>_xlfn.XLOOKUP(D60,#REF!,#REF!)</f>
        <v>#REF!</v>
      </c>
      <c r="CK60" s="502" t="e">
        <f t="shared" si="11"/>
        <v>#REF!</v>
      </c>
      <c r="CM60" s="506" t="e">
        <f t="shared" si="12"/>
        <v>#REF!</v>
      </c>
      <c r="CN60" s="506" t="e">
        <f t="shared" si="13"/>
        <v>#REF!</v>
      </c>
      <c r="CO60" s="506" t="e">
        <f t="shared" si="13"/>
        <v>#REF!</v>
      </c>
    </row>
    <row r="61" spans="1:93">
      <c r="A61" s="507" t="s">
        <v>267</v>
      </c>
      <c r="B61" t="s">
        <v>129</v>
      </c>
      <c r="C61">
        <v>101333</v>
      </c>
      <c r="D61" s="3">
        <v>3023504</v>
      </c>
      <c r="E61" s="3">
        <v>3504</v>
      </c>
      <c r="F61">
        <v>10088</v>
      </c>
      <c r="G61">
        <v>90088</v>
      </c>
      <c r="H61">
        <v>938668</v>
      </c>
      <c r="I61">
        <v>122678</v>
      </c>
      <c r="J61">
        <v>0</v>
      </c>
      <c r="K61">
        <v>122678</v>
      </c>
      <c r="L61" s="500">
        <v>2295503.46</v>
      </c>
      <c r="M61" s="500">
        <v>0</v>
      </c>
      <c r="N61" s="500">
        <v>77066.86</v>
      </c>
      <c r="O61" s="500">
        <v>0</v>
      </c>
      <c r="P61" s="500">
        <v>56335.02</v>
      </c>
      <c r="Q61" s="500">
        <v>4434.42</v>
      </c>
      <c r="R61" s="500">
        <v>69440.479999999996</v>
      </c>
      <c r="S61" s="500">
        <v>2295</v>
      </c>
      <c r="T61" s="500">
        <v>170250.8</v>
      </c>
      <c r="U61" s="500">
        <v>20722.509999999998</v>
      </c>
      <c r="V61" s="500">
        <v>9990</v>
      </c>
      <c r="W61" s="500">
        <v>0</v>
      </c>
      <c r="X61" s="500">
        <v>153567.45000000001</v>
      </c>
      <c r="Y61" s="500">
        <v>18620.080000000002</v>
      </c>
      <c r="Z61" s="500">
        <v>0</v>
      </c>
      <c r="AA61" s="500">
        <v>0</v>
      </c>
      <c r="AB61" s="500">
        <v>0</v>
      </c>
      <c r="AC61" s="500">
        <v>0</v>
      </c>
      <c r="AD61" s="500">
        <v>0</v>
      </c>
      <c r="AE61" s="500">
        <v>9815.01</v>
      </c>
      <c r="AF61" s="500">
        <v>94574</v>
      </c>
      <c r="AG61" s="501">
        <f t="shared" si="3"/>
        <v>2982615.0899999994</v>
      </c>
      <c r="AH61" s="500">
        <v>1350059.47</v>
      </c>
      <c r="AI61" s="500">
        <v>291.76</v>
      </c>
      <c r="AJ61" s="500">
        <v>606879.92000000004</v>
      </c>
      <c r="AK61" s="500">
        <v>90274.99</v>
      </c>
      <c r="AL61" s="500">
        <v>162420.25</v>
      </c>
      <c r="AM61" s="500">
        <v>0</v>
      </c>
      <c r="AN61" s="500">
        <v>78609.94</v>
      </c>
      <c r="AO61" s="500">
        <v>16628.63</v>
      </c>
      <c r="AP61" s="500">
        <v>5681.32</v>
      </c>
      <c r="AQ61" s="500">
        <v>15059.38</v>
      </c>
      <c r="AR61" s="500">
        <v>0</v>
      </c>
      <c r="AS61" s="500">
        <v>43327.96</v>
      </c>
      <c r="AT61" s="500">
        <v>17934.900000000001</v>
      </c>
      <c r="AU61" s="500">
        <v>8514.7000000000007</v>
      </c>
      <c r="AV61" s="500">
        <v>4617.09</v>
      </c>
      <c r="AW61" s="500">
        <v>49183.51</v>
      </c>
      <c r="AX61" s="500">
        <v>6746.1</v>
      </c>
      <c r="AY61" s="500">
        <v>13988.09</v>
      </c>
      <c r="AZ61" s="500">
        <v>87301.4</v>
      </c>
      <c r="BA61" s="500">
        <v>24155.56</v>
      </c>
      <c r="BB61" s="500">
        <v>0</v>
      </c>
      <c r="BC61" s="500">
        <v>14441.19</v>
      </c>
      <c r="BD61" s="500">
        <v>22380.73</v>
      </c>
      <c r="BE61" s="500">
        <v>50578.91</v>
      </c>
      <c r="BF61" s="500">
        <v>164311.72</v>
      </c>
      <c r="BG61" s="500">
        <v>0</v>
      </c>
      <c r="BH61" s="500">
        <v>78980.63</v>
      </c>
      <c r="BI61" s="500">
        <v>61528.9</v>
      </c>
      <c r="BJ61" s="500">
        <v>0</v>
      </c>
      <c r="BK61" s="500">
        <v>0</v>
      </c>
      <c r="BL61" s="500">
        <v>0</v>
      </c>
      <c r="BM61" s="500">
        <v>0</v>
      </c>
      <c r="BN61" s="500">
        <v>0</v>
      </c>
      <c r="BO61" s="501">
        <f t="shared" si="4"/>
        <v>2973897.0499999989</v>
      </c>
      <c r="BP61" s="501">
        <f t="shared" si="5"/>
        <v>8718.0400000005029</v>
      </c>
      <c r="BQ61" s="501">
        <f t="shared" si="0"/>
        <v>131396.0400000005</v>
      </c>
      <c r="BR61" s="501">
        <f t="shared" si="6"/>
        <v>0</v>
      </c>
      <c r="BS61" s="501">
        <f t="shared" si="1"/>
        <v>131396.0400000005</v>
      </c>
      <c r="BT61" s="500">
        <v>0</v>
      </c>
      <c r="BU61" s="500"/>
      <c r="BV61" s="500"/>
      <c r="BW61" s="500"/>
      <c r="BX61" s="501">
        <f t="shared" si="7"/>
        <v>0</v>
      </c>
      <c r="BY61" s="500"/>
      <c r="BZ61" s="500"/>
      <c r="CA61" s="500"/>
      <c r="CB61" s="500"/>
      <c r="CC61" s="501">
        <f t="shared" si="8"/>
        <v>0</v>
      </c>
      <c r="CD61" s="500">
        <f t="shared" si="9"/>
        <v>0</v>
      </c>
      <c r="CE61" s="224">
        <f t="shared" si="10"/>
        <v>0</v>
      </c>
      <c r="CF61" s="224">
        <f t="shared" si="2"/>
        <v>131396.0400000005</v>
      </c>
      <c r="CI61" t="e">
        <f>_xlfn.XLOOKUP(D61,#REF!,#REF!)</f>
        <v>#REF!</v>
      </c>
      <c r="CJ61" t="e">
        <f>_xlfn.XLOOKUP(D61,#REF!,#REF!)</f>
        <v>#REF!</v>
      </c>
      <c r="CK61" t="e">
        <f t="shared" si="11"/>
        <v>#REF!</v>
      </c>
      <c r="CM61" s="224" t="e">
        <f t="shared" si="12"/>
        <v>#REF!</v>
      </c>
      <c r="CN61" s="224" t="e">
        <f t="shared" si="13"/>
        <v>#REF!</v>
      </c>
      <c r="CO61" s="224" t="e">
        <f t="shared" si="13"/>
        <v>#REF!</v>
      </c>
    </row>
    <row r="62" spans="1:93">
      <c r="A62" s="507" t="s">
        <v>269</v>
      </c>
      <c r="B62" t="s">
        <v>129</v>
      </c>
      <c r="C62">
        <v>101321</v>
      </c>
      <c r="D62" s="3">
        <v>3023309</v>
      </c>
      <c r="E62" s="3">
        <v>3309</v>
      </c>
      <c r="F62">
        <v>10116</v>
      </c>
      <c r="G62">
        <v>90116</v>
      </c>
      <c r="H62">
        <v>938657</v>
      </c>
      <c r="I62">
        <v>140989</v>
      </c>
      <c r="J62">
        <v>0</v>
      </c>
      <c r="K62">
        <v>140989</v>
      </c>
      <c r="L62" s="500">
        <v>1168255.5</v>
      </c>
      <c r="M62" s="500">
        <v>0</v>
      </c>
      <c r="N62" s="500">
        <v>60427.68</v>
      </c>
      <c r="O62" s="500">
        <v>0</v>
      </c>
      <c r="P62" s="500">
        <v>41054.97</v>
      </c>
      <c r="Q62" s="500">
        <v>800</v>
      </c>
      <c r="R62" s="500">
        <v>38280.379999999997</v>
      </c>
      <c r="S62" s="500">
        <v>11982</v>
      </c>
      <c r="T62" s="500">
        <v>83796.479999999996</v>
      </c>
      <c r="U62" s="500">
        <v>13673.01</v>
      </c>
      <c r="V62" s="500">
        <v>0</v>
      </c>
      <c r="W62" s="500">
        <v>0</v>
      </c>
      <c r="X62" s="500">
        <v>65863.53</v>
      </c>
      <c r="Y62" s="500">
        <v>12954.75</v>
      </c>
      <c r="Z62" s="500">
        <v>0</v>
      </c>
      <c r="AA62" s="500">
        <v>0</v>
      </c>
      <c r="AB62" s="500">
        <v>0</v>
      </c>
      <c r="AC62" s="500">
        <v>0</v>
      </c>
      <c r="AD62" s="500">
        <v>0</v>
      </c>
      <c r="AE62" s="500">
        <v>3697.25</v>
      </c>
      <c r="AF62" s="500">
        <v>54413</v>
      </c>
      <c r="AG62" s="501">
        <f t="shared" si="3"/>
        <v>1555198.5499999998</v>
      </c>
      <c r="AH62" s="500">
        <v>635124.75</v>
      </c>
      <c r="AI62" s="500">
        <v>0</v>
      </c>
      <c r="AJ62" s="500">
        <v>264608.03999999998</v>
      </c>
      <c r="AK62" s="500">
        <v>40169.660000000003</v>
      </c>
      <c r="AL62" s="500">
        <v>50298.71</v>
      </c>
      <c r="AM62" s="500">
        <v>0</v>
      </c>
      <c r="AN62" s="500">
        <v>65426.44</v>
      </c>
      <c r="AO62" s="500">
        <v>3305.74</v>
      </c>
      <c r="AP62" s="500">
        <v>6889.35</v>
      </c>
      <c r="AQ62" s="500">
        <v>348.6</v>
      </c>
      <c r="AR62" s="500">
        <v>0</v>
      </c>
      <c r="AS62" s="500">
        <v>11913.59</v>
      </c>
      <c r="AT62" s="500">
        <v>3325.25</v>
      </c>
      <c r="AU62" s="500">
        <v>23599.67</v>
      </c>
      <c r="AV62" s="500">
        <v>4586.3100000000004</v>
      </c>
      <c r="AW62" s="500">
        <v>36294.25</v>
      </c>
      <c r="AX62" s="500">
        <v>4745.3599999999997</v>
      </c>
      <c r="AY62" s="500">
        <v>8931.9</v>
      </c>
      <c r="AZ62" s="500">
        <v>93721.65</v>
      </c>
      <c r="BA62" s="500">
        <v>14293.08</v>
      </c>
      <c r="BB62" s="500">
        <v>0</v>
      </c>
      <c r="BC62" s="500">
        <v>9441.2800000000007</v>
      </c>
      <c r="BD62" s="500">
        <v>8603.9</v>
      </c>
      <c r="BE62" s="500">
        <v>4835.18</v>
      </c>
      <c r="BF62" s="500">
        <v>78228.62</v>
      </c>
      <c r="BG62" s="500">
        <v>63123.01</v>
      </c>
      <c r="BH62" s="500">
        <v>77398.67</v>
      </c>
      <c r="BI62" s="500">
        <v>31969.55</v>
      </c>
      <c r="BJ62" s="500">
        <v>0</v>
      </c>
      <c r="BK62" s="500">
        <v>0</v>
      </c>
      <c r="BL62" s="500">
        <v>0</v>
      </c>
      <c r="BM62" s="500">
        <v>0</v>
      </c>
      <c r="BN62" s="500">
        <v>0</v>
      </c>
      <c r="BO62" s="501">
        <f t="shared" si="4"/>
        <v>1541182.56</v>
      </c>
      <c r="BP62" s="501">
        <f t="shared" si="5"/>
        <v>14015.989999999758</v>
      </c>
      <c r="BQ62" s="501">
        <f t="shared" si="0"/>
        <v>155004.98999999976</v>
      </c>
      <c r="BR62" s="501">
        <f t="shared" si="6"/>
        <v>0</v>
      </c>
      <c r="BS62" s="501">
        <f t="shared" si="1"/>
        <v>155004.98999999976</v>
      </c>
      <c r="BT62" s="500">
        <v>0</v>
      </c>
      <c r="BU62" s="500"/>
      <c r="BV62" s="500"/>
      <c r="BW62" s="500"/>
      <c r="BX62" s="501">
        <f t="shared" si="7"/>
        <v>0</v>
      </c>
      <c r="BY62" s="500"/>
      <c r="BZ62" s="500"/>
      <c r="CA62" s="500"/>
      <c r="CB62" s="500"/>
      <c r="CC62" s="501">
        <f t="shared" si="8"/>
        <v>0</v>
      </c>
      <c r="CD62" s="500">
        <f t="shared" si="9"/>
        <v>0</v>
      </c>
      <c r="CE62" s="224">
        <f t="shared" si="10"/>
        <v>0</v>
      </c>
      <c r="CF62" s="224">
        <f t="shared" si="2"/>
        <v>155004.98999999976</v>
      </c>
      <c r="CI62" t="e">
        <f>_xlfn.XLOOKUP(D62,#REF!,#REF!)</f>
        <v>#REF!</v>
      </c>
      <c r="CJ62" t="e">
        <f>_xlfn.XLOOKUP(D62,#REF!,#REF!)</f>
        <v>#REF!</v>
      </c>
      <c r="CK62" t="e">
        <f t="shared" si="11"/>
        <v>#REF!</v>
      </c>
      <c r="CM62" s="224" t="e">
        <f t="shared" si="12"/>
        <v>#REF!</v>
      </c>
      <c r="CN62" s="224" t="e">
        <f t="shared" si="13"/>
        <v>#REF!</v>
      </c>
      <c r="CO62" s="224" t="e">
        <f t="shared" si="13"/>
        <v>#REF!</v>
      </c>
    </row>
    <row r="63" spans="1:93">
      <c r="A63" s="507" t="s">
        <v>183</v>
      </c>
      <c r="B63" t="s">
        <v>129</v>
      </c>
      <c r="C63">
        <v>101319</v>
      </c>
      <c r="D63" s="3">
        <v>3023307</v>
      </c>
      <c r="E63" s="3">
        <v>3307</v>
      </c>
      <c r="F63">
        <v>10089</v>
      </c>
      <c r="G63">
        <v>90089</v>
      </c>
      <c r="H63">
        <v>938656</v>
      </c>
      <c r="I63">
        <v>57845</v>
      </c>
      <c r="J63">
        <v>0</v>
      </c>
      <c r="K63">
        <v>57845</v>
      </c>
      <c r="L63" s="500">
        <v>1232447.27</v>
      </c>
      <c r="M63" s="500">
        <v>0</v>
      </c>
      <c r="N63" s="500">
        <v>46407.08</v>
      </c>
      <c r="O63" s="500">
        <v>0</v>
      </c>
      <c r="P63" s="500">
        <v>40360</v>
      </c>
      <c r="Q63" s="500">
        <v>3644.42</v>
      </c>
      <c r="R63" s="500">
        <v>37295.65</v>
      </c>
      <c r="S63" s="500">
        <v>65702.3</v>
      </c>
      <c r="T63" s="500">
        <v>5027.79</v>
      </c>
      <c r="U63" s="500">
        <v>9903.1299999999992</v>
      </c>
      <c r="V63" s="500">
        <v>0</v>
      </c>
      <c r="W63" s="500">
        <v>0</v>
      </c>
      <c r="X63" s="500">
        <v>51641</v>
      </c>
      <c r="Y63" s="500">
        <v>103001.65</v>
      </c>
      <c r="Z63" s="500">
        <v>0</v>
      </c>
      <c r="AA63" s="500">
        <v>0</v>
      </c>
      <c r="AB63" s="500">
        <v>0</v>
      </c>
      <c r="AC63" s="500">
        <v>0</v>
      </c>
      <c r="AD63" s="500">
        <v>6443.75</v>
      </c>
      <c r="AE63" s="500">
        <v>0</v>
      </c>
      <c r="AF63" s="500">
        <v>50131</v>
      </c>
      <c r="AG63" s="501">
        <f t="shared" si="3"/>
        <v>1652005.0399999998</v>
      </c>
      <c r="AH63" s="500">
        <v>494172.53</v>
      </c>
      <c r="AI63" s="500">
        <v>0</v>
      </c>
      <c r="AJ63" s="500">
        <v>308535.01</v>
      </c>
      <c r="AK63" s="500">
        <v>74739.7</v>
      </c>
      <c r="AL63" s="500">
        <v>67264.12</v>
      </c>
      <c r="AM63" s="500">
        <v>0</v>
      </c>
      <c r="AN63" s="500">
        <v>22365.85</v>
      </c>
      <c r="AO63" s="500">
        <v>1725.46</v>
      </c>
      <c r="AP63" s="500">
        <v>1786.67</v>
      </c>
      <c r="AQ63" s="500">
        <v>348.6</v>
      </c>
      <c r="AR63" s="500">
        <v>0</v>
      </c>
      <c r="AS63" s="500">
        <v>58659.69</v>
      </c>
      <c r="AT63" s="500">
        <v>1579.46</v>
      </c>
      <c r="AU63" s="500">
        <v>7850.88</v>
      </c>
      <c r="AV63" s="500">
        <v>1704.86</v>
      </c>
      <c r="AW63" s="500">
        <v>55141.66</v>
      </c>
      <c r="AX63" s="500">
        <v>4187.3900000000003</v>
      </c>
      <c r="AY63" s="500">
        <v>10484.64</v>
      </c>
      <c r="AZ63" s="500">
        <v>59199.95</v>
      </c>
      <c r="BA63" s="500">
        <v>12651.24</v>
      </c>
      <c r="BB63" s="500">
        <v>0</v>
      </c>
      <c r="BC63" s="500">
        <v>8505.7999999999993</v>
      </c>
      <c r="BD63" s="500">
        <v>14727.16</v>
      </c>
      <c r="BE63" s="500">
        <v>1422.5</v>
      </c>
      <c r="BF63" s="500">
        <v>76420.72</v>
      </c>
      <c r="BG63" s="500">
        <v>147076.12</v>
      </c>
      <c r="BH63" s="500">
        <v>75556.789999999994</v>
      </c>
      <c r="BI63" s="500">
        <v>38358.04</v>
      </c>
      <c r="BJ63" s="500">
        <v>0</v>
      </c>
      <c r="BK63" s="500">
        <v>0</v>
      </c>
      <c r="BL63" s="500">
        <v>0</v>
      </c>
      <c r="BM63" s="500">
        <v>0</v>
      </c>
      <c r="BN63" s="500">
        <v>0</v>
      </c>
      <c r="BO63" s="501">
        <f t="shared" si="4"/>
        <v>1544464.8399999994</v>
      </c>
      <c r="BP63" s="501">
        <f t="shared" si="5"/>
        <v>107540.20000000042</v>
      </c>
      <c r="BQ63" s="501">
        <f t="shared" si="0"/>
        <v>165385.20000000042</v>
      </c>
      <c r="BR63" s="501">
        <f t="shared" si="6"/>
        <v>0</v>
      </c>
      <c r="BS63" s="501">
        <f t="shared" si="1"/>
        <v>165385.20000000042</v>
      </c>
      <c r="BT63" s="500">
        <v>0</v>
      </c>
      <c r="BU63" s="500"/>
      <c r="BV63" s="500"/>
      <c r="BW63" s="500"/>
      <c r="BX63" s="501">
        <f t="shared" si="7"/>
        <v>0</v>
      </c>
      <c r="BY63" s="500"/>
      <c r="BZ63" s="500"/>
      <c r="CA63" s="500"/>
      <c r="CB63" s="500"/>
      <c r="CC63" s="501">
        <f t="shared" si="8"/>
        <v>0</v>
      </c>
      <c r="CD63" s="500">
        <f t="shared" si="9"/>
        <v>0</v>
      </c>
      <c r="CE63" s="224">
        <f t="shared" si="10"/>
        <v>0</v>
      </c>
      <c r="CF63" s="224">
        <f t="shared" si="2"/>
        <v>165385.20000000042</v>
      </c>
      <c r="CI63" t="e">
        <f>_xlfn.XLOOKUP(D63,#REF!,#REF!)</f>
        <v>#REF!</v>
      </c>
      <c r="CJ63" t="e">
        <f>_xlfn.XLOOKUP(D63,#REF!,#REF!)</f>
        <v>#REF!</v>
      </c>
      <c r="CK63" t="e">
        <f t="shared" si="11"/>
        <v>#REF!</v>
      </c>
      <c r="CM63" s="224" t="e">
        <f t="shared" si="12"/>
        <v>#REF!</v>
      </c>
      <c r="CN63" s="224" t="e">
        <f t="shared" si="13"/>
        <v>#REF!</v>
      </c>
      <c r="CO63" s="224" t="e">
        <f t="shared" si="13"/>
        <v>#REF!</v>
      </c>
    </row>
    <row r="64" spans="1:93">
      <c r="A64" s="507" t="s">
        <v>184</v>
      </c>
      <c r="B64" t="s">
        <v>129</v>
      </c>
      <c r="C64">
        <v>101337</v>
      </c>
      <c r="D64" s="3">
        <v>3023509</v>
      </c>
      <c r="E64" s="3">
        <v>3509</v>
      </c>
      <c r="F64">
        <v>10107</v>
      </c>
      <c r="G64">
        <v>90107</v>
      </c>
      <c r="H64">
        <v>938672</v>
      </c>
      <c r="I64">
        <v>-664834</v>
      </c>
      <c r="J64">
        <v>0</v>
      </c>
      <c r="K64">
        <v>-664834</v>
      </c>
      <c r="L64" s="500">
        <v>2530727.16</v>
      </c>
      <c r="M64" s="500">
        <v>0</v>
      </c>
      <c r="N64" s="500">
        <v>198410.09</v>
      </c>
      <c r="O64" s="500">
        <v>0</v>
      </c>
      <c r="P64" s="500">
        <v>176530.9</v>
      </c>
      <c r="Q64" s="500">
        <v>200</v>
      </c>
      <c r="R64" s="500">
        <v>64027.18</v>
      </c>
      <c r="S64" s="500">
        <v>0</v>
      </c>
      <c r="T64" s="500">
        <v>23995.55</v>
      </c>
      <c r="U64" s="500">
        <v>19276.22</v>
      </c>
      <c r="V64" s="500">
        <v>4500</v>
      </c>
      <c r="W64" s="500">
        <v>0</v>
      </c>
      <c r="X64" s="500">
        <v>36828</v>
      </c>
      <c r="Y64" s="500">
        <v>3000.6</v>
      </c>
      <c r="Z64" s="500">
        <v>0</v>
      </c>
      <c r="AA64" s="500">
        <v>0</v>
      </c>
      <c r="AB64" s="500">
        <v>0</v>
      </c>
      <c r="AC64" s="500">
        <v>0</v>
      </c>
      <c r="AD64" s="500">
        <v>0</v>
      </c>
      <c r="AE64" s="500">
        <v>0</v>
      </c>
      <c r="AF64" s="500">
        <v>93420.28</v>
      </c>
      <c r="AG64" s="501">
        <f t="shared" si="3"/>
        <v>3150915.98</v>
      </c>
      <c r="AH64" s="500">
        <v>1282726.95</v>
      </c>
      <c r="AI64" s="500">
        <v>0</v>
      </c>
      <c r="AJ64" s="500">
        <v>646467.78</v>
      </c>
      <c r="AK64" s="500">
        <v>150396.26</v>
      </c>
      <c r="AL64" s="500">
        <v>125335.99</v>
      </c>
      <c r="AM64" s="500">
        <v>0</v>
      </c>
      <c r="AN64" s="500">
        <v>96583.99</v>
      </c>
      <c r="AO64" s="500">
        <v>4809.3999999999996</v>
      </c>
      <c r="AP64" s="500">
        <v>1494.56</v>
      </c>
      <c r="AQ64" s="500">
        <v>10287.61</v>
      </c>
      <c r="AR64" s="500">
        <v>0</v>
      </c>
      <c r="AS64" s="500">
        <v>33541.9</v>
      </c>
      <c r="AT64" s="500">
        <v>300</v>
      </c>
      <c r="AU64" s="500">
        <v>2567.63</v>
      </c>
      <c r="AV64" s="500">
        <v>3742.36</v>
      </c>
      <c r="AW64" s="500">
        <v>95721.93</v>
      </c>
      <c r="AX64" s="500">
        <v>14476.8</v>
      </c>
      <c r="AY64" s="500">
        <v>19274.18</v>
      </c>
      <c r="AZ64" s="500">
        <v>105956.92</v>
      </c>
      <c r="BA64" s="500">
        <v>11050.49</v>
      </c>
      <c r="BB64" s="500">
        <v>0</v>
      </c>
      <c r="BC64" s="500">
        <v>19979.36</v>
      </c>
      <c r="BD64" s="500">
        <v>45631.14</v>
      </c>
      <c r="BE64" s="500">
        <v>9493.58</v>
      </c>
      <c r="BF64" s="500">
        <v>149534.29999999999</v>
      </c>
      <c r="BG64" s="500">
        <v>147389.04</v>
      </c>
      <c r="BH64" s="500">
        <v>168873.63</v>
      </c>
      <c r="BI64" s="500">
        <v>37532.120000000003</v>
      </c>
      <c r="BJ64" s="500">
        <v>0</v>
      </c>
      <c r="BK64" s="500">
        <v>0</v>
      </c>
      <c r="BL64" s="500">
        <v>0</v>
      </c>
      <c r="BM64" s="500">
        <v>0</v>
      </c>
      <c r="BN64" s="500">
        <v>0</v>
      </c>
      <c r="BO64" s="501">
        <f t="shared" si="4"/>
        <v>3183167.92</v>
      </c>
      <c r="BP64" s="501">
        <f t="shared" si="5"/>
        <v>-32251.939999999944</v>
      </c>
      <c r="BQ64" s="501">
        <f t="shared" si="0"/>
        <v>-697085.94</v>
      </c>
      <c r="BR64" s="501">
        <f t="shared" si="6"/>
        <v>0</v>
      </c>
      <c r="BS64" s="501">
        <f t="shared" si="1"/>
        <v>-697085.94</v>
      </c>
      <c r="BT64" s="500">
        <v>0</v>
      </c>
      <c r="BU64" s="500"/>
      <c r="BV64" s="500"/>
      <c r="BW64" s="500"/>
      <c r="BX64" s="501">
        <f t="shared" si="7"/>
        <v>0</v>
      </c>
      <c r="BY64" s="500"/>
      <c r="BZ64" s="500"/>
      <c r="CA64" s="500"/>
      <c r="CB64" s="500"/>
      <c r="CC64" s="501">
        <f t="shared" si="8"/>
        <v>0</v>
      </c>
      <c r="CD64" s="500">
        <f t="shared" si="9"/>
        <v>0</v>
      </c>
      <c r="CE64" s="224">
        <f t="shared" si="10"/>
        <v>0</v>
      </c>
      <c r="CF64" s="224">
        <f t="shared" si="2"/>
        <v>-697085.94</v>
      </c>
      <c r="CM64" s="224"/>
      <c r="CN64" s="224"/>
      <c r="CO64" s="224"/>
    </row>
    <row r="65" spans="1:93">
      <c r="A65" s="507" t="s">
        <v>185</v>
      </c>
      <c r="B65" t="s">
        <v>129</v>
      </c>
      <c r="C65">
        <v>101323</v>
      </c>
      <c r="D65" s="3">
        <v>3023311</v>
      </c>
      <c r="E65" s="3">
        <v>3311</v>
      </c>
      <c r="F65">
        <v>10092</v>
      </c>
      <c r="G65">
        <v>90092</v>
      </c>
      <c r="H65">
        <v>938658</v>
      </c>
      <c r="I65">
        <v>100162</v>
      </c>
      <c r="J65">
        <v>0</v>
      </c>
      <c r="K65">
        <v>100162</v>
      </c>
      <c r="L65" s="500">
        <v>2304685.84</v>
      </c>
      <c r="M65" s="500">
        <v>0</v>
      </c>
      <c r="N65" s="500">
        <v>71344.42</v>
      </c>
      <c r="O65" s="500">
        <v>0</v>
      </c>
      <c r="P65" s="500">
        <v>108679.99</v>
      </c>
      <c r="Q65" s="500">
        <v>1344.42</v>
      </c>
      <c r="R65" s="500">
        <v>83573.48</v>
      </c>
      <c r="S65" s="500">
        <v>42487.9</v>
      </c>
      <c r="T65" s="500">
        <v>1483.29</v>
      </c>
      <c r="U65" s="500">
        <v>24419.71</v>
      </c>
      <c r="V65" s="500">
        <v>0</v>
      </c>
      <c r="W65" s="500">
        <v>0</v>
      </c>
      <c r="X65" s="500">
        <v>102981.07</v>
      </c>
      <c r="Y65" s="500">
        <v>45758.45</v>
      </c>
      <c r="Z65" s="500">
        <v>0</v>
      </c>
      <c r="AA65" s="500">
        <v>0</v>
      </c>
      <c r="AB65" s="500">
        <v>0</v>
      </c>
      <c r="AC65" s="500">
        <v>0</v>
      </c>
      <c r="AD65" s="500">
        <v>0</v>
      </c>
      <c r="AE65" s="500">
        <v>17474.509999999998</v>
      </c>
      <c r="AF65" s="500">
        <v>69598.5</v>
      </c>
      <c r="AG65" s="501">
        <f t="shared" si="3"/>
        <v>2873831.5799999996</v>
      </c>
      <c r="AH65" s="500">
        <v>1299646.44</v>
      </c>
      <c r="AI65" s="500">
        <v>0</v>
      </c>
      <c r="AJ65" s="500">
        <v>576450.03</v>
      </c>
      <c r="AK65" s="500">
        <v>26201.33</v>
      </c>
      <c r="AL65" s="500">
        <v>99327.34</v>
      </c>
      <c r="AM65" s="500">
        <v>0</v>
      </c>
      <c r="AN65" s="500">
        <v>35883.730000000003</v>
      </c>
      <c r="AO65" s="500">
        <v>17301.07</v>
      </c>
      <c r="AP65" s="500">
        <v>4705.58</v>
      </c>
      <c r="AQ65" s="500">
        <v>678.94</v>
      </c>
      <c r="AR65" s="500">
        <v>0</v>
      </c>
      <c r="AS65" s="500">
        <v>95571.13</v>
      </c>
      <c r="AT65" s="500">
        <v>4019.68</v>
      </c>
      <c r="AU65" s="500">
        <v>60108.34</v>
      </c>
      <c r="AV65" s="500">
        <v>1862.67</v>
      </c>
      <c r="AW65" s="500">
        <v>73963.63</v>
      </c>
      <c r="AX65" s="500">
        <v>24259.200000000001</v>
      </c>
      <c r="AY65" s="500">
        <v>20241.330000000002</v>
      </c>
      <c r="AZ65" s="500">
        <v>159422.07999999999</v>
      </c>
      <c r="BA65" s="500">
        <v>24032.62</v>
      </c>
      <c r="BB65" s="500">
        <v>0</v>
      </c>
      <c r="BC65" s="500">
        <v>14815.6</v>
      </c>
      <c r="BD65" s="500">
        <v>16734.009999999998</v>
      </c>
      <c r="BE65" s="500">
        <v>929.43</v>
      </c>
      <c r="BF65" s="500">
        <v>137346.49</v>
      </c>
      <c r="BG65" s="500">
        <v>75815.960000000006</v>
      </c>
      <c r="BH65" s="500">
        <v>187916.62</v>
      </c>
      <c r="BI65" s="500">
        <v>39206.61</v>
      </c>
      <c r="BJ65" s="500">
        <v>0</v>
      </c>
      <c r="BK65" s="500">
        <v>0</v>
      </c>
      <c r="BL65" s="500">
        <v>0</v>
      </c>
      <c r="BM65" s="500">
        <v>0</v>
      </c>
      <c r="BN65" s="500">
        <v>0</v>
      </c>
      <c r="BO65" s="501">
        <f t="shared" si="4"/>
        <v>2996439.8600000008</v>
      </c>
      <c r="BP65" s="501">
        <f t="shared" si="5"/>
        <v>-122608.28000000119</v>
      </c>
      <c r="BQ65" s="501">
        <f t="shared" si="0"/>
        <v>-22446.280000001192</v>
      </c>
      <c r="BR65" s="501">
        <f t="shared" si="6"/>
        <v>0</v>
      </c>
      <c r="BS65" s="501">
        <f t="shared" si="1"/>
        <v>-22446.280000001192</v>
      </c>
      <c r="BT65" s="500">
        <v>0</v>
      </c>
      <c r="BU65" s="500"/>
      <c r="BV65" s="500"/>
      <c r="BW65" s="500"/>
      <c r="BX65" s="501">
        <f t="shared" si="7"/>
        <v>0</v>
      </c>
      <c r="BY65" s="500"/>
      <c r="BZ65" s="500"/>
      <c r="CA65" s="500"/>
      <c r="CB65" s="500"/>
      <c r="CC65" s="501">
        <f t="shared" si="8"/>
        <v>0</v>
      </c>
      <c r="CD65" s="500">
        <f t="shared" si="9"/>
        <v>0</v>
      </c>
      <c r="CE65" s="224">
        <f t="shared" si="10"/>
        <v>0</v>
      </c>
      <c r="CF65" s="224">
        <f t="shared" si="2"/>
        <v>-22446.280000001192</v>
      </c>
      <c r="CI65" t="e">
        <f>_xlfn.XLOOKUP(D65,#REF!,#REF!)</f>
        <v>#REF!</v>
      </c>
      <c r="CJ65" t="e">
        <f>_xlfn.XLOOKUP(D65,#REF!,#REF!)</f>
        <v>#REF!</v>
      </c>
      <c r="CK65" t="e">
        <f t="shared" si="11"/>
        <v>#REF!</v>
      </c>
      <c r="CM65" s="224" t="e">
        <f t="shared" si="12"/>
        <v>#REF!</v>
      </c>
      <c r="CN65" s="224" t="e">
        <f t="shared" si="13"/>
        <v>#REF!</v>
      </c>
      <c r="CO65" s="224" t="e">
        <f t="shared" si="13"/>
        <v>#REF!</v>
      </c>
    </row>
    <row r="66" spans="1:93" s="502" customFormat="1">
      <c r="A66" s="508" t="s">
        <v>186</v>
      </c>
      <c r="B66" s="502" t="s">
        <v>129</v>
      </c>
      <c r="C66" s="502">
        <v>101324</v>
      </c>
      <c r="D66" s="503">
        <v>3023312</v>
      </c>
      <c r="E66" s="503">
        <v>3312</v>
      </c>
      <c r="F66" s="502">
        <v>10093</v>
      </c>
      <c r="G66" s="502">
        <v>90093</v>
      </c>
      <c r="H66" s="502">
        <v>938659</v>
      </c>
      <c r="I66" s="502">
        <v>91857</v>
      </c>
      <c r="J66" s="502">
        <v>0</v>
      </c>
      <c r="K66" s="502">
        <v>91857</v>
      </c>
      <c r="L66" s="504">
        <v>1125928.1599999999</v>
      </c>
      <c r="M66" s="504">
        <v>0</v>
      </c>
      <c r="N66" s="504">
        <v>52595.69</v>
      </c>
      <c r="O66" s="504">
        <v>0</v>
      </c>
      <c r="P66" s="504">
        <v>38524.980000000003</v>
      </c>
      <c r="Q66" s="504">
        <v>5662.99</v>
      </c>
      <c r="R66" s="504">
        <v>33930.800000000003</v>
      </c>
      <c r="S66" s="504">
        <v>130</v>
      </c>
      <c r="T66" s="504">
        <v>14612.55</v>
      </c>
      <c r="U66" s="504">
        <v>11715</v>
      </c>
      <c r="V66" s="504">
        <v>0</v>
      </c>
      <c r="W66" s="504">
        <v>624</v>
      </c>
      <c r="X66" s="504">
        <v>37414.79</v>
      </c>
      <c r="Y66" s="504">
        <v>11702.37</v>
      </c>
      <c r="Z66" s="504">
        <v>0</v>
      </c>
      <c r="AA66" s="504">
        <v>0</v>
      </c>
      <c r="AB66" s="504">
        <v>0</v>
      </c>
      <c r="AC66" s="504">
        <v>0</v>
      </c>
      <c r="AD66" s="504">
        <v>0</v>
      </c>
      <c r="AE66" s="504">
        <v>5421.26</v>
      </c>
      <c r="AF66" s="504">
        <v>56814</v>
      </c>
      <c r="AG66" s="505">
        <f t="shared" si="3"/>
        <v>1395076.59</v>
      </c>
      <c r="AH66" s="504">
        <v>620530.31000000006</v>
      </c>
      <c r="AI66" s="504">
        <v>0</v>
      </c>
      <c r="AJ66" s="504">
        <v>308346.3</v>
      </c>
      <c r="AK66" s="504">
        <v>42953.29</v>
      </c>
      <c r="AL66" s="504">
        <v>67624.55</v>
      </c>
      <c r="AM66" s="504">
        <v>0</v>
      </c>
      <c r="AN66" s="504">
        <v>1287.73</v>
      </c>
      <c r="AO66" s="504">
        <v>1210.7</v>
      </c>
      <c r="AP66" s="504">
        <v>4889.18</v>
      </c>
      <c r="AQ66" s="504">
        <v>358.56</v>
      </c>
      <c r="AR66" s="504">
        <v>5293.6</v>
      </c>
      <c r="AS66" s="504">
        <v>11911.43</v>
      </c>
      <c r="AT66" s="504">
        <v>3745.12</v>
      </c>
      <c r="AU66" s="504">
        <v>18763.7</v>
      </c>
      <c r="AV66" s="504">
        <v>6508.8099999999995</v>
      </c>
      <c r="AW66" s="504">
        <v>19913.650000000001</v>
      </c>
      <c r="AX66" s="504">
        <v>3614</v>
      </c>
      <c r="AY66" s="504">
        <v>9328.41</v>
      </c>
      <c r="AZ66" s="504">
        <v>70092.509999999995</v>
      </c>
      <c r="BA66" s="504">
        <v>8061.36</v>
      </c>
      <c r="BB66" s="504">
        <v>0</v>
      </c>
      <c r="BC66" s="504">
        <v>10102.26</v>
      </c>
      <c r="BD66" s="504">
        <v>8400.24</v>
      </c>
      <c r="BE66" s="504">
        <v>2496.4299999999998</v>
      </c>
      <c r="BF66" s="504">
        <v>73202.59</v>
      </c>
      <c r="BG66" s="504">
        <v>0</v>
      </c>
      <c r="BH66" s="504">
        <v>27893.39</v>
      </c>
      <c r="BI66" s="504">
        <v>28560.2</v>
      </c>
      <c r="BJ66" s="504">
        <v>2709.8</v>
      </c>
      <c r="BK66" s="504">
        <v>0</v>
      </c>
      <c r="BL66" s="504">
        <v>0</v>
      </c>
      <c r="BM66" s="504">
        <v>0</v>
      </c>
      <c r="BN66" s="504">
        <v>0</v>
      </c>
      <c r="BO66" s="505">
        <f t="shared" si="4"/>
        <v>1357798.12</v>
      </c>
      <c r="BP66" s="505">
        <f t="shared" si="5"/>
        <v>37278.469999999972</v>
      </c>
      <c r="BQ66" s="505">
        <f t="shared" si="0"/>
        <v>129135.46999999997</v>
      </c>
      <c r="BR66" s="505">
        <f t="shared" si="6"/>
        <v>0</v>
      </c>
      <c r="BS66" s="505">
        <f t="shared" si="1"/>
        <v>129135.46999999997</v>
      </c>
      <c r="BT66" s="504">
        <v>0</v>
      </c>
      <c r="BU66" s="504"/>
      <c r="BV66" s="504"/>
      <c r="BW66" s="504"/>
      <c r="BX66" s="505">
        <f t="shared" si="7"/>
        <v>0</v>
      </c>
      <c r="BY66" s="504"/>
      <c r="BZ66" s="504"/>
      <c r="CA66" s="504"/>
      <c r="CB66" s="504"/>
      <c r="CC66" s="505">
        <f t="shared" si="8"/>
        <v>0</v>
      </c>
      <c r="CD66" s="504">
        <f t="shared" si="9"/>
        <v>0</v>
      </c>
      <c r="CE66" s="506">
        <f t="shared" si="10"/>
        <v>0</v>
      </c>
      <c r="CF66" s="506">
        <f t="shared" si="2"/>
        <v>129135.46999999997</v>
      </c>
      <c r="CI66" s="502" t="e">
        <f>_xlfn.XLOOKUP(D66,#REF!,#REF!)</f>
        <v>#REF!</v>
      </c>
      <c r="CJ66" s="502" t="e">
        <f>_xlfn.XLOOKUP(D66,#REF!,#REF!)</f>
        <v>#REF!</v>
      </c>
      <c r="CK66" s="502" t="e">
        <f t="shared" si="11"/>
        <v>#REF!</v>
      </c>
      <c r="CM66" s="506" t="e">
        <f t="shared" si="12"/>
        <v>#REF!</v>
      </c>
      <c r="CN66" s="506" t="e">
        <f t="shared" si="13"/>
        <v>#REF!</v>
      </c>
      <c r="CO66" s="506" t="e">
        <f t="shared" si="13"/>
        <v>#REF!</v>
      </c>
    </row>
    <row r="67" spans="1:93">
      <c r="A67" s="507" t="s">
        <v>268</v>
      </c>
      <c r="B67" t="s">
        <v>129</v>
      </c>
      <c r="C67">
        <v>101326</v>
      </c>
      <c r="D67" s="3">
        <v>3023314</v>
      </c>
      <c r="E67" s="3">
        <v>3314</v>
      </c>
      <c r="F67">
        <v>10095</v>
      </c>
      <c r="G67">
        <v>90095</v>
      </c>
      <c r="H67">
        <v>938661</v>
      </c>
      <c r="I67">
        <v>37325</v>
      </c>
      <c r="J67">
        <v>0</v>
      </c>
      <c r="K67">
        <v>37325</v>
      </c>
      <c r="L67" s="500">
        <v>1113834.3400000001</v>
      </c>
      <c r="M67" s="500">
        <v>0</v>
      </c>
      <c r="N67" s="500">
        <v>78231.509999999995</v>
      </c>
      <c r="O67" s="500">
        <v>0</v>
      </c>
      <c r="P67" s="500">
        <v>64309.99</v>
      </c>
      <c r="Q67" s="500">
        <v>400</v>
      </c>
      <c r="R67" s="500">
        <v>143645.20000000001</v>
      </c>
      <c r="S67" s="500">
        <v>0</v>
      </c>
      <c r="T67" s="500">
        <v>44002.35</v>
      </c>
      <c r="U67" s="500">
        <v>6242.79</v>
      </c>
      <c r="V67" s="500">
        <v>58</v>
      </c>
      <c r="W67" s="500">
        <v>0</v>
      </c>
      <c r="X67" s="500">
        <v>27579.35</v>
      </c>
      <c r="Y67" s="500">
        <v>7067.09</v>
      </c>
      <c r="Z67" s="500">
        <v>0</v>
      </c>
      <c r="AA67" s="500">
        <v>0</v>
      </c>
      <c r="AB67" s="500">
        <v>0</v>
      </c>
      <c r="AC67" s="500">
        <v>0</v>
      </c>
      <c r="AD67" s="500">
        <v>0</v>
      </c>
      <c r="AE67" s="500">
        <v>10156.26</v>
      </c>
      <c r="AF67" s="500">
        <v>45734</v>
      </c>
      <c r="AG67" s="501">
        <f t="shared" si="3"/>
        <v>1541260.8800000004</v>
      </c>
      <c r="AH67" s="500">
        <v>724996.93</v>
      </c>
      <c r="AI67" s="500">
        <v>0</v>
      </c>
      <c r="AJ67" s="500">
        <v>256788.69</v>
      </c>
      <c r="AK67" s="500">
        <v>36847.019999999997</v>
      </c>
      <c r="AL67" s="500">
        <v>61386.93</v>
      </c>
      <c r="AM67" s="500">
        <v>0</v>
      </c>
      <c r="AN67" s="500">
        <v>74032.2</v>
      </c>
      <c r="AO67" s="500">
        <v>8076.52</v>
      </c>
      <c r="AP67" s="500">
        <v>3426.76</v>
      </c>
      <c r="AQ67" s="500">
        <v>346.94</v>
      </c>
      <c r="AR67" s="500">
        <v>0</v>
      </c>
      <c r="AS67" s="500">
        <v>9874.17</v>
      </c>
      <c r="AT67" s="500">
        <v>129.32</v>
      </c>
      <c r="AU67" s="500">
        <v>10630.49</v>
      </c>
      <c r="AV67" s="500">
        <v>3360.2</v>
      </c>
      <c r="AW67" s="500">
        <v>41730.589999999997</v>
      </c>
      <c r="AX67" s="500">
        <v>3681.2</v>
      </c>
      <c r="AY67" s="500">
        <v>10338.549999999999</v>
      </c>
      <c r="AZ67" s="500">
        <v>61047.34</v>
      </c>
      <c r="BA67" s="500">
        <v>13774.65</v>
      </c>
      <c r="BB67" s="500">
        <v>0</v>
      </c>
      <c r="BC67" s="500">
        <v>14915.29</v>
      </c>
      <c r="BD67" s="500">
        <v>8387.85</v>
      </c>
      <c r="BE67" s="500">
        <v>13482.91</v>
      </c>
      <c r="BF67" s="500">
        <v>74927.06</v>
      </c>
      <c r="BG67" s="500">
        <v>13554.59</v>
      </c>
      <c r="BH67" s="500">
        <v>58140.6</v>
      </c>
      <c r="BI67" s="500">
        <v>38312.980000000003</v>
      </c>
      <c r="BJ67" s="500">
        <v>0</v>
      </c>
      <c r="BK67" s="500">
        <v>0</v>
      </c>
      <c r="BL67" s="500">
        <v>0</v>
      </c>
      <c r="BM67" s="500">
        <v>0</v>
      </c>
      <c r="BN67" s="500">
        <v>0</v>
      </c>
      <c r="BO67" s="501">
        <f t="shared" si="4"/>
        <v>1542189.7800000003</v>
      </c>
      <c r="BP67" s="501">
        <f t="shared" si="5"/>
        <v>-928.89999999990687</v>
      </c>
      <c r="BQ67" s="501">
        <f t="shared" si="0"/>
        <v>36396.100000000093</v>
      </c>
      <c r="BR67" s="501">
        <f t="shared" si="6"/>
        <v>0</v>
      </c>
      <c r="BS67" s="501">
        <f t="shared" si="1"/>
        <v>36396.100000000093</v>
      </c>
      <c r="BT67" s="500">
        <v>0</v>
      </c>
      <c r="BU67" s="500"/>
      <c r="BV67" s="500"/>
      <c r="BW67" s="500"/>
      <c r="BX67" s="501">
        <f t="shared" si="7"/>
        <v>0</v>
      </c>
      <c r="BY67" s="500"/>
      <c r="BZ67" s="500"/>
      <c r="CA67" s="500"/>
      <c r="CB67" s="500"/>
      <c r="CC67" s="501">
        <f t="shared" si="8"/>
        <v>0</v>
      </c>
      <c r="CD67" s="500">
        <f t="shared" si="9"/>
        <v>0</v>
      </c>
      <c r="CE67" s="224">
        <f t="shared" si="10"/>
        <v>0</v>
      </c>
      <c r="CF67" s="224">
        <f t="shared" si="2"/>
        <v>36396.100000000093</v>
      </c>
      <c r="CI67" t="e">
        <f>_xlfn.XLOOKUP(D67,#REF!,#REF!)</f>
        <v>#REF!</v>
      </c>
      <c r="CJ67" t="e">
        <f>_xlfn.XLOOKUP(D67,#REF!,#REF!)</f>
        <v>#REF!</v>
      </c>
      <c r="CK67" t="e">
        <f t="shared" si="11"/>
        <v>#REF!</v>
      </c>
      <c r="CM67" s="224" t="e">
        <f t="shared" si="12"/>
        <v>#REF!</v>
      </c>
      <c r="CN67" s="224" t="e">
        <f t="shared" si="13"/>
        <v>#REF!</v>
      </c>
      <c r="CO67" s="224" t="e">
        <f t="shared" si="13"/>
        <v>#REF!</v>
      </c>
    </row>
    <row r="68" spans="1:93" s="502" customFormat="1">
      <c r="A68" s="508" t="s">
        <v>187</v>
      </c>
      <c r="B68" s="502" t="s">
        <v>129</v>
      </c>
      <c r="C68" s="502">
        <v>101325</v>
      </c>
      <c r="D68" s="503">
        <v>3023313</v>
      </c>
      <c r="E68" s="503">
        <v>3313</v>
      </c>
      <c r="F68" s="502">
        <v>10094</v>
      </c>
      <c r="G68" s="502">
        <v>90094</v>
      </c>
      <c r="H68" s="502">
        <v>938660</v>
      </c>
      <c r="I68" s="502">
        <v>168719</v>
      </c>
      <c r="J68" s="502">
        <v>0</v>
      </c>
      <c r="K68" s="502">
        <v>168719</v>
      </c>
      <c r="L68" s="504">
        <v>1243134.72</v>
      </c>
      <c r="M68" s="504">
        <v>0</v>
      </c>
      <c r="N68" s="504">
        <v>90228.18</v>
      </c>
      <c r="O68" s="504">
        <v>0</v>
      </c>
      <c r="P68" s="504">
        <v>85084.98</v>
      </c>
      <c r="Q68" s="504">
        <v>3439</v>
      </c>
      <c r="R68" s="504">
        <v>36628.559999999998</v>
      </c>
      <c r="S68" s="504">
        <v>713.87</v>
      </c>
      <c r="T68" s="504">
        <v>15099.87</v>
      </c>
      <c r="U68" s="504">
        <v>7342.46</v>
      </c>
      <c r="V68" s="504">
        <v>5000</v>
      </c>
      <c r="W68" s="504">
        <v>0</v>
      </c>
      <c r="X68" s="504">
        <v>28573.759999999998</v>
      </c>
      <c r="Y68" s="504">
        <v>6066.6</v>
      </c>
      <c r="Z68" s="504">
        <v>0</v>
      </c>
      <c r="AA68" s="504">
        <v>0</v>
      </c>
      <c r="AB68" s="504">
        <v>0</v>
      </c>
      <c r="AC68" s="504">
        <v>0</v>
      </c>
      <c r="AD68" s="504">
        <v>0</v>
      </c>
      <c r="AE68" s="504">
        <v>14490.62</v>
      </c>
      <c r="AF68" s="504">
        <v>44002</v>
      </c>
      <c r="AG68" s="505">
        <f t="shared" si="3"/>
        <v>1579804.6200000003</v>
      </c>
      <c r="AH68" s="504">
        <v>645134.65</v>
      </c>
      <c r="AI68" s="504">
        <v>19440.490000000002</v>
      </c>
      <c r="AJ68" s="504">
        <v>361440.5</v>
      </c>
      <c r="AK68" s="504">
        <v>44249.66</v>
      </c>
      <c r="AL68" s="504">
        <v>69504.86</v>
      </c>
      <c r="AM68" s="504">
        <v>0</v>
      </c>
      <c r="AN68" s="504">
        <v>13487.05</v>
      </c>
      <c r="AO68" s="504">
        <v>3340.16</v>
      </c>
      <c r="AP68" s="504">
        <v>7568</v>
      </c>
      <c r="AQ68" s="504">
        <v>317.06</v>
      </c>
      <c r="AR68" s="504">
        <v>0</v>
      </c>
      <c r="AS68" s="504">
        <v>31542.66</v>
      </c>
      <c r="AT68" s="504">
        <v>4796.96</v>
      </c>
      <c r="AU68" s="504">
        <v>22494.01</v>
      </c>
      <c r="AV68" s="504">
        <v>2278.42</v>
      </c>
      <c r="AW68" s="504">
        <v>38112.94</v>
      </c>
      <c r="AX68" s="504">
        <v>3328</v>
      </c>
      <c r="AY68" s="504">
        <v>8325.68</v>
      </c>
      <c r="AZ68" s="504">
        <v>49863.39</v>
      </c>
      <c r="BA68" s="504">
        <v>5791.48</v>
      </c>
      <c r="BB68" s="504">
        <v>0</v>
      </c>
      <c r="BC68" s="504">
        <v>12819.33</v>
      </c>
      <c r="BD68" s="504">
        <v>8319.1</v>
      </c>
      <c r="BE68" s="504">
        <v>4836.2</v>
      </c>
      <c r="BF68" s="504">
        <v>70686.429999999993</v>
      </c>
      <c r="BG68" s="504">
        <v>11323.75</v>
      </c>
      <c r="BH68" s="504">
        <v>94767.24</v>
      </c>
      <c r="BI68" s="504">
        <v>32974.699999999997</v>
      </c>
      <c r="BJ68" s="504">
        <v>0</v>
      </c>
      <c r="BK68" s="504">
        <v>0</v>
      </c>
      <c r="BL68" s="504">
        <v>0</v>
      </c>
      <c r="BM68" s="504">
        <v>0</v>
      </c>
      <c r="BN68" s="504">
        <v>0</v>
      </c>
      <c r="BO68" s="505">
        <f t="shared" si="4"/>
        <v>1566742.7199999997</v>
      </c>
      <c r="BP68" s="505">
        <f t="shared" si="5"/>
        <v>13061.900000000605</v>
      </c>
      <c r="BQ68" s="505">
        <f t="shared" ref="BQ68:BQ90" si="14">I68+AG68-AA68-AB68-BO68+BM68+BN68</f>
        <v>181780.90000000061</v>
      </c>
      <c r="BR68" s="505">
        <f t="shared" ref="BR68:BR90" si="15">J68+AA68+AB68-BM68-BN68</f>
        <v>0</v>
      </c>
      <c r="BS68" s="505">
        <f t="shared" ref="BS68:BS90" si="16">K68+BP68</f>
        <v>181780.90000000061</v>
      </c>
      <c r="BT68" s="504">
        <v>0</v>
      </c>
      <c r="BU68" s="504"/>
      <c r="BV68" s="504"/>
      <c r="BW68" s="504"/>
      <c r="BX68" s="505">
        <f t="shared" si="7"/>
        <v>0</v>
      </c>
      <c r="BY68" s="504"/>
      <c r="BZ68" s="504"/>
      <c r="CA68" s="504"/>
      <c r="CB68" s="504"/>
      <c r="CC68" s="505">
        <f t="shared" si="8"/>
        <v>0</v>
      </c>
      <c r="CD68" s="504">
        <f t="shared" si="9"/>
        <v>0</v>
      </c>
      <c r="CE68" s="506">
        <f t="shared" si="10"/>
        <v>0</v>
      </c>
      <c r="CF68" s="506">
        <f t="shared" ref="CF68:CF90" si="17">BS68+CE68</f>
        <v>181780.90000000061</v>
      </c>
      <c r="CI68" s="502" t="e">
        <f>_xlfn.XLOOKUP(D68,#REF!,#REF!)</f>
        <v>#REF!</v>
      </c>
      <c r="CJ68" s="502" t="e">
        <f>_xlfn.XLOOKUP(D68,#REF!,#REF!)</f>
        <v>#REF!</v>
      </c>
      <c r="CK68" s="502" t="e">
        <f t="shared" si="11"/>
        <v>#REF!</v>
      </c>
      <c r="CM68" s="506" t="e">
        <f t="shared" si="12"/>
        <v>#REF!</v>
      </c>
      <c r="CN68" s="506" t="e">
        <f t="shared" si="13"/>
        <v>#REF!</v>
      </c>
      <c r="CO68" s="506" t="e">
        <f t="shared" si="13"/>
        <v>#REF!</v>
      </c>
    </row>
    <row r="69" spans="1:93">
      <c r="A69" s="507" t="s">
        <v>188</v>
      </c>
      <c r="B69" t="s">
        <v>129</v>
      </c>
      <c r="C69">
        <v>101335</v>
      </c>
      <c r="D69" s="3">
        <v>3023507</v>
      </c>
      <c r="E69" s="3">
        <v>3507</v>
      </c>
      <c r="F69">
        <v>10108</v>
      </c>
      <c r="G69">
        <v>90108</v>
      </c>
      <c r="H69">
        <v>938670</v>
      </c>
      <c r="I69">
        <v>-222860</v>
      </c>
      <c r="J69">
        <v>0</v>
      </c>
      <c r="K69">
        <v>-222860</v>
      </c>
      <c r="L69" s="500">
        <v>1014960</v>
      </c>
      <c r="M69" s="500">
        <v>0</v>
      </c>
      <c r="N69" s="500">
        <v>92989</v>
      </c>
      <c r="O69" s="500">
        <v>0</v>
      </c>
      <c r="P69" s="500">
        <v>62285</v>
      </c>
      <c r="Q69" s="500">
        <v>3469</v>
      </c>
      <c r="R69" s="500">
        <v>27714</v>
      </c>
      <c r="S69" s="500">
        <v>315</v>
      </c>
      <c r="T69" s="500">
        <v>7786</v>
      </c>
      <c r="U69" s="500">
        <v>4597.12</v>
      </c>
      <c r="V69" s="500">
        <v>0</v>
      </c>
      <c r="W69" s="500">
        <v>0</v>
      </c>
      <c r="X69" s="500">
        <v>30002.85</v>
      </c>
      <c r="Y69" s="500">
        <v>18055</v>
      </c>
      <c r="Z69" s="500">
        <v>0</v>
      </c>
      <c r="AA69" s="500">
        <v>0</v>
      </c>
      <c r="AB69" s="500">
        <v>0</v>
      </c>
      <c r="AC69" s="500">
        <v>0</v>
      </c>
      <c r="AD69" s="500">
        <v>0</v>
      </c>
      <c r="AE69" s="500">
        <v>5401</v>
      </c>
      <c r="AF69" s="500">
        <v>40987</v>
      </c>
      <c r="AG69" s="501">
        <f t="shared" ref="AG69:AG82" si="18">SUM(L69:AF69)</f>
        <v>1308560.9700000002</v>
      </c>
      <c r="AH69" s="500">
        <v>596903</v>
      </c>
      <c r="AI69" s="500">
        <v>0</v>
      </c>
      <c r="AJ69" s="500">
        <v>189057</v>
      </c>
      <c r="AK69" s="500">
        <v>38620</v>
      </c>
      <c r="AL69" s="500">
        <v>50195</v>
      </c>
      <c r="AM69" s="500">
        <v>0</v>
      </c>
      <c r="AN69" s="500">
        <v>23924</v>
      </c>
      <c r="AO69" s="500">
        <v>1238</v>
      </c>
      <c r="AP69" s="500">
        <v>6677</v>
      </c>
      <c r="AQ69" s="500">
        <v>290</v>
      </c>
      <c r="AR69" s="500">
        <v>0</v>
      </c>
      <c r="AS69" s="500">
        <v>15406</v>
      </c>
      <c r="AT69" s="500">
        <v>212</v>
      </c>
      <c r="AU69" s="500">
        <v>20772</v>
      </c>
      <c r="AV69" s="500">
        <v>2072</v>
      </c>
      <c r="AW69" s="500">
        <v>29227</v>
      </c>
      <c r="AX69" s="500">
        <v>4618</v>
      </c>
      <c r="AY69" s="500">
        <v>8207</v>
      </c>
      <c r="AZ69" s="500">
        <v>66482</v>
      </c>
      <c r="BA69" s="500">
        <v>15343</v>
      </c>
      <c r="BB69" s="500">
        <v>0</v>
      </c>
      <c r="BC69" s="500">
        <v>15817</v>
      </c>
      <c r="BD69" s="500">
        <v>10679</v>
      </c>
      <c r="BE69" s="500">
        <v>4405</v>
      </c>
      <c r="BF69" s="500">
        <v>49024</v>
      </c>
      <c r="BG69" s="500">
        <v>146628</v>
      </c>
      <c r="BH69" s="500">
        <v>170803</v>
      </c>
      <c r="BI69" s="500">
        <v>32562</v>
      </c>
      <c r="BJ69" s="500">
        <v>-8351</v>
      </c>
      <c r="BK69" s="500">
        <v>0</v>
      </c>
      <c r="BL69" s="500">
        <v>0</v>
      </c>
      <c r="BM69" s="500">
        <v>0</v>
      </c>
      <c r="BN69" s="500">
        <v>0</v>
      </c>
      <c r="BO69" s="501">
        <f t="shared" ref="BO69:BO91" si="19">SUM(AH69:BN69)</f>
        <v>1490810</v>
      </c>
      <c r="BP69" s="501">
        <f t="shared" ref="BP69:BP90" si="20">AG69-BO69</f>
        <v>-182249.0299999998</v>
      </c>
      <c r="BQ69" s="501">
        <f t="shared" si="14"/>
        <v>-405109.0299999998</v>
      </c>
      <c r="BR69" s="501">
        <f t="shared" si="15"/>
        <v>0</v>
      </c>
      <c r="BS69" s="501">
        <f t="shared" si="16"/>
        <v>-405109.0299999998</v>
      </c>
      <c r="BT69" s="500">
        <v>0</v>
      </c>
      <c r="BU69" s="500"/>
      <c r="BV69" s="500"/>
      <c r="BW69" s="500"/>
      <c r="BX69" s="501">
        <f t="shared" ref="BX69:BX90" si="21">SUM(BU69:BW69)</f>
        <v>0</v>
      </c>
      <c r="BY69" s="500"/>
      <c r="BZ69" s="500"/>
      <c r="CA69" s="500"/>
      <c r="CB69" s="500"/>
      <c r="CC69" s="501">
        <f t="shared" ref="CC69:CC90" si="22">SUM(BY69:CB69)</f>
        <v>0</v>
      </c>
      <c r="CD69" s="500">
        <f t="shared" ref="CD69:CD90" si="23">BX69-CC69</f>
        <v>0</v>
      </c>
      <c r="CE69" s="224">
        <f t="shared" ref="CE69:CE90" si="24">BT69+CD69</f>
        <v>0</v>
      </c>
      <c r="CF69" s="224">
        <f t="shared" si="17"/>
        <v>-405109.0299999998</v>
      </c>
      <c r="CM69" s="224"/>
      <c r="CN69" s="224"/>
      <c r="CO69" s="224"/>
    </row>
    <row r="70" spans="1:93">
      <c r="A70" s="507" t="s">
        <v>189</v>
      </c>
      <c r="B70" t="s">
        <v>129</v>
      </c>
      <c r="C70">
        <v>101334</v>
      </c>
      <c r="D70" s="3">
        <v>3023506</v>
      </c>
      <c r="E70" s="3">
        <v>3506</v>
      </c>
      <c r="F70">
        <v>10096</v>
      </c>
      <c r="G70">
        <v>90096</v>
      </c>
      <c r="H70">
        <v>938669</v>
      </c>
      <c r="I70">
        <v>57528</v>
      </c>
      <c r="J70">
        <v>0</v>
      </c>
      <c r="K70">
        <v>57528</v>
      </c>
      <c r="L70" s="500">
        <v>1428994.17</v>
      </c>
      <c r="M70" s="500">
        <v>0</v>
      </c>
      <c r="N70" s="500">
        <v>146143.01999999999</v>
      </c>
      <c r="O70" s="500">
        <v>0</v>
      </c>
      <c r="P70" s="500">
        <v>25809.99</v>
      </c>
      <c r="Q70" s="500">
        <v>44392.41</v>
      </c>
      <c r="R70" s="500">
        <v>49588.12</v>
      </c>
      <c r="S70" s="500">
        <v>39328.25</v>
      </c>
      <c r="T70" s="500">
        <v>31237.35</v>
      </c>
      <c r="U70" s="500">
        <v>8612.43</v>
      </c>
      <c r="V70" s="500">
        <v>0</v>
      </c>
      <c r="W70" s="500">
        <v>0</v>
      </c>
      <c r="X70" s="500">
        <v>46578</v>
      </c>
      <c r="Y70" s="500">
        <v>46688.25</v>
      </c>
      <c r="Z70" s="500">
        <v>0</v>
      </c>
      <c r="AA70" s="500">
        <v>0</v>
      </c>
      <c r="AB70" s="500">
        <v>0</v>
      </c>
      <c r="AC70" s="500">
        <v>0</v>
      </c>
      <c r="AD70" s="500">
        <v>0</v>
      </c>
      <c r="AE70" s="500">
        <v>4250.63</v>
      </c>
      <c r="AF70" s="500">
        <v>67136</v>
      </c>
      <c r="AG70" s="501">
        <f t="shared" si="18"/>
        <v>1938758.6199999999</v>
      </c>
      <c r="AH70" s="500">
        <v>921995.9</v>
      </c>
      <c r="AI70" s="500">
        <v>0</v>
      </c>
      <c r="AJ70" s="500">
        <v>468491.73</v>
      </c>
      <c r="AK70" s="500">
        <v>85854.720000000001</v>
      </c>
      <c r="AL70" s="500">
        <v>57444.81</v>
      </c>
      <c r="AM70" s="500">
        <v>0</v>
      </c>
      <c r="AN70" s="500">
        <v>0</v>
      </c>
      <c r="AO70" s="500">
        <v>4434.8900000000003</v>
      </c>
      <c r="AP70" s="500">
        <v>4087.65</v>
      </c>
      <c r="AQ70" s="500">
        <v>466.46</v>
      </c>
      <c r="AR70" s="500">
        <v>0</v>
      </c>
      <c r="AS70" s="500">
        <v>35777.18</v>
      </c>
      <c r="AT70" s="500">
        <v>7187</v>
      </c>
      <c r="AU70" s="500">
        <v>4448.6000000000004</v>
      </c>
      <c r="AV70" s="500">
        <v>809.15</v>
      </c>
      <c r="AW70" s="500">
        <v>44123.91</v>
      </c>
      <c r="AX70" s="500">
        <v>4243.2</v>
      </c>
      <c r="AY70" s="500">
        <v>12219.74</v>
      </c>
      <c r="AZ70" s="500">
        <v>77040.789999999994</v>
      </c>
      <c r="BA70" s="500">
        <v>11318.62</v>
      </c>
      <c r="BB70" s="500">
        <v>0</v>
      </c>
      <c r="BC70" s="500">
        <v>9934.9699999999993</v>
      </c>
      <c r="BD70" s="500">
        <v>15384.25</v>
      </c>
      <c r="BE70" s="500">
        <v>18141.150000000001</v>
      </c>
      <c r="BF70" s="500">
        <v>92695.23</v>
      </c>
      <c r="BG70" s="500">
        <v>21869.360000000001</v>
      </c>
      <c r="BH70" s="500">
        <v>64864.22</v>
      </c>
      <c r="BI70" s="500">
        <v>49609.120000000003</v>
      </c>
      <c r="BJ70" s="500">
        <v>0</v>
      </c>
      <c r="BK70" s="500">
        <v>0</v>
      </c>
      <c r="BL70" s="500">
        <v>0</v>
      </c>
      <c r="BM70" s="500">
        <v>0</v>
      </c>
      <c r="BN70" s="500">
        <v>0</v>
      </c>
      <c r="BO70" s="501">
        <f t="shared" si="19"/>
        <v>2012442.6499999997</v>
      </c>
      <c r="BP70" s="501">
        <f t="shared" si="20"/>
        <v>-73684.029999999795</v>
      </c>
      <c r="BQ70" s="501">
        <f t="shared" si="14"/>
        <v>-16156.029999999795</v>
      </c>
      <c r="BR70" s="501">
        <f t="shared" si="15"/>
        <v>0</v>
      </c>
      <c r="BS70" s="501">
        <f t="shared" si="16"/>
        <v>-16156.029999999795</v>
      </c>
      <c r="BT70" s="500">
        <v>0</v>
      </c>
      <c r="BU70" s="500"/>
      <c r="BV70" s="500"/>
      <c r="BW70" s="500"/>
      <c r="BX70" s="501">
        <f t="shared" si="21"/>
        <v>0</v>
      </c>
      <c r="BY70" s="500"/>
      <c r="BZ70" s="500"/>
      <c r="CA70" s="500"/>
      <c r="CB70" s="500"/>
      <c r="CC70" s="501">
        <f t="shared" si="22"/>
        <v>0</v>
      </c>
      <c r="CD70" s="500">
        <f t="shared" si="23"/>
        <v>0</v>
      </c>
      <c r="CE70" s="224">
        <f t="shared" si="24"/>
        <v>0</v>
      </c>
      <c r="CF70" s="224">
        <f t="shared" si="17"/>
        <v>-16156.029999999795</v>
      </c>
      <c r="CI70" t="e">
        <f>_xlfn.XLOOKUP(D70,#REF!,#REF!)</f>
        <v>#REF!</v>
      </c>
      <c r="CJ70" t="e">
        <f>_xlfn.XLOOKUP(D70,#REF!,#REF!)</f>
        <v>#REF!</v>
      </c>
      <c r="CK70" t="e">
        <f t="shared" ref="CK70:CK89" si="25">CI70+CJ70</f>
        <v>#REF!</v>
      </c>
      <c r="CM70" s="224" t="e">
        <f t="shared" ref="CM70:CM89" si="26">CI70-BS70</f>
        <v>#REF!</v>
      </c>
      <c r="CN70" s="224" t="e">
        <f t="shared" ref="CN70:CO89" si="27">CJ70-CE70</f>
        <v>#REF!</v>
      </c>
      <c r="CO70" s="224" t="e">
        <f t="shared" si="27"/>
        <v>#REF!</v>
      </c>
    </row>
    <row r="71" spans="1:93">
      <c r="A71" s="507" t="s">
        <v>190</v>
      </c>
      <c r="B71" t="s">
        <v>129</v>
      </c>
      <c r="C71">
        <v>101311</v>
      </c>
      <c r="D71" s="3">
        <v>3022070</v>
      </c>
      <c r="E71" s="3">
        <v>2070</v>
      </c>
      <c r="F71">
        <v>10097</v>
      </c>
      <c r="G71">
        <v>90097</v>
      </c>
      <c r="H71">
        <v>938643</v>
      </c>
      <c r="I71">
        <v>308372</v>
      </c>
      <c r="J71">
        <v>0</v>
      </c>
      <c r="K71">
        <v>308372</v>
      </c>
      <c r="L71" s="500">
        <v>1445214.34</v>
      </c>
      <c r="M71" s="500">
        <v>0</v>
      </c>
      <c r="N71" s="500">
        <v>102072.2</v>
      </c>
      <c r="O71" s="500">
        <v>0</v>
      </c>
      <c r="P71" s="500">
        <v>110580.04</v>
      </c>
      <c r="Q71" s="500">
        <v>6931.43</v>
      </c>
      <c r="R71" s="500">
        <v>33739.75</v>
      </c>
      <c r="S71" s="500">
        <v>13530.05</v>
      </c>
      <c r="T71" s="500">
        <v>13042.83</v>
      </c>
      <c r="U71" s="500">
        <v>7888.52</v>
      </c>
      <c r="V71" s="500">
        <v>0</v>
      </c>
      <c r="W71" s="500">
        <v>0</v>
      </c>
      <c r="X71" s="500">
        <v>31801.239999999998</v>
      </c>
      <c r="Y71" s="500">
        <v>2219.0700000000002</v>
      </c>
      <c r="Z71" s="500">
        <v>0</v>
      </c>
      <c r="AA71" s="500">
        <v>0</v>
      </c>
      <c r="AB71" s="500">
        <v>0</v>
      </c>
      <c r="AC71" s="500">
        <v>0</v>
      </c>
      <c r="AD71" s="500">
        <v>0</v>
      </c>
      <c r="AE71" s="500">
        <v>18934.38</v>
      </c>
      <c r="AF71" s="500">
        <v>48422</v>
      </c>
      <c r="AG71" s="501">
        <f t="shared" si="18"/>
        <v>1834375.85</v>
      </c>
      <c r="AH71" s="500">
        <v>837676.54</v>
      </c>
      <c r="AI71" s="500">
        <v>352.79</v>
      </c>
      <c r="AJ71" s="500">
        <v>336590.7</v>
      </c>
      <c r="AK71" s="500">
        <v>59358.82</v>
      </c>
      <c r="AL71" s="500">
        <v>127104.26</v>
      </c>
      <c r="AM71" s="500">
        <v>0</v>
      </c>
      <c r="AN71" s="500">
        <v>38130</v>
      </c>
      <c r="AO71" s="500">
        <v>75159.509999999995</v>
      </c>
      <c r="AP71" s="500">
        <v>3615</v>
      </c>
      <c r="AQ71" s="500">
        <v>345.28</v>
      </c>
      <c r="AR71" s="500">
        <v>0</v>
      </c>
      <c r="AS71" s="500">
        <v>11826.9</v>
      </c>
      <c r="AT71" s="500">
        <v>1537.99</v>
      </c>
      <c r="AU71" s="500">
        <v>1729.52</v>
      </c>
      <c r="AV71" s="500">
        <v>5865.02</v>
      </c>
      <c r="AW71" s="500">
        <v>27337.27</v>
      </c>
      <c r="AX71" s="500">
        <v>25199.5</v>
      </c>
      <c r="AY71" s="500">
        <v>6949.23</v>
      </c>
      <c r="AZ71" s="500">
        <v>67327.210000000006</v>
      </c>
      <c r="BA71" s="500">
        <v>14097.3</v>
      </c>
      <c r="BB71" s="500">
        <v>0</v>
      </c>
      <c r="BC71" s="500">
        <v>13954.64</v>
      </c>
      <c r="BD71" s="500">
        <v>8791.52</v>
      </c>
      <c r="BE71" s="500">
        <v>5789.4</v>
      </c>
      <c r="BF71" s="500">
        <v>76687.3</v>
      </c>
      <c r="BG71" s="500">
        <v>7192.6</v>
      </c>
      <c r="BH71" s="500">
        <v>40626.629999999997</v>
      </c>
      <c r="BI71" s="500">
        <v>20639.830000000002</v>
      </c>
      <c r="BJ71" s="500">
        <v>0</v>
      </c>
      <c r="BK71" s="500">
        <v>0</v>
      </c>
      <c r="BL71" s="500">
        <v>30240</v>
      </c>
      <c r="BM71" s="500">
        <v>0</v>
      </c>
      <c r="BN71" s="500">
        <v>0</v>
      </c>
      <c r="BO71" s="501">
        <f t="shared" si="19"/>
        <v>1844124.76</v>
      </c>
      <c r="BP71" s="501">
        <f t="shared" si="20"/>
        <v>-9748.9099999999162</v>
      </c>
      <c r="BQ71" s="501">
        <f t="shared" si="14"/>
        <v>298623.09000000008</v>
      </c>
      <c r="BR71" s="501">
        <f t="shared" si="15"/>
        <v>0</v>
      </c>
      <c r="BS71" s="501">
        <f t="shared" si="16"/>
        <v>298623.09000000008</v>
      </c>
      <c r="BT71" s="500">
        <v>18368</v>
      </c>
      <c r="BU71" s="500">
        <v>6724.75</v>
      </c>
      <c r="BV71" s="500">
        <v>0</v>
      </c>
      <c r="BW71" s="500">
        <v>30240</v>
      </c>
      <c r="BX71" s="501">
        <f t="shared" si="21"/>
        <v>36964.75</v>
      </c>
      <c r="BY71" s="500">
        <v>0</v>
      </c>
      <c r="BZ71" s="500">
        <v>0</v>
      </c>
      <c r="CA71" s="500">
        <v>45831.33</v>
      </c>
      <c r="CB71" s="500">
        <v>9500.9</v>
      </c>
      <c r="CC71" s="501">
        <f t="shared" si="22"/>
        <v>55332.23</v>
      </c>
      <c r="CD71" s="500">
        <f t="shared" si="23"/>
        <v>-18367.480000000003</v>
      </c>
      <c r="CE71" s="224">
        <f t="shared" si="24"/>
        <v>0.51999999999679858</v>
      </c>
      <c r="CF71" s="224">
        <f t="shared" si="17"/>
        <v>298623.6100000001</v>
      </c>
      <c r="CI71" t="e">
        <f>_xlfn.XLOOKUP(D71,#REF!,#REF!)</f>
        <v>#REF!</v>
      </c>
      <c r="CJ71" t="e">
        <f>_xlfn.XLOOKUP(D71,#REF!,#REF!)</f>
        <v>#REF!</v>
      </c>
      <c r="CK71" t="e">
        <f t="shared" si="25"/>
        <v>#REF!</v>
      </c>
      <c r="CM71" s="224" t="e">
        <f t="shared" si="26"/>
        <v>#REF!</v>
      </c>
      <c r="CN71" s="224" t="e">
        <f t="shared" si="27"/>
        <v>#REF!</v>
      </c>
      <c r="CO71" s="224" t="e">
        <f t="shared" si="27"/>
        <v>#REF!</v>
      </c>
    </row>
    <row r="72" spans="1:93" s="502" customFormat="1">
      <c r="A72" s="508" t="s">
        <v>191</v>
      </c>
      <c r="B72" s="502" t="s">
        <v>129</v>
      </c>
      <c r="C72" s="502">
        <v>101328</v>
      </c>
      <c r="D72" s="503">
        <v>3023316</v>
      </c>
      <c r="E72" s="503">
        <v>3316</v>
      </c>
      <c r="F72" s="502">
        <v>10100</v>
      </c>
      <c r="G72" s="502">
        <v>90100</v>
      </c>
      <c r="H72" s="502">
        <v>938663</v>
      </c>
      <c r="I72" s="502">
        <v>-34610</v>
      </c>
      <c r="J72" s="502">
        <v>0</v>
      </c>
      <c r="K72" s="502">
        <v>-34610</v>
      </c>
      <c r="L72" s="504">
        <v>1112684.73</v>
      </c>
      <c r="M72" s="504">
        <v>0</v>
      </c>
      <c r="N72" s="504">
        <v>85754.6</v>
      </c>
      <c r="O72" s="504">
        <v>0</v>
      </c>
      <c r="P72" s="504">
        <v>28650.03</v>
      </c>
      <c r="Q72" s="504">
        <v>5346</v>
      </c>
      <c r="R72" s="504">
        <v>16628.919999999998</v>
      </c>
      <c r="S72" s="504">
        <v>0</v>
      </c>
      <c r="T72" s="504">
        <v>42040.66</v>
      </c>
      <c r="U72" s="504">
        <v>15911.7</v>
      </c>
      <c r="V72" s="504">
        <v>0</v>
      </c>
      <c r="W72" s="504">
        <v>0</v>
      </c>
      <c r="X72" s="504">
        <v>28518.01</v>
      </c>
      <c r="Y72" s="504">
        <v>16631.79</v>
      </c>
      <c r="Z72" s="504">
        <v>0</v>
      </c>
      <c r="AA72" s="504">
        <v>0</v>
      </c>
      <c r="AB72" s="504">
        <v>0</v>
      </c>
      <c r="AC72" s="504">
        <v>0</v>
      </c>
      <c r="AD72" s="504">
        <v>0</v>
      </c>
      <c r="AE72" s="504">
        <v>4675.63</v>
      </c>
      <c r="AF72" s="504">
        <v>54738</v>
      </c>
      <c r="AG72" s="505">
        <f t="shared" si="18"/>
        <v>1411580.0699999998</v>
      </c>
      <c r="AH72" s="504">
        <v>717793.62</v>
      </c>
      <c r="AI72" s="504">
        <v>0</v>
      </c>
      <c r="AJ72" s="504">
        <v>225366.49</v>
      </c>
      <c r="AK72" s="504">
        <v>34995.72</v>
      </c>
      <c r="AL72" s="504">
        <v>53397.75</v>
      </c>
      <c r="AM72" s="504">
        <v>0</v>
      </c>
      <c r="AN72" s="504">
        <v>53880.119999999995</v>
      </c>
      <c r="AO72" s="504">
        <v>10038.120000000001</v>
      </c>
      <c r="AP72" s="504">
        <v>3987.65</v>
      </c>
      <c r="AQ72" s="504">
        <v>0</v>
      </c>
      <c r="AR72" s="504">
        <v>-918</v>
      </c>
      <c r="AS72" s="504">
        <v>5167.09</v>
      </c>
      <c r="AT72" s="504">
        <v>1606.58</v>
      </c>
      <c r="AU72" s="504">
        <v>11018.71</v>
      </c>
      <c r="AV72" s="504">
        <v>2103.5100000000002</v>
      </c>
      <c r="AW72" s="504">
        <v>22990.33</v>
      </c>
      <c r="AX72" s="504">
        <v>4160</v>
      </c>
      <c r="AY72" s="504">
        <v>8887.83</v>
      </c>
      <c r="AZ72" s="504">
        <v>54324.97</v>
      </c>
      <c r="BA72" s="504">
        <v>10005.15</v>
      </c>
      <c r="BB72" s="504">
        <v>0</v>
      </c>
      <c r="BC72" s="504">
        <v>12152.29</v>
      </c>
      <c r="BD72" s="504">
        <v>6674</v>
      </c>
      <c r="BE72" s="504">
        <v>13439.38</v>
      </c>
      <c r="BF72" s="504">
        <v>80180.95</v>
      </c>
      <c r="BG72" s="504">
        <v>5289.52</v>
      </c>
      <c r="BH72" s="504">
        <v>32532.17</v>
      </c>
      <c r="BI72" s="504">
        <v>62706.82</v>
      </c>
      <c r="BJ72" s="504">
        <v>0</v>
      </c>
      <c r="BK72" s="504">
        <v>0</v>
      </c>
      <c r="BL72" s="504">
        <v>-15490</v>
      </c>
      <c r="BM72" s="504">
        <v>0</v>
      </c>
      <c r="BN72" s="504">
        <v>0</v>
      </c>
      <c r="BO72" s="505">
        <f t="shared" si="19"/>
        <v>1416290.77</v>
      </c>
      <c r="BP72" s="505">
        <f t="shared" si="20"/>
        <v>-4710.7000000001863</v>
      </c>
      <c r="BQ72" s="505">
        <f t="shared" si="14"/>
        <v>-39320.700000000186</v>
      </c>
      <c r="BR72" s="505">
        <f t="shared" si="15"/>
        <v>0</v>
      </c>
      <c r="BS72" s="505">
        <f t="shared" si="16"/>
        <v>-39320.700000000186</v>
      </c>
      <c r="BT72" s="504">
        <v>0</v>
      </c>
      <c r="BU72" s="504"/>
      <c r="BV72" s="504"/>
      <c r="BW72" s="504"/>
      <c r="BX72" s="505">
        <f t="shared" si="21"/>
        <v>0</v>
      </c>
      <c r="BY72" s="504"/>
      <c r="BZ72" s="504"/>
      <c r="CA72" s="504"/>
      <c r="CB72" s="504"/>
      <c r="CC72" s="505">
        <f t="shared" si="22"/>
        <v>0</v>
      </c>
      <c r="CD72" s="504">
        <f t="shared" si="23"/>
        <v>0</v>
      </c>
      <c r="CE72" s="506">
        <f t="shared" si="24"/>
        <v>0</v>
      </c>
      <c r="CF72" s="506">
        <f t="shared" si="17"/>
        <v>-39320.700000000186</v>
      </c>
      <c r="CI72" s="502" t="e">
        <f>_xlfn.XLOOKUP(D72,#REF!,#REF!)</f>
        <v>#REF!</v>
      </c>
      <c r="CJ72" s="502" t="e">
        <f>_xlfn.XLOOKUP(D72,#REF!,#REF!)</f>
        <v>#REF!</v>
      </c>
      <c r="CK72" s="502" t="e">
        <f t="shared" si="25"/>
        <v>#REF!</v>
      </c>
      <c r="CM72" s="506" t="e">
        <f t="shared" si="26"/>
        <v>#REF!</v>
      </c>
      <c r="CN72" s="506" t="e">
        <f t="shared" si="27"/>
        <v>#REF!</v>
      </c>
      <c r="CO72" s="506" t="e">
        <f t="shared" si="27"/>
        <v>#REF!</v>
      </c>
    </row>
    <row r="73" spans="1:93">
      <c r="A73" s="507" t="s">
        <v>192</v>
      </c>
      <c r="B73" t="s">
        <v>129</v>
      </c>
      <c r="C73">
        <v>101299</v>
      </c>
      <c r="D73" s="3">
        <v>3022055</v>
      </c>
      <c r="E73" s="3">
        <v>2055</v>
      </c>
      <c r="F73">
        <v>10101</v>
      </c>
      <c r="G73">
        <v>90101</v>
      </c>
      <c r="H73">
        <v>938638</v>
      </c>
      <c r="I73">
        <v>-134832</v>
      </c>
      <c r="J73">
        <v>0</v>
      </c>
      <c r="K73">
        <v>-134832</v>
      </c>
      <c r="L73" s="500">
        <v>1404475.28</v>
      </c>
      <c r="M73" s="500">
        <v>0</v>
      </c>
      <c r="N73" s="500">
        <v>79423.39</v>
      </c>
      <c r="O73" s="500">
        <v>0</v>
      </c>
      <c r="P73" s="500">
        <v>89482.47</v>
      </c>
      <c r="Q73" s="500">
        <v>15296.54</v>
      </c>
      <c r="R73" s="500">
        <v>94212.12</v>
      </c>
      <c r="S73" s="500">
        <v>2356.65</v>
      </c>
      <c r="T73" s="500">
        <v>18621.73</v>
      </c>
      <c r="U73" s="500">
        <v>8198.41</v>
      </c>
      <c r="V73" s="500">
        <v>0</v>
      </c>
      <c r="W73" s="500">
        <v>0</v>
      </c>
      <c r="X73" s="500">
        <v>23839.05</v>
      </c>
      <c r="Y73" s="500">
        <v>7091.06</v>
      </c>
      <c r="Z73" s="500">
        <v>0</v>
      </c>
      <c r="AA73" s="500">
        <v>0</v>
      </c>
      <c r="AB73" s="500">
        <v>0</v>
      </c>
      <c r="AC73" s="500">
        <v>0</v>
      </c>
      <c r="AD73" s="500">
        <v>0</v>
      </c>
      <c r="AE73" s="500">
        <v>16776.009999999998</v>
      </c>
      <c r="AF73" s="500">
        <v>44041</v>
      </c>
      <c r="AG73" s="501">
        <f t="shared" si="18"/>
        <v>1803813.7099999997</v>
      </c>
      <c r="AH73" s="500">
        <v>814118.76</v>
      </c>
      <c r="AI73" s="500">
        <v>0</v>
      </c>
      <c r="AJ73" s="500">
        <v>430093.98</v>
      </c>
      <c r="AK73" s="500">
        <v>34785.300000000003</v>
      </c>
      <c r="AL73" s="500">
        <v>41602.370000000003</v>
      </c>
      <c r="AM73" s="500">
        <v>0</v>
      </c>
      <c r="AN73" s="500">
        <v>46913.55</v>
      </c>
      <c r="AO73" s="500">
        <v>6161.76</v>
      </c>
      <c r="AP73" s="500">
        <v>1045</v>
      </c>
      <c r="AQ73" s="500">
        <v>368.52</v>
      </c>
      <c r="AR73" s="500">
        <v>-816</v>
      </c>
      <c r="AS73" s="500">
        <v>18034.93</v>
      </c>
      <c r="AT73" s="500">
        <v>4258.3999999999996</v>
      </c>
      <c r="AU73" s="500">
        <v>33739.269999999997</v>
      </c>
      <c r="AV73" s="500">
        <v>12191.33</v>
      </c>
      <c r="AW73" s="500">
        <v>48154.69</v>
      </c>
      <c r="AX73" s="500">
        <v>32448.73</v>
      </c>
      <c r="AY73" s="500">
        <v>10053.27</v>
      </c>
      <c r="AZ73" s="500">
        <v>91713.95</v>
      </c>
      <c r="BA73" s="500">
        <v>6282.45</v>
      </c>
      <c r="BB73" s="500">
        <v>0</v>
      </c>
      <c r="BC73" s="500">
        <v>10646.9</v>
      </c>
      <c r="BD73" s="500">
        <v>3248.38</v>
      </c>
      <c r="BE73" s="500">
        <v>3675.58</v>
      </c>
      <c r="BF73" s="500">
        <v>66230.55</v>
      </c>
      <c r="BG73" s="500">
        <v>39072.07</v>
      </c>
      <c r="BH73" s="500">
        <v>212513.79</v>
      </c>
      <c r="BI73" s="500">
        <v>35007.21</v>
      </c>
      <c r="BJ73" s="500">
        <v>200</v>
      </c>
      <c r="BK73" s="500">
        <v>0</v>
      </c>
      <c r="BL73" s="500">
        <v>0</v>
      </c>
      <c r="BM73" s="500">
        <v>0</v>
      </c>
      <c r="BN73" s="500">
        <v>0</v>
      </c>
      <c r="BO73" s="501">
        <f t="shared" si="19"/>
        <v>2001744.74</v>
      </c>
      <c r="BP73" s="501">
        <f t="shared" si="20"/>
        <v>-197931.03000000026</v>
      </c>
      <c r="BQ73" s="501">
        <f t="shared" si="14"/>
        <v>-332763.03000000026</v>
      </c>
      <c r="BR73" s="501">
        <f t="shared" si="15"/>
        <v>0</v>
      </c>
      <c r="BS73" s="501">
        <f t="shared" si="16"/>
        <v>-332763.03000000026</v>
      </c>
      <c r="BT73" s="500">
        <v>32761</v>
      </c>
      <c r="BU73" s="500">
        <v>6589.75</v>
      </c>
      <c r="BV73" s="500">
        <v>0</v>
      </c>
      <c r="BW73" s="500">
        <v>0</v>
      </c>
      <c r="BX73" s="501">
        <f t="shared" si="21"/>
        <v>6589.75</v>
      </c>
      <c r="BY73" s="500">
        <v>0</v>
      </c>
      <c r="BZ73" s="500">
        <v>0</v>
      </c>
      <c r="CA73" s="500">
        <v>0</v>
      </c>
      <c r="CB73" s="500">
        <v>15730.72</v>
      </c>
      <c r="CC73" s="501">
        <f t="shared" si="22"/>
        <v>15730.72</v>
      </c>
      <c r="CD73" s="500">
        <f t="shared" si="23"/>
        <v>-9140.9699999999993</v>
      </c>
      <c r="CE73" s="224">
        <f t="shared" si="24"/>
        <v>23620.03</v>
      </c>
      <c r="CF73" s="224">
        <f t="shared" si="17"/>
        <v>-309143.00000000023</v>
      </c>
      <c r="CM73" s="224"/>
      <c r="CN73" s="224"/>
      <c r="CO73" s="224"/>
    </row>
    <row r="74" spans="1:93" s="502" customFormat="1">
      <c r="A74" s="508" t="s">
        <v>193</v>
      </c>
      <c r="B74" s="502" t="s">
        <v>129</v>
      </c>
      <c r="C74" s="502">
        <v>101301</v>
      </c>
      <c r="D74" s="503">
        <v>3022057</v>
      </c>
      <c r="E74" s="503">
        <v>2057</v>
      </c>
      <c r="F74" s="502">
        <v>10103</v>
      </c>
      <c r="G74" s="502">
        <v>90103</v>
      </c>
      <c r="H74" s="502">
        <v>938640</v>
      </c>
      <c r="I74" s="502">
        <v>234098</v>
      </c>
      <c r="J74" s="502">
        <v>12537</v>
      </c>
      <c r="K74" s="502">
        <v>246635</v>
      </c>
      <c r="L74" s="504">
        <v>3054511.95</v>
      </c>
      <c r="M74" s="504">
        <v>0</v>
      </c>
      <c r="N74" s="504">
        <v>209531.15</v>
      </c>
      <c r="O74" s="504">
        <v>0</v>
      </c>
      <c r="P74" s="504">
        <v>291115.03000000003</v>
      </c>
      <c r="Q74" s="504">
        <v>7300</v>
      </c>
      <c r="R74" s="504">
        <v>100875.63</v>
      </c>
      <c r="S74" s="504">
        <v>13327.5</v>
      </c>
      <c r="T74" s="504">
        <v>62022.03</v>
      </c>
      <c r="U74" s="504">
        <v>9629.7199999999993</v>
      </c>
      <c r="V74" s="504">
        <v>0</v>
      </c>
      <c r="W74" s="504">
        <v>8063</v>
      </c>
      <c r="X74" s="504">
        <v>31029.93</v>
      </c>
      <c r="Y74" s="504">
        <v>15292.22</v>
      </c>
      <c r="Z74" s="504">
        <v>0</v>
      </c>
      <c r="AA74" s="504">
        <v>232107.6</v>
      </c>
      <c r="AB74" s="504">
        <v>2074</v>
      </c>
      <c r="AC74" s="504">
        <v>0</v>
      </c>
      <c r="AD74" s="504">
        <v>0</v>
      </c>
      <c r="AE74" s="504">
        <v>29108.5</v>
      </c>
      <c r="AF74" s="504">
        <v>87765</v>
      </c>
      <c r="AG74" s="505">
        <f t="shared" si="18"/>
        <v>4153753.2600000002</v>
      </c>
      <c r="AH74" s="504">
        <v>1498759.13</v>
      </c>
      <c r="AI74" s="504">
        <v>0</v>
      </c>
      <c r="AJ74" s="504">
        <v>858538.86</v>
      </c>
      <c r="AK74" s="504">
        <v>71654.41</v>
      </c>
      <c r="AL74" s="504">
        <v>117895.83</v>
      </c>
      <c r="AM74" s="504">
        <v>0</v>
      </c>
      <c r="AN74" s="504">
        <v>92617.01</v>
      </c>
      <c r="AO74" s="504">
        <v>14326.94</v>
      </c>
      <c r="AP74" s="504">
        <v>7154.59</v>
      </c>
      <c r="AQ74" s="504">
        <v>836.64</v>
      </c>
      <c r="AR74" s="504">
        <v>0</v>
      </c>
      <c r="AS74" s="504">
        <v>23149.06</v>
      </c>
      <c r="AT74" s="504">
        <v>11013.98</v>
      </c>
      <c r="AU74" s="504">
        <v>24679.01</v>
      </c>
      <c r="AV74" s="504">
        <v>13685.83</v>
      </c>
      <c r="AW74" s="504">
        <v>73020.479999999996</v>
      </c>
      <c r="AX74" s="504">
        <v>53000</v>
      </c>
      <c r="AY74" s="504">
        <v>19359.61</v>
      </c>
      <c r="AZ74" s="504">
        <v>92034.58</v>
      </c>
      <c r="BA74" s="504">
        <v>10496.37</v>
      </c>
      <c r="BB74" s="504">
        <v>0</v>
      </c>
      <c r="BC74" s="504">
        <v>20642.29</v>
      </c>
      <c r="BD74" s="504">
        <v>17861.759999999998</v>
      </c>
      <c r="BE74" s="504">
        <v>22320.57</v>
      </c>
      <c r="BF74" s="504">
        <v>140239.94</v>
      </c>
      <c r="BG74" s="504">
        <v>202213.65</v>
      </c>
      <c r="BH74" s="504">
        <v>282831.84999999998</v>
      </c>
      <c r="BI74" s="504">
        <v>32329.17</v>
      </c>
      <c r="BJ74" s="504">
        <v>0</v>
      </c>
      <c r="BK74" s="504">
        <v>0</v>
      </c>
      <c r="BL74" s="504">
        <v>0</v>
      </c>
      <c r="BM74" s="504">
        <v>167216.91</v>
      </c>
      <c r="BN74" s="504">
        <v>62115.76</v>
      </c>
      <c r="BO74" s="505">
        <f t="shared" si="19"/>
        <v>3929994.2299999991</v>
      </c>
      <c r="BP74" s="505">
        <f t="shared" si="20"/>
        <v>223759.03000000119</v>
      </c>
      <c r="BQ74" s="505">
        <f t="shared" si="14"/>
        <v>453008.10000000068</v>
      </c>
      <c r="BR74" s="505">
        <f t="shared" si="15"/>
        <v>17385.93</v>
      </c>
      <c r="BS74" s="505">
        <f t="shared" si="16"/>
        <v>470394.03000000119</v>
      </c>
      <c r="BT74" s="504">
        <v>48620</v>
      </c>
      <c r="BU74" s="504">
        <v>9773.9500000000007</v>
      </c>
      <c r="BV74" s="504">
        <v>0</v>
      </c>
      <c r="BW74" s="504">
        <v>0</v>
      </c>
      <c r="BX74" s="505">
        <f t="shared" si="21"/>
        <v>9773.9500000000007</v>
      </c>
      <c r="BY74" s="504">
        <v>0</v>
      </c>
      <c r="BZ74" s="504">
        <v>0</v>
      </c>
      <c r="CA74" s="504">
        <v>0</v>
      </c>
      <c r="CB74" s="504">
        <v>35194.559999999998</v>
      </c>
      <c r="CC74" s="505">
        <f t="shared" si="22"/>
        <v>35194.559999999998</v>
      </c>
      <c r="CD74" s="504">
        <f t="shared" si="23"/>
        <v>-25420.609999999997</v>
      </c>
      <c r="CE74" s="506">
        <f t="shared" si="24"/>
        <v>23199.390000000003</v>
      </c>
      <c r="CF74" s="506">
        <f t="shared" si="17"/>
        <v>493593.42000000121</v>
      </c>
      <c r="CI74" s="502" t="e">
        <f>_xlfn.XLOOKUP(D74,#REF!,#REF!)</f>
        <v>#REF!</v>
      </c>
      <c r="CJ74" s="502" t="e">
        <f>_xlfn.XLOOKUP(D74,#REF!,#REF!)</f>
        <v>#REF!</v>
      </c>
      <c r="CK74" s="502" t="e">
        <f t="shared" si="25"/>
        <v>#REF!</v>
      </c>
      <c r="CM74" s="506" t="e">
        <f t="shared" si="26"/>
        <v>#REF!</v>
      </c>
      <c r="CN74" s="506" t="e">
        <f t="shared" si="27"/>
        <v>#REF!</v>
      </c>
      <c r="CO74" s="506" t="e">
        <f t="shared" si="27"/>
        <v>#REF!</v>
      </c>
    </row>
    <row r="75" spans="1:93">
      <c r="A75" s="507" t="s">
        <v>194</v>
      </c>
      <c r="B75" t="s">
        <v>129</v>
      </c>
      <c r="C75">
        <v>131617</v>
      </c>
      <c r="D75" s="3">
        <v>3022076</v>
      </c>
      <c r="E75" s="3">
        <v>2076</v>
      </c>
      <c r="F75">
        <v>10124</v>
      </c>
      <c r="G75">
        <v>90124</v>
      </c>
      <c r="H75">
        <v>938648</v>
      </c>
      <c r="I75">
        <v>157115</v>
      </c>
      <c r="J75">
        <v>0</v>
      </c>
      <c r="K75">
        <v>157115</v>
      </c>
      <c r="L75" s="500">
        <v>1964786.15</v>
      </c>
      <c r="M75" s="500">
        <v>0</v>
      </c>
      <c r="N75" s="500">
        <v>140890.43</v>
      </c>
      <c r="O75" s="500">
        <v>0</v>
      </c>
      <c r="P75" s="500">
        <v>164415.03</v>
      </c>
      <c r="Q75" s="500">
        <v>200</v>
      </c>
      <c r="R75" s="500">
        <v>98702.84</v>
      </c>
      <c r="S75" s="500">
        <v>79205.5</v>
      </c>
      <c r="T75" s="500">
        <v>29458.83</v>
      </c>
      <c r="U75" s="500">
        <v>11223.29</v>
      </c>
      <c r="V75" s="500">
        <v>0</v>
      </c>
      <c r="W75" s="500">
        <v>890</v>
      </c>
      <c r="X75" s="500">
        <v>8531.5</v>
      </c>
      <c r="Y75" s="500">
        <v>4224.54</v>
      </c>
      <c r="Z75" s="500">
        <v>0</v>
      </c>
      <c r="AA75" s="500">
        <v>0</v>
      </c>
      <c r="AB75" s="500">
        <v>0</v>
      </c>
      <c r="AC75" s="500">
        <v>0</v>
      </c>
      <c r="AD75" s="500">
        <v>0</v>
      </c>
      <c r="AE75" s="500">
        <v>27691.26</v>
      </c>
      <c r="AF75" s="500">
        <v>57699</v>
      </c>
      <c r="AG75" s="501">
        <f t="shared" si="18"/>
        <v>2587918.3699999996</v>
      </c>
      <c r="AH75" s="500">
        <v>1008286.01</v>
      </c>
      <c r="AI75" s="500">
        <v>2478.4499999999998</v>
      </c>
      <c r="AJ75" s="500">
        <v>423943.89</v>
      </c>
      <c r="AK75" s="500">
        <v>9880.16</v>
      </c>
      <c r="AL75" s="500">
        <v>216622.98</v>
      </c>
      <c r="AM75" s="500">
        <v>0</v>
      </c>
      <c r="AN75" s="500">
        <v>49178.07</v>
      </c>
      <c r="AO75" s="500">
        <v>10714.41</v>
      </c>
      <c r="AP75" s="500">
        <v>5610.18</v>
      </c>
      <c r="AQ75" s="500">
        <v>534.52</v>
      </c>
      <c r="AR75" s="500">
        <v>0</v>
      </c>
      <c r="AS75" s="500">
        <v>23134.69</v>
      </c>
      <c r="AT75" s="500">
        <v>3456.86</v>
      </c>
      <c r="AU75" s="500">
        <v>80433.55</v>
      </c>
      <c r="AV75" s="500">
        <v>9494.76</v>
      </c>
      <c r="AW75" s="500">
        <v>99735.23</v>
      </c>
      <c r="AX75" s="500">
        <v>31250</v>
      </c>
      <c r="AY75" s="500">
        <v>10850.02</v>
      </c>
      <c r="AZ75" s="500">
        <v>44780.4</v>
      </c>
      <c r="BA75" s="500">
        <v>28386.639999999999</v>
      </c>
      <c r="BB75" s="500">
        <v>0</v>
      </c>
      <c r="BC75" s="500">
        <v>15094.03</v>
      </c>
      <c r="BD75" s="500">
        <v>13758.07</v>
      </c>
      <c r="BE75" s="500">
        <v>7778.01</v>
      </c>
      <c r="BF75" s="500">
        <v>103567.79</v>
      </c>
      <c r="BG75" s="500">
        <v>67328</v>
      </c>
      <c r="BH75" s="500">
        <v>242556.53</v>
      </c>
      <c r="BI75" s="500">
        <v>30618.19</v>
      </c>
      <c r="BJ75" s="500">
        <v>0</v>
      </c>
      <c r="BK75" s="500">
        <v>0</v>
      </c>
      <c r="BL75" s="500">
        <v>25003</v>
      </c>
      <c r="BM75" s="500">
        <v>0</v>
      </c>
      <c r="BN75" s="500">
        <v>0</v>
      </c>
      <c r="BO75" s="501">
        <f t="shared" si="19"/>
        <v>2564474.4399999995</v>
      </c>
      <c r="BP75" s="501">
        <f t="shared" si="20"/>
        <v>23443.930000000168</v>
      </c>
      <c r="BQ75" s="501">
        <f t="shared" si="14"/>
        <v>180558.93000000017</v>
      </c>
      <c r="BR75" s="501">
        <f t="shared" si="15"/>
        <v>0</v>
      </c>
      <c r="BS75" s="501">
        <f t="shared" si="16"/>
        <v>180558.93000000017</v>
      </c>
      <c r="BT75" s="500">
        <v>24093</v>
      </c>
      <c r="BU75" s="500">
        <v>7998.25</v>
      </c>
      <c r="BV75" s="500">
        <v>20375</v>
      </c>
      <c r="BW75" s="500">
        <v>25003</v>
      </c>
      <c r="BX75" s="501">
        <f t="shared" si="21"/>
        <v>53376.25</v>
      </c>
      <c r="BY75" s="500">
        <v>0</v>
      </c>
      <c r="BZ75" s="500">
        <v>41237.599999999999</v>
      </c>
      <c r="CA75" s="500">
        <v>7875</v>
      </c>
      <c r="CB75" s="500">
        <v>7949.6</v>
      </c>
      <c r="CC75" s="501">
        <f t="shared" si="22"/>
        <v>57062.2</v>
      </c>
      <c r="CD75" s="500">
        <f t="shared" si="23"/>
        <v>-3685.9499999999971</v>
      </c>
      <c r="CE75" s="224">
        <f t="shared" si="24"/>
        <v>20407.050000000003</v>
      </c>
      <c r="CF75" s="224">
        <f t="shared" si="17"/>
        <v>200965.98000000016</v>
      </c>
      <c r="CI75" t="e">
        <f>_xlfn.XLOOKUP(D75,#REF!,#REF!)</f>
        <v>#REF!</v>
      </c>
      <c r="CJ75" t="e">
        <f>_xlfn.XLOOKUP(D75,#REF!,#REF!)</f>
        <v>#REF!</v>
      </c>
      <c r="CK75" t="e">
        <f t="shared" si="25"/>
        <v>#REF!</v>
      </c>
      <c r="CM75" s="224" t="e">
        <f t="shared" si="26"/>
        <v>#REF!</v>
      </c>
      <c r="CN75" s="224" t="e">
        <f t="shared" si="27"/>
        <v>#REF!</v>
      </c>
      <c r="CO75" s="224" t="e">
        <f t="shared" si="27"/>
        <v>#REF!</v>
      </c>
    </row>
    <row r="76" spans="1:93">
      <c r="A76" s="507" t="s">
        <v>195</v>
      </c>
      <c r="B76" t="s">
        <v>129</v>
      </c>
      <c r="C76">
        <v>101304</v>
      </c>
      <c r="D76" s="3">
        <v>3022060</v>
      </c>
      <c r="E76" s="3">
        <v>2060</v>
      </c>
      <c r="F76">
        <v>10105</v>
      </c>
      <c r="G76">
        <v>90105</v>
      </c>
      <c r="H76">
        <v>938641</v>
      </c>
      <c r="I76">
        <v>222904</v>
      </c>
      <c r="J76">
        <v>0</v>
      </c>
      <c r="K76">
        <v>222904</v>
      </c>
      <c r="L76" s="500">
        <v>2860467.13</v>
      </c>
      <c r="M76" s="500">
        <v>0</v>
      </c>
      <c r="N76" s="500">
        <v>181528.21</v>
      </c>
      <c r="O76" s="500">
        <v>0</v>
      </c>
      <c r="P76" s="500">
        <v>186330.01</v>
      </c>
      <c r="Q76" s="500">
        <v>1600</v>
      </c>
      <c r="R76" s="500">
        <v>68148.990000000005</v>
      </c>
      <c r="S76" s="500">
        <v>103368.96000000001</v>
      </c>
      <c r="T76" s="500">
        <v>63037.35</v>
      </c>
      <c r="U76" s="500">
        <v>9497.4</v>
      </c>
      <c r="V76" s="500">
        <v>0</v>
      </c>
      <c r="W76" s="500">
        <v>0</v>
      </c>
      <c r="X76" s="500">
        <v>41722.019999999997</v>
      </c>
      <c r="Y76" s="500">
        <v>6451.25</v>
      </c>
      <c r="Z76" s="500">
        <v>0</v>
      </c>
      <c r="AA76" s="500">
        <v>0</v>
      </c>
      <c r="AB76" s="500">
        <v>0</v>
      </c>
      <c r="AC76" s="500">
        <v>0</v>
      </c>
      <c r="AD76" s="500">
        <v>0</v>
      </c>
      <c r="AE76" s="500">
        <v>22172.5</v>
      </c>
      <c r="AF76" s="500">
        <v>88763</v>
      </c>
      <c r="AG76" s="501">
        <f t="shared" si="18"/>
        <v>3633086.82</v>
      </c>
      <c r="AH76" s="500">
        <v>1326283.43</v>
      </c>
      <c r="AI76" s="500">
        <v>0</v>
      </c>
      <c r="AJ76" s="500">
        <v>958232.6</v>
      </c>
      <c r="AK76" s="500">
        <v>72989.320000000007</v>
      </c>
      <c r="AL76" s="500">
        <v>104032.24</v>
      </c>
      <c r="AM76" s="500">
        <v>0</v>
      </c>
      <c r="AN76" s="500">
        <v>119989.17</v>
      </c>
      <c r="AO76" s="500">
        <v>16021.99</v>
      </c>
      <c r="AP76" s="500">
        <v>2126.71</v>
      </c>
      <c r="AQ76" s="500">
        <v>700.52</v>
      </c>
      <c r="AR76" s="500">
        <v>0</v>
      </c>
      <c r="AS76" s="500">
        <v>53296.97</v>
      </c>
      <c r="AT76" s="500">
        <v>9307</v>
      </c>
      <c r="AU76" s="500">
        <v>46469.05</v>
      </c>
      <c r="AV76" s="500">
        <v>9473.9599999999991</v>
      </c>
      <c r="AW76" s="500">
        <v>191518.35</v>
      </c>
      <c r="AX76" s="500">
        <v>93100</v>
      </c>
      <c r="AY76" s="500">
        <v>16544.95</v>
      </c>
      <c r="AZ76" s="500">
        <v>85422.37</v>
      </c>
      <c r="BA76" s="500">
        <v>19053.099999999999</v>
      </c>
      <c r="BB76" s="500">
        <v>0</v>
      </c>
      <c r="BC76" s="500">
        <v>14660.94</v>
      </c>
      <c r="BD76" s="500">
        <v>17731.580000000002</v>
      </c>
      <c r="BE76" s="500">
        <v>10914.52</v>
      </c>
      <c r="BF76" s="500">
        <v>144492.89000000001</v>
      </c>
      <c r="BG76" s="500">
        <v>56506.59</v>
      </c>
      <c r="BH76" s="500">
        <v>119168.43</v>
      </c>
      <c r="BI76" s="500">
        <v>55929.87</v>
      </c>
      <c r="BJ76" s="500">
        <v>0</v>
      </c>
      <c r="BK76" s="500">
        <v>0</v>
      </c>
      <c r="BL76" s="500">
        <v>0</v>
      </c>
      <c r="BM76" s="500">
        <v>0</v>
      </c>
      <c r="BN76" s="500">
        <v>0</v>
      </c>
      <c r="BO76" s="501">
        <f t="shared" si="19"/>
        <v>3543966.5500000007</v>
      </c>
      <c r="BP76" s="501">
        <f t="shared" si="20"/>
        <v>89120.269999999087</v>
      </c>
      <c r="BQ76" s="501">
        <f t="shared" si="14"/>
        <v>312024.26999999909</v>
      </c>
      <c r="BR76" s="501">
        <f t="shared" si="15"/>
        <v>0</v>
      </c>
      <c r="BS76" s="501">
        <f t="shared" si="16"/>
        <v>312024.26999999909</v>
      </c>
      <c r="BT76" s="500">
        <v>34699</v>
      </c>
      <c r="BU76" s="500">
        <v>9087.25</v>
      </c>
      <c r="BV76" s="500">
        <v>49189.37</v>
      </c>
      <c r="BW76" s="500">
        <v>0</v>
      </c>
      <c r="BX76" s="501">
        <f t="shared" si="21"/>
        <v>58276.62</v>
      </c>
      <c r="BY76" s="500">
        <v>0</v>
      </c>
      <c r="BZ76" s="500">
        <v>8239</v>
      </c>
      <c r="CA76" s="500">
        <v>61001.47</v>
      </c>
      <c r="CB76" s="500">
        <v>7668</v>
      </c>
      <c r="CC76" s="501">
        <f t="shared" si="22"/>
        <v>76908.47</v>
      </c>
      <c r="CD76" s="500">
        <f t="shared" si="23"/>
        <v>-18631.849999999999</v>
      </c>
      <c r="CE76" s="224">
        <f t="shared" si="24"/>
        <v>16067.150000000001</v>
      </c>
      <c r="CF76" s="224">
        <f t="shared" si="17"/>
        <v>328091.41999999911</v>
      </c>
      <c r="CI76" t="e">
        <f>_xlfn.XLOOKUP(D76,#REF!,#REF!)</f>
        <v>#REF!</v>
      </c>
      <c r="CJ76" t="e">
        <f>_xlfn.XLOOKUP(D76,#REF!,#REF!)</f>
        <v>#REF!</v>
      </c>
      <c r="CK76" t="e">
        <f t="shared" si="25"/>
        <v>#REF!</v>
      </c>
      <c r="CM76" s="224" t="e">
        <f t="shared" si="26"/>
        <v>#REF!</v>
      </c>
      <c r="CN76" s="224" t="e">
        <f t="shared" si="27"/>
        <v>#REF!</v>
      </c>
      <c r="CO76" s="224" t="e">
        <f t="shared" si="27"/>
        <v>#REF!</v>
      </c>
    </row>
    <row r="77" spans="1:93">
      <c r="A77" s="507" t="s">
        <v>196</v>
      </c>
      <c r="B77" t="s">
        <v>129</v>
      </c>
      <c r="C77">
        <v>134677</v>
      </c>
      <c r="D77" s="3">
        <v>3023518</v>
      </c>
      <c r="E77" s="3">
        <v>3518</v>
      </c>
      <c r="F77">
        <v>10123</v>
      </c>
      <c r="G77">
        <v>90123</v>
      </c>
      <c r="H77">
        <v>938679</v>
      </c>
      <c r="I77">
        <v>-58318</v>
      </c>
      <c r="J77">
        <v>0</v>
      </c>
      <c r="K77">
        <v>-58318</v>
      </c>
      <c r="L77" s="500">
        <v>2425306.7000000002</v>
      </c>
      <c r="M77" s="500">
        <v>0</v>
      </c>
      <c r="N77" s="500">
        <v>73101.820000000007</v>
      </c>
      <c r="O77" s="500">
        <v>0</v>
      </c>
      <c r="P77" s="500">
        <v>229841.01</v>
      </c>
      <c r="Q77" s="500">
        <v>31004.43</v>
      </c>
      <c r="R77" s="500">
        <v>41736.400000000001</v>
      </c>
      <c r="S77" s="500">
        <v>2831.18</v>
      </c>
      <c r="T77" s="500">
        <v>20452.75</v>
      </c>
      <c r="U77" s="500">
        <v>7603.18</v>
      </c>
      <c r="V77" s="500">
        <v>0</v>
      </c>
      <c r="W77" s="500">
        <v>0</v>
      </c>
      <c r="X77" s="500">
        <v>21093</v>
      </c>
      <c r="Y77" s="500">
        <v>555</v>
      </c>
      <c r="Z77" s="500">
        <v>0</v>
      </c>
      <c r="AA77" s="500">
        <v>0</v>
      </c>
      <c r="AB77" s="500">
        <v>0</v>
      </c>
      <c r="AC77" s="500">
        <v>0</v>
      </c>
      <c r="AD77" s="500">
        <v>0</v>
      </c>
      <c r="AE77" s="500">
        <v>36762.5</v>
      </c>
      <c r="AF77" s="500">
        <v>52436</v>
      </c>
      <c r="AG77" s="501">
        <f t="shared" si="18"/>
        <v>2942723.9700000007</v>
      </c>
      <c r="AH77" s="500">
        <v>1355891.22</v>
      </c>
      <c r="AI77" s="500">
        <v>0</v>
      </c>
      <c r="AJ77" s="500">
        <v>703753.06</v>
      </c>
      <c r="AK77" s="500">
        <v>15788.48</v>
      </c>
      <c r="AL77" s="500">
        <v>52340.71</v>
      </c>
      <c r="AM77" s="500">
        <v>0</v>
      </c>
      <c r="AN77" s="500">
        <v>162382.97</v>
      </c>
      <c r="AO77" s="500">
        <v>23741.05</v>
      </c>
      <c r="AP77" s="500">
        <v>2715.38</v>
      </c>
      <c r="AQ77" s="500">
        <v>639.1</v>
      </c>
      <c r="AR77" s="500">
        <v>0</v>
      </c>
      <c r="AS77" s="500">
        <v>20859.96</v>
      </c>
      <c r="AT77" s="500">
        <v>3468.58</v>
      </c>
      <c r="AU77" s="500">
        <v>62584.29</v>
      </c>
      <c r="AV77" s="500">
        <v>4752.05</v>
      </c>
      <c r="AW77" s="500">
        <v>80895.990000000005</v>
      </c>
      <c r="AX77" s="500">
        <v>34500</v>
      </c>
      <c r="AY77" s="500">
        <v>4019.44</v>
      </c>
      <c r="AZ77" s="500">
        <v>40127.199999999997</v>
      </c>
      <c r="BA77" s="500">
        <v>18102.53</v>
      </c>
      <c r="BB77" s="500">
        <v>0</v>
      </c>
      <c r="BC77" s="500">
        <v>25301.55</v>
      </c>
      <c r="BD77" s="500">
        <v>14972.45</v>
      </c>
      <c r="BE77" s="500">
        <v>8115.14</v>
      </c>
      <c r="BF77" s="500">
        <v>141496.56</v>
      </c>
      <c r="BG77" s="500">
        <v>78997.13</v>
      </c>
      <c r="BH77" s="500">
        <v>183042.81</v>
      </c>
      <c r="BI77" s="500">
        <v>58508.52</v>
      </c>
      <c r="BJ77" s="500">
        <v>0</v>
      </c>
      <c r="BK77" s="500">
        <v>0</v>
      </c>
      <c r="BL77" s="500">
        <v>0</v>
      </c>
      <c r="BM77" s="500">
        <v>0</v>
      </c>
      <c r="BN77" s="500">
        <v>0</v>
      </c>
      <c r="BO77" s="501">
        <f t="shared" si="19"/>
        <v>3096996.1700000004</v>
      </c>
      <c r="BP77" s="501">
        <f t="shared" si="20"/>
        <v>-154272.19999999972</v>
      </c>
      <c r="BQ77" s="501">
        <f t="shared" si="14"/>
        <v>-212590.19999999972</v>
      </c>
      <c r="BR77" s="501">
        <f t="shared" si="15"/>
        <v>0</v>
      </c>
      <c r="BS77" s="501">
        <f t="shared" si="16"/>
        <v>-212590.19999999972</v>
      </c>
      <c r="BT77" s="500">
        <v>21324</v>
      </c>
      <c r="BU77" s="500">
        <v>8828.5</v>
      </c>
      <c r="BV77" s="500">
        <v>0</v>
      </c>
      <c r="BW77" s="500">
        <v>0</v>
      </c>
      <c r="BX77" s="501">
        <f t="shared" si="21"/>
        <v>8828.5</v>
      </c>
      <c r="BY77" s="500">
        <v>0</v>
      </c>
      <c r="BZ77" s="500">
        <v>0</v>
      </c>
      <c r="CA77" s="500">
        <v>0</v>
      </c>
      <c r="CB77" s="500">
        <v>2153.66</v>
      </c>
      <c r="CC77" s="501">
        <f t="shared" si="22"/>
        <v>2153.66</v>
      </c>
      <c r="CD77" s="500">
        <f t="shared" si="23"/>
        <v>6674.84</v>
      </c>
      <c r="CE77" s="224">
        <f t="shared" si="24"/>
        <v>27998.84</v>
      </c>
      <c r="CF77" s="224">
        <f t="shared" si="17"/>
        <v>-184591.35999999972</v>
      </c>
      <c r="CI77" t="e">
        <f>_xlfn.XLOOKUP(D77,#REF!,#REF!)</f>
        <v>#REF!</v>
      </c>
      <c r="CJ77" t="e">
        <f>_xlfn.XLOOKUP(D77,#REF!,#REF!)</f>
        <v>#REF!</v>
      </c>
      <c r="CK77" t="e">
        <f t="shared" si="25"/>
        <v>#REF!</v>
      </c>
      <c r="CM77" s="224" t="e">
        <f t="shared" si="26"/>
        <v>#REF!</v>
      </c>
      <c r="CN77" s="224" t="e">
        <f t="shared" si="27"/>
        <v>#REF!</v>
      </c>
      <c r="CO77" s="224" t="e">
        <f t="shared" si="27"/>
        <v>#REF!</v>
      </c>
    </row>
    <row r="78" spans="1:93">
      <c r="A78" s="507" t="s">
        <v>197</v>
      </c>
      <c r="B78" t="s">
        <v>129</v>
      </c>
      <c r="C78">
        <v>101298</v>
      </c>
      <c r="D78" s="3">
        <v>3022054</v>
      </c>
      <c r="E78" s="3">
        <v>2054</v>
      </c>
      <c r="F78">
        <v>10109</v>
      </c>
      <c r="G78">
        <v>90109</v>
      </c>
      <c r="H78">
        <v>938637</v>
      </c>
      <c r="I78">
        <v>74277</v>
      </c>
      <c r="J78">
        <v>0</v>
      </c>
      <c r="K78">
        <v>74277</v>
      </c>
      <c r="L78" s="500">
        <v>1071535.17</v>
      </c>
      <c r="M78" s="500">
        <v>0</v>
      </c>
      <c r="N78" s="500">
        <v>75512.41</v>
      </c>
      <c r="O78" s="500">
        <v>0</v>
      </c>
      <c r="P78" s="500">
        <v>18490.02</v>
      </c>
      <c r="Q78" s="500">
        <v>1260</v>
      </c>
      <c r="R78" s="500">
        <v>41178.120000000003</v>
      </c>
      <c r="S78" s="500">
        <v>38487.14</v>
      </c>
      <c r="T78" s="500">
        <v>29207.02</v>
      </c>
      <c r="U78" s="500">
        <v>11257.72</v>
      </c>
      <c r="V78" s="500">
        <v>2015.5</v>
      </c>
      <c r="W78" s="500">
        <v>0</v>
      </c>
      <c r="X78" s="500">
        <v>29192.949999999997</v>
      </c>
      <c r="Y78" s="500">
        <v>24701.18</v>
      </c>
      <c r="Z78" s="500">
        <v>0</v>
      </c>
      <c r="AA78" s="500">
        <v>0</v>
      </c>
      <c r="AB78" s="500">
        <v>0</v>
      </c>
      <c r="AC78" s="500">
        <v>0</v>
      </c>
      <c r="AD78" s="500">
        <v>0</v>
      </c>
      <c r="AE78" s="500">
        <v>3275.63</v>
      </c>
      <c r="AF78" s="500">
        <v>52063</v>
      </c>
      <c r="AG78" s="501">
        <f t="shared" si="18"/>
        <v>1398175.8599999996</v>
      </c>
      <c r="AH78" s="500">
        <v>632051.6</v>
      </c>
      <c r="AI78" s="500">
        <v>0</v>
      </c>
      <c r="AJ78" s="500">
        <v>174028.75</v>
      </c>
      <c r="AK78" s="500">
        <v>44326.6</v>
      </c>
      <c r="AL78" s="500">
        <v>65187.199999999997</v>
      </c>
      <c r="AM78" s="500">
        <v>0</v>
      </c>
      <c r="AN78" s="500">
        <v>48199.13</v>
      </c>
      <c r="AO78" s="500">
        <v>4545.54</v>
      </c>
      <c r="AP78" s="500">
        <v>927</v>
      </c>
      <c r="AQ78" s="500">
        <v>2731.93</v>
      </c>
      <c r="AR78" s="500">
        <v>0</v>
      </c>
      <c r="AS78" s="500">
        <v>22915.3</v>
      </c>
      <c r="AT78" s="500">
        <v>196.64</v>
      </c>
      <c r="AU78" s="500">
        <v>19019.57</v>
      </c>
      <c r="AV78" s="500">
        <v>4534.3</v>
      </c>
      <c r="AW78" s="500">
        <v>18823.09</v>
      </c>
      <c r="AX78" s="500">
        <v>19086.75</v>
      </c>
      <c r="AY78" s="500">
        <v>11094.87</v>
      </c>
      <c r="AZ78" s="500">
        <v>41167.160000000003</v>
      </c>
      <c r="BA78" s="500">
        <v>13590</v>
      </c>
      <c r="BB78" s="500">
        <v>0</v>
      </c>
      <c r="BC78" s="500">
        <v>11283.57</v>
      </c>
      <c r="BD78" s="500">
        <v>7933.56</v>
      </c>
      <c r="BE78" s="500">
        <v>11896.91</v>
      </c>
      <c r="BF78" s="500">
        <v>74169.73000000001</v>
      </c>
      <c r="BG78" s="500">
        <v>11627.21</v>
      </c>
      <c r="BH78" s="500">
        <v>152045.88</v>
      </c>
      <c r="BI78" s="500">
        <v>15803.4</v>
      </c>
      <c r="BJ78" s="500">
        <v>0</v>
      </c>
      <c r="BK78" s="500">
        <v>0</v>
      </c>
      <c r="BL78" s="500">
        <v>0</v>
      </c>
      <c r="BM78" s="500">
        <v>0</v>
      </c>
      <c r="BN78" s="500">
        <v>0</v>
      </c>
      <c r="BO78" s="501">
        <f t="shared" si="19"/>
        <v>1407185.69</v>
      </c>
      <c r="BP78" s="501">
        <f t="shared" si="20"/>
        <v>-9009.8300000003073</v>
      </c>
      <c r="BQ78" s="501">
        <f t="shared" si="14"/>
        <v>65267.169999999693</v>
      </c>
      <c r="BR78" s="501">
        <f t="shared" si="15"/>
        <v>0</v>
      </c>
      <c r="BS78" s="501">
        <f t="shared" si="16"/>
        <v>65267.169999999693</v>
      </c>
      <c r="BT78" s="500">
        <v>30508</v>
      </c>
      <c r="BU78" s="500">
        <v>6328.75</v>
      </c>
      <c r="BV78" s="500">
        <v>0</v>
      </c>
      <c r="BW78" s="500">
        <v>0</v>
      </c>
      <c r="BX78" s="501">
        <f t="shared" si="21"/>
        <v>6328.75</v>
      </c>
      <c r="BY78" s="500">
        <v>0</v>
      </c>
      <c r="BZ78" s="500">
        <v>23773</v>
      </c>
      <c r="CA78" s="500">
        <v>0</v>
      </c>
      <c r="CB78" s="500">
        <v>6109.5</v>
      </c>
      <c r="CC78" s="501">
        <f t="shared" si="22"/>
        <v>29882.5</v>
      </c>
      <c r="CD78" s="500">
        <f t="shared" si="23"/>
        <v>-23553.75</v>
      </c>
      <c r="CE78" s="224">
        <f t="shared" si="24"/>
        <v>6954.25</v>
      </c>
      <c r="CF78" s="224">
        <f t="shared" si="17"/>
        <v>72221.419999999693</v>
      </c>
      <c r="CI78" t="e">
        <f>_xlfn.XLOOKUP(D78,#REF!,#REF!)</f>
        <v>#REF!</v>
      </c>
      <c r="CJ78" t="e">
        <f>_xlfn.XLOOKUP(D78,#REF!,#REF!)</f>
        <v>#REF!</v>
      </c>
      <c r="CK78" t="e">
        <f t="shared" si="25"/>
        <v>#REF!</v>
      </c>
      <c r="CM78" s="224" t="e">
        <f t="shared" si="26"/>
        <v>#REF!</v>
      </c>
      <c r="CN78" s="224" t="e">
        <f t="shared" si="27"/>
        <v>#REF!</v>
      </c>
      <c r="CO78" s="224" t="e">
        <f t="shared" si="27"/>
        <v>#REF!</v>
      </c>
    </row>
    <row r="79" spans="1:93">
      <c r="A79" s="507" t="s">
        <v>198</v>
      </c>
      <c r="B79" t="s">
        <v>199</v>
      </c>
      <c r="C79">
        <v>133749</v>
      </c>
      <c r="D79" s="3">
        <v>3021102</v>
      </c>
      <c r="E79" s="3">
        <v>1102</v>
      </c>
      <c r="F79">
        <v>10185</v>
      </c>
      <c r="G79">
        <v>90185</v>
      </c>
      <c r="H79">
        <v>938705</v>
      </c>
      <c r="I79">
        <v>93584</v>
      </c>
      <c r="J79">
        <v>0</v>
      </c>
      <c r="K79">
        <v>93584</v>
      </c>
      <c r="L79" s="500">
        <v>512353.73</v>
      </c>
      <c r="M79" s="500">
        <v>0</v>
      </c>
      <c r="N79" s="500">
        <v>53743.74</v>
      </c>
      <c r="O79" s="500">
        <v>0</v>
      </c>
      <c r="P79" s="500">
        <v>7133.48</v>
      </c>
      <c r="Q79" s="500">
        <v>0</v>
      </c>
      <c r="R79" s="500">
        <v>128613</v>
      </c>
      <c r="S79" s="500">
        <v>0</v>
      </c>
      <c r="T79" s="500">
        <v>107290.53</v>
      </c>
      <c r="U79" s="500">
        <v>0</v>
      </c>
      <c r="V79" s="500">
        <v>0</v>
      </c>
      <c r="W79" s="500">
        <v>0</v>
      </c>
      <c r="X79" s="500">
        <v>314</v>
      </c>
      <c r="Y79" s="500">
        <v>135</v>
      </c>
      <c r="Z79" s="500">
        <v>0</v>
      </c>
      <c r="AA79" s="500">
        <v>0</v>
      </c>
      <c r="AB79" s="500">
        <v>0</v>
      </c>
      <c r="AC79" s="500">
        <v>0</v>
      </c>
      <c r="AD79" s="500">
        <v>0</v>
      </c>
      <c r="AE79" s="500">
        <v>7248.43</v>
      </c>
      <c r="AF79" s="500">
        <v>0</v>
      </c>
      <c r="AG79" s="501">
        <f t="shared" si="18"/>
        <v>816831.91</v>
      </c>
      <c r="AH79" s="500">
        <v>584477.06999999995</v>
      </c>
      <c r="AI79" s="500">
        <v>0</v>
      </c>
      <c r="AJ79" s="500">
        <v>42486.62</v>
      </c>
      <c r="AK79" s="500">
        <v>0</v>
      </c>
      <c r="AL79" s="500">
        <v>32211.88</v>
      </c>
      <c r="AM79" s="500">
        <v>0</v>
      </c>
      <c r="AN79" s="500">
        <v>8687.0300000000007</v>
      </c>
      <c r="AO79" s="500">
        <v>13433.85</v>
      </c>
      <c r="AP79" s="500">
        <v>7817.91</v>
      </c>
      <c r="AQ79" s="500">
        <v>4202</v>
      </c>
      <c r="AR79" s="500">
        <v>0</v>
      </c>
      <c r="AS79" s="500">
        <v>10667.39</v>
      </c>
      <c r="AT79" s="500">
        <v>0</v>
      </c>
      <c r="AU79" s="500">
        <v>8.49</v>
      </c>
      <c r="AV79" s="500">
        <v>0</v>
      </c>
      <c r="AW79" s="500">
        <v>0</v>
      </c>
      <c r="AX79" s="500">
        <v>0</v>
      </c>
      <c r="AY79" s="500">
        <v>118212.92</v>
      </c>
      <c r="AZ79" s="500">
        <v>14418.29</v>
      </c>
      <c r="BA79" s="500">
        <v>11068.72</v>
      </c>
      <c r="BB79" s="500">
        <v>1331.74</v>
      </c>
      <c r="BC79" s="500">
        <v>9298.2800000000007</v>
      </c>
      <c r="BD79" s="500">
        <v>621</v>
      </c>
      <c r="BE79" s="500">
        <v>167.5</v>
      </c>
      <c r="BF79" s="500">
        <v>1120.0999999999999</v>
      </c>
      <c r="BG79" s="500">
        <v>20700.5</v>
      </c>
      <c r="BH79" s="500">
        <v>24273.23</v>
      </c>
      <c r="BI79" s="500">
        <v>41317.769999999997</v>
      </c>
      <c r="BJ79" s="500">
        <v>1671.44</v>
      </c>
      <c r="BK79" s="500">
        <v>0</v>
      </c>
      <c r="BL79" s="500">
        <v>0</v>
      </c>
      <c r="BM79" s="500">
        <v>0</v>
      </c>
      <c r="BN79" s="500">
        <v>0</v>
      </c>
      <c r="BO79" s="501">
        <f t="shared" si="19"/>
        <v>948193.73</v>
      </c>
      <c r="BP79" s="501">
        <f t="shared" si="20"/>
        <v>-131361.81999999995</v>
      </c>
      <c r="BQ79" s="501">
        <f t="shared" si="14"/>
        <v>-37777.819999999949</v>
      </c>
      <c r="BR79" s="501">
        <f t="shared" si="15"/>
        <v>0</v>
      </c>
      <c r="BS79" s="501">
        <f t="shared" si="16"/>
        <v>-37777.819999999949</v>
      </c>
      <c r="BT79" s="500">
        <v>16536</v>
      </c>
      <c r="BU79" s="500">
        <v>4978.75</v>
      </c>
      <c r="BV79" s="500">
        <v>0</v>
      </c>
      <c r="BW79" s="500">
        <v>0</v>
      </c>
      <c r="BX79" s="501">
        <f t="shared" si="21"/>
        <v>4978.75</v>
      </c>
      <c r="BY79" s="500"/>
      <c r="BZ79" s="500"/>
      <c r="CA79" s="500"/>
      <c r="CB79" s="500"/>
      <c r="CC79" s="501">
        <f t="shared" si="22"/>
        <v>0</v>
      </c>
      <c r="CD79" s="500">
        <f t="shared" si="23"/>
        <v>4978.75</v>
      </c>
      <c r="CE79" s="224">
        <f t="shared" si="24"/>
        <v>21514.75</v>
      </c>
      <c r="CF79" s="224">
        <f t="shared" si="17"/>
        <v>-16263.069999999949</v>
      </c>
      <c r="CM79" s="224"/>
      <c r="CN79" s="224"/>
      <c r="CO79" s="224"/>
    </row>
    <row r="80" spans="1:93">
      <c r="A80" s="507" t="s">
        <v>200</v>
      </c>
      <c r="B80" t="s">
        <v>199</v>
      </c>
      <c r="C80">
        <v>101255</v>
      </c>
      <c r="D80" s="3">
        <v>3021100</v>
      </c>
      <c r="E80" s="3">
        <v>1100</v>
      </c>
      <c r="F80">
        <v>10188</v>
      </c>
      <c r="G80">
        <v>90188</v>
      </c>
      <c r="H80">
        <v>938706</v>
      </c>
      <c r="I80">
        <v>510786</v>
      </c>
      <c r="J80">
        <v>0</v>
      </c>
      <c r="K80">
        <v>510786</v>
      </c>
      <c r="L80" s="500">
        <v>1835544.02</v>
      </c>
      <c r="M80" s="500">
        <v>0</v>
      </c>
      <c r="N80" s="500">
        <v>1190293.82</v>
      </c>
      <c r="O80" s="500">
        <v>0</v>
      </c>
      <c r="P80" s="500">
        <v>24272.47</v>
      </c>
      <c r="Q80" s="500">
        <v>0</v>
      </c>
      <c r="R80" s="500">
        <v>57026</v>
      </c>
      <c r="S80" s="500">
        <v>309.38</v>
      </c>
      <c r="T80" s="500">
        <v>273841.36</v>
      </c>
      <c r="U80" s="500">
        <v>991.57</v>
      </c>
      <c r="V80" s="500">
        <v>7958</v>
      </c>
      <c r="W80" s="500">
        <v>3792</v>
      </c>
      <c r="X80" s="500">
        <v>0</v>
      </c>
      <c r="Y80" s="500">
        <v>0</v>
      </c>
      <c r="Z80" s="500">
        <v>0</v>
      </c>
      <c r="AA80" s="500">
        <v>0</v>
      </c>
      <c r="AB80" s="500">
        <v>0</v>
      </c>
      <c r="AC80" s="500">
        <v>0</v>
      </c>
      <c r="AD80" s="500">
        <v>0</v>
      </c>
      <c r="AE80" s="500">
        <v>0</v>
      </c>
      <c r="AF80" s="500">
        <v>30134.69</v>
      </c>
      <c r="AG80" s="501">
        <f t="shared" si="18"/>
        <v>3424163.3099999996</v>
      </c>
      <c r="AH80" s="500">
        <v>1903429.64</v>
      </c>
      <c r="AI80" s="500">
        <v>126551.11</v>
      </c>
      <c r="AJ80" s="500">
        <v>539656.18000000005</v>
      </c>
      <c r="AK80" s="500">
        <v>41100.080000000002</v>
      </c>
      <c r="AL80" s="500">
        <v>155353.62</v>
      </c>
      <c r="AM80" s="500">
        <v>0</v>
      </c>
      <c r="AN80" s="500">
        <v>0</v>
      </c>
      <c r="AO80" s="500">
        <v>29523.02</v>
      </c>
      <c r="AP80" s="500">
        <v>16121.1</v>
      </c>
      <c r="AQ80" s="500">
        <v>38587.56</v>
      </c>
      <c r="AR80" s="500">
        <v>1794</v>
      </c>
      <c r="AS80" s="500">
        <v>5443.55</v>
      </c>
      <c r="AT80" s="500">
        <v>316.16000000000003</v>
      </c>
      <c r="AU80" s="500">
        <v>45830.81</v>
      </c>
      <c r="AV80" s="500">
        <v>3071.47</v>
      </c>
      <c r="AW80" s="500">
        <v>37776.26</v>
      </c>
      <c r="AX80" s="500">
        <v>0</v>
      </c>
      <c r="AY80" s="500">
        <v>11051.83</v>
      </c>
      <c r="AZ80" s="500">
        <v>50809.84</v>
      </c>
      <c r="BA80" s="500">
        <v>23092.86</v>
      </c>
      <c r="BB80" s="500">
        <v>8971.57</v>
      </c>
      <c r="BC80" s="500">
        <v>31808.720000000001</v>
      </c>
      <c r="BD80" s="500">
        <v>5561</v>
      </c>
      <c r="BE80" s="500">
        <v>3158.41</v>
      </c>
      <c r="BF80" s="500">
        <v>24745.41</v>
      </c>
      <c r="BG80" s="500">
        <v>181824.58</v>
      </c>
      <c r="BH80" s="500">
        <v>160834.26999999999</v>
      </c>
      <c r="BI80" s="500">
        <v>46339.32</v>
      </c>
      <c r="BJ80" s="500">
        <v>0</v>
      </c>
      <c r="BK80" s="500">
        <v>0</v>
      </c>
      <c r="BL80" s="500">
        <v>0</v>
      </c>
      <c r="BM80" s="500">
        <v>0</v>
      </c>
      <c r="BN80" s="500">
        <v>0</v>
      </c>
      <c r="BO80" s="501">
        <f t="shared" si="19"/>
        <v>3492752.3700000006</v>
      </c>
      <c r="BP80" s="501">
        <f t="shared" si="20"/>
        <v>-68589.060000000987</v>
      </c>
      <c r="BQ80" s="501">
        <f t="shared" si="14"/>
        <v>442196.93999999901</v>
      </c>
      <c r="BR80" s="501">
        <f t="shared" si="15"/>
        <v>0</v>
      </c>
      <c r="BS80" s="501">
        <f t="shared" si="16"/>
        <v>442196.93999999901</v>
      </c>
      <c r="BT80" s="500">
        <v>56714</v>
      </c>
      <c r="BU80" s="500">
        <v>7839.06</v>
      </c>
      <c r="BV80" s="500">
        <v>0</v>
      </c>
      <c r="BW80" s="500">
        <v>0</v>
      </c>
      <c r="BX80" s="501">
        <f t="shared" si="21"/>
        <v>7839.06</v>
      </c>
      <c r="BY80" s="500">
        <v>0</v>
      </c>
      <c r="BZ80" s="500">
        <v>14250</v>
      </c>
      <c r="CA80" s="500">
        <v>0</v>
      </c>
      <c r="CB80" s="500">
        <v>0</v>
      </c>
      <c r="CC80" s="501">
        <f t="shared" si="22"/>
        <v>14250</v>
      </c>
      <c r="CD80" s="500">
        <f t="shared" si="23"/>
        <v>-6410.94</v>
      </c>
      <c r="CE80" s="224">
        <f t="shared" si="24"/>
        <v>50303.06</v>
      </c>
      <c r="CF80" s="224">
        <f t="shared" si="17"/>
        <v>492499.99999999901</v>
      </c>
      <c r="CI80" t="e">
        <f>_xlfn.XLOOKUP(D80,#REF!,#REF!)</f>
        <v>#REF!</v>
      </c>
      <c r="CJ80" t="e">
        <f>_xlfn.XLOOKUP(D80,#REF!,#REF!)</f>
        <v>#REF!</v>
      </c>
      <c r="CK80" t="e">
        <f t="shared" si="25"/>
        <v>#REF!</v>
      </c>
      <c r="CM80" s="224" t="e">
        <f t="shared" si="26"/>
        <v>#REF!</v>
      </c>
      <c r="CN80" s="224" t="e">
        <f t="shared" si="27"/>
        <v>#REF!</v>
      </c>
      <c r="CO80" s="224" t="e">
        <f t="shared" si="27"/>
        <v>#REF!</v>
      </c>
    </row>
    <row r="81" spans="1:93">
      <c r="A81" s="507" t="s">
        <v>202</v>
      </c>
      <c r="B81" t="s">
        <v>201</v>
      </c>
      <c r="C81">
        <v>101362</v>
      </c>
      <c r="D81" s="3">
        <v>3025405</v>
      </c>
      <c r="E81" s="3">
        <v>5405</v>
      </c>
      <c r="F81">
        <v>10145</v>
      </c>
      <c r="G81">
        <v>90145</v>
      </c>
      <c r="H81">
        <v>938690</v>
      </c>
      <c r="I81">
        <v>961936</v>
      </c>
      <c r="J81">
        <v>-4590</v>
      </c>
      <c r="K81">
        <v>957346</v>
      </c>
      <c r="L81" s="500">
        <v>6068398.1200000001</v>
      </c>
      <c r="M81" s="500">
        <v>1720519.96</v>
      </c>
      <c r="N81" s="500">
        <v>223912.28</v>
      </c>
      <c r="O81" s="500">
        <v>0</v>
      </c>
      <c r="P81" s="500">
        <v>148780.01999999999</v>
      </c>
      <c r="Q81" s="500">
        <v>18068.349999999999</v>
      </c>
      <c r="R81" s="500">
        <v>8807.39</v>
      </c>
      <c r="S81" s="500">
        <v>7093.6</v>
      </c>
      <c r="T81" s="500">
        <v>60056.490000000005</v>
      </c>
      <c r="U81" s="500">
        <v>418229.01</v>
      </c>
      <c r="V81" s="500">
        <v>0</v>
      </c>
      <c r="W81" s="500">
        <v>11450</v>
      </c>
      <c r="X81" s="500">
        <v>71201.289999999994</v>
      </c>
      <c r="Y81" s="500">
        <v>0</v>
      </c>
      <c r="Z81" s="500">
        <v>0</v>
      </c>
      <c r="AA81" s="500">
        <v>0</v>
      </c>
      <c r="AB81" s="500">
        <v>0</v>
      </c>
      <c r="AC81" s="500">
        <v>0</v>
      </c>
      <c r="AD81" s="500">
        <v>0</v>
      </c>
      <c r="AE81" s="500">
        <v>42215.5</v>
      </c>
      <c r="AF81" s="500">
        <v>0</v>
      </c>
      <c r="AG81" s="501">
        <f t="shared" si="18"/>
        <v>8798732.0099999979</v>
      </c>
      <c r="AH81" s="500">
        <v>5084545.9400000004</v>
      </c>
      <c r="AI81" s="500">
        <v>0</v>
      </c>
      <c r="AJ81" s="500">
        <v>812512.61</v>
      </c>
      <c r="AK81" s="500">
        <v>148953.41</v>
      </c>
      <c r="AL81" s="500">
        <v>703742.25</v>
      </c>
      <c r="AM81" s="500">
        <v>194058.63</v>
      </c>
      <c r="AN81" s="500">
        <v>0</v>
      </c>
      <c r="AO81" s="500">
        <v>73575.759999999995</v>
      </c>
      <c r="AP81" s="500">
        <v>9294.7999999999993</v>
      </c>
      <c r="AQ81" s="500">
        <v>1288.8</v>
      </c>
      <c r="AR81" s="500">
        <v>0</v>
      </c>
      <c r="AS81" s="500">
        <v>77912.509999999995</v>
      </c>
      <c r="AT81" s="500">
        <v>45569.21</v>
      </c>
      <c r="AU81" s="500">
        <v>137750.63</v>
      </c>
      <c r="AV81" s="500">
        <v>13546.77</v>
      </c>
      <c r="AW81" s="500">
        <v>210474.83</v>
      </c>
      <c r="AX81" s="500">
        <v>25998.26</v>
      </c>
      <c r="AY81" s="500">
        <v>59961.599999999999</v>
      </c>
      <c r="AZ81" s="500">
        <v>230813.55</v>
      </c>
      <c r="BA81" s="500">
        <v>66257.87</v>
      </c>
      <c r="BB81" s="500">
        <v>147256.78999999998</v>
      </c>
      <c r="BC81" s="500">
        <v>51579.53</v>
      </c>
      <c r="BD81" s="500">
        <v>73478.91</v>
      </c>
      <c r="BE81" s="500">
        <v>0</v>
      </c>
      <c r="BF81" s="500">
        <v>316502.37</v>
      </c>
      <c r="BG81" s="500">
        <v>47729.47</v>
      </c>
      <c r="BH81" s="500">
        <v>141330.25</v>
      </c>
      <c r="BI81" s="500">
        <v>56643.96</v>
      </c>
      <c r="BJ81" s="500">
        <v>0</v>
      </c>
      <c r="BK81" s="500">
        <v>0</v>
      </c>
      <c r="BL81" s="500">
        <v>0</v>
      </c>
      <c r="BM81" s="500">
        <v>0</v>
      </c>
      <c r="BN81" s="500">
        <v>0</v>
      </c>
      <c r="BO81" s="501">
        <f t="shared" si="19"/>
        <v>8730778.7100000009</v>
      </c>
      <c r="BP81" s="501">
        <f t="shared" si="20"/>
        <v>67953.29999999702</v>
      </c>
      <c r="BQ81" s="501">
        <f t="shared" si="14"/>
        <v>1029889.299999997</v>
      </c>
      <c r="BR81" s="501">
        <f t="shared" si="15"/>
        <v>-4590</v>
      </c>
      <c r="BS81" s="501">
        <f t="shared" si="16"/>
        <v>1025299.299999997</v>
      </c>
      <c r="BT81" s="500">
        <v>0</v>
      </c>
      <c r="BU81" s="500"/>
      <c r="BV81" s="500"/>
      <c r="BW81" s="500"/>
      <c r="BX81" s="501">
        <f t="shared" si="21"/>
        <v>0</v>
      </c>
      <c r="BY81" s="500"/>
      <c r="BZ81" s="500"/>
      <c r="CA81" s="500"/>
      <c r="CB81" s="500"/>
      <c r="CC81" s="501">
        <f t="shared" si="22"/>
        <v>0</v>
      </c>
      <c r="CD81" s="500">
        <f t="shared" si="23"/>
        <v>0</v>
      </c>
      <c r="CE81" s="224">
        <f t="shared" si="24"/>
        <v>0</v>
      </c>
      <c r="CF81" s="224">
        <f t="shared" si="17"/>
        <v>1025299.299999997</v>
      </c>
      <c r="CI81" t="e">
        <f>_xlfn.XLOOKUP(D81,#REF!,#REF!)</f>
        <v>#REF!</v>
      </c>
      <c r="CJ81" t="e">
        <f>_xlfn.XLOOKUP(D81,#REF!,#REF!)</f>
        <v>#REF!</v>
      </c>
      <c r="CK81" t="e">
        <f t="shared" si="25"/>
        <v>#REF!</v>
      </c>
      <c r="CM81" s="224" t="e">
        <f t="shared" si="26"/>
        <v>#REF!</v>
      </c>
      <c r="CN81" s="224" t="e">
        <f t="shared" si="27"/>
        <v>#REF!</v>
      </c>
      <c r="CO81" s="224" t="e">
        <f t="shared" si="27"/>
        <v>#REF!</v>
      </c>
    </row>
    <row r="82" spans="1:93">
      <c r="A82" s="507" t="s">
        <v>203</v>
      </c>
      <c r="B82" t="s">
        <v>201</v>
      </c>
      <c r="C82">
        <v>101345</v>
      </c>
      <c r="D82" s="3">
        <v>3024003</v>
      </c>
      <c r="E82" s="3">
        <v>4003</v>
      </c>
      <c r="F82">
        <v>10139</v>
      </c>
      <c r="G82">
        <v>90139</v>
      </c>
      <c r="H82">
        <v>938683</v>
      </c>
      <c r="I82">
        <v>232723</v>
      </c>
      <c r="J82">
        <v>0</v>
      </c>
      <c r="K82">
        <v>232723</v>
      </c>
      <c r="L82" s="500">
        <v>5871339.5700000003</v>
      </c>
      <c r="M82" s="500">
        <v>0</v>
      </c>
      <c r="N82" s="500">
        <v>437663.84</v>
      </c>
      <c r="O82" s="500">
        <v>0</v>
      </c>
      <c r="P82" s="500">
        <v>337128.48</v>
      </c>
      <c r="Q82" s="500">
        <v>1050</v>
      </c>
      <c r="R82" s="500">
        <v>184634.05</v>
      </c>
      <c r="S82" s="500">
        <v>14400</v>
      </c>
      <c r="T82" s="500">
        <v>2791.65</v>
      </c>
      <c r="U82" s="500">
        <v>145982.9</v>
      </c>
      <c r="V82" s="500">
        <v>0</v>
      </c>
      <c r="W82" s="500">
        <v>0</v>
      </c>
      <c r="X82" s="500">
        <v>59144.32</v>
      </c>
      <c r="Y82" s="500">
        <v>53242.31</v>
      </c>
      <c r="Z82" s="500">
        <v>0</v>
      </c>
      <c r="AA82" s="500">
        <v>0</v>
      </c>
      <c r="AB82" s="500">
        <v>0</v>
      </c>
      <c r="AC82" s="500">
        <v>0</v>
      </c>
      <c r="AD82" s="500">
        <v>0</v>
      </c>
      <c r="AE82" s="500">
        <v>122686.25</v>
      </c>
      <c r="AF82" s="500">
        <v>0</v>
      </c>
      <c r="AG82" s="501">
        <f t="shared" si="18"/>
        <v>7230063.370000001</v>
      </c>
      <c r="AH82" s="500">
        <v>3837104.82</v>
      </c>
      <c r="AI82" s="500">
        <v>0</v>
      </c>
      <c r="AJ82" s="500">
        <v>1051130.23</v>
      </c>
      <c r="AK82" s="500">
        <v>89226.89</v>
      </c>
      <c r="AL82" s="500">
        <v>508195.99</v>
      </c>
      <c r="AM82" s="500">
        <v>0</v>
      </c>
      <c r="AN82" s="500">
        <v>46041.64</v>
      </c>
      <c r="AO82" s="500">
        <v>54583.67</v>
      </c>
      <c r="AP82" s="500">
        <v>12921.45</v>
      </c>
      <c r="AQ82" s="500">
        <v>1065.5999999999999</v>
      </c>
      <c r="AR82" s="500">
        <v>0</v>
      </c>
      <c r="AS82" s="500">
        <v>157461.72</v>
      </c>
      <c r="AT82" s="500">
        <v>9377.56</v>
      </c>
      <c r="AU82" s="500">
        <v>94771.94</v>
      </c>
      <c r="AV82" s="500">
        <v>4469.59</v>
      </c>
      <c r="AW82" s="500">
        <v>119979.95000000001</v>
      </c>
      <c r="AX82" s="500">
        <v>72777.600000000006</v>
      </c>
      <c r="AY82" s="500">
        <v>38510.089999999997</v>
      </c>
      <c r="AZ82" s="500">
        <v>144777.79999999999</v>
      </c>
      <c r="BA82" s="500">
        <v>151519.44</v>
      </c>
      <c r="BB82" s="500">
        <v>68197.45</v>
      </c>
      <c r="BC82" s="500">
        <v>47522.8</v>
      </c>
      <c r="BD82" s="500">
        <v>30486.2</v>
      </c>
      <c r="BE82" s="500">
        <v>0</v>
      </c>
      <c r="BF82" s="500">
        <v>211873.89</v>
      </c>
      <c r="BG82" s="500">
        <v>167038.28</v>
      </c>
      <c r="BH82" s="500">
        <v>137182.39000000001</v>
      </c>
      <c r="BI82" s="500">
        <v>16264.33</v>
      </c>
      <c r="BJ82" s="500">
        <v>0</v>
      </c>
      <c r="BK82" s="500">
        <v>0</v>
      </c>
      <c r="BL82" s="500">
        <v>0</v>
      </c>
      <c r="BM82" s="500">
        <v>0</v>
      </c>
      <c r="BN82" s="500">
        <v>0</v>
      </c>
      <c r="BO82" s="501">
        <f t="shared" si="19"/>
        <v>7072481.3199999984</v>
      </c>
      <c r="BP82" s="501">
        <f t="shared" si="20"/>
        <v>157582.05000000261</v>
      </c>
      <c r="BQ82" s="501">
        <f t="shared" si="14"/>
        <v>390305.05000000261</v>
      </c>
      <c r="BR82" s="501">
        <f t="shared" si="15"/>
        <v>0</v>
      </c>
      <c r="BS82" s="501">
        <f t="shared" si="16"/>
        <v>390305.05000000261</v>
      </c>
      <c r="BT82" s="500">
        <v>53678</v>
      </c>
      <c r="BU82" s="500">
        <v>16209.06</v>
      </c>
      <c r="BV82" s="500">
        <v>0</v>
      </c>
      <c r="BW82" s="500">
        <v>0</v>
      </c>
      <c r="BX82" s="501">
        <f t="shared" si="21"/>
        <v>16209.06</v>
      </c>
      <c r="BY82" s="500">
        <v>0</v>
      </c>
      <c r="BZ82" s="500">
        <v>0</v>
      </c>
      <c r="CA82" s="500">
        <v>0</v>
      </c>
      <c r="CB82" s="500">
        <v>53150</v>
      </c>
      <c r="CC82" s="501">
        <f t="shared" si="22"/>
        <v>53150</v>
      </c>
      <c r="CD82" s="500">
        <f t="shared" si="23"/>
        <v>-36940.94</v>
      </c>
      <c r="CE82" s="224">
        <f t="shared" si="24"/>
        <v>16737.059999999998</v>
      </c>
      <c r="CF82" s="224">
        <f t="shared" si="17"/>
        <v>407042.11000000261</v>
      </c>
      <c r="CI82" t="e">
        <f>_xlfn.XLOOKUP(D82,#REF!,#REF!)</f>
        <v>#REF!</v>
      </c>
      <c r="CJ82" t="e">
        <f>_xlfn.XLOOKUP(D82,#REF!,#REF!)</f>
        <v>#REF!</v>
      </c>
      <c r="CK82" t="e">
        <f t="shared" si="25"/>
        <v>#REF!</v>
      </c>
      <c r="CM82" s="224" t="e">
        <f t="shared" si="26"/>
        <v>#REF!</v>
      </c>
      <c r="CN82" s="224" t="e">
        <f t="shared" si="27"/>
        <v>#REF!</v>
      </c>
      <c r="CO82" s="224" t="e">
        <f t="shared" si="27"/>
        <v>#REF!</v>
      </c>
    </row>
    <row r="83" spans="1:93" s="502" customFormat="1">
      <c r="A83" s="508" t="s">
        <v>204</v>
      </c>
      <c r="B83" s="502" t="s">
        <v>201</v>
      </c>
      <c r="C83" s="502">
        <v>135747</v>
      </c>
      <c r="D83" s="503">
        <v>3025427</v>
      </c>
      <c r="E83" s="503">
        <v>5427</v>
      </c>
      <c r="F83" s="502">
        <v>11174</v>
      </c>
      <c r="G83" s="502">
        <v>91174</v>
      </c>
      <c r="H83" s="502">
        <v>938693</v>
      </c>
      <c r="I83" s="502">
        <v>7936</v>
      </c>
      <c r="J83" s="502">
        <v>0</v>
      </c>
      <c r="K83" s="502">
        <v>7936</v>
      </c>
      <c r="L83" s="504">
        <v>7573684.8799999999</v>
      </c>
      <c r="M83" s="504">
        <v>1896856.04</v>
      </c>
      <c r="N83" s="504">
        <v>1610769.05</v>
      </c>
      <c r="O83" s="504">
        <v>0</v>
      </c>
      <c r="P83" s="504">
        <v>70150</v>
      </c>
      <c r="Q83" s="504">
        <v>204742.84</v>
      </c>
      <c r="R83" s="504">
        <v>1888.84</v>
      </c>
      <c r="S83" s="504">
        <v>17286.5</v>
      </c>
      <c r="T83" s="504">
        <v>0</v>
      </c>
      <c r="U83" s="504">
        <v>48000</v>
      </c>
      <c r="V83" s="504">
        <v>0</v>
      </c>
      <c r="W83" s="504">
        <v>0</v>
      </c>
      <c r="X83" s="504">
        <v>1431076.06</v>
      </c>
      <c r="Y83" s="504">
        <v>1833225.64</v>
      </c>
      <c r="Z83" s="504">
        <v>0</v>
      </c>
      <c r="AA83" s="504">
        <v>0</v>
      </c>
      <c r="AB83" s="504">
        <v>0</v>
      </c>
      <c r="AC83" s="504">
        <v>45747.75</v>
      </c>
      <c r="AD83" s="504">
        <v>0</v>
      </c>
      <c r="AE83" s="504">
        <v>0</v>
      </c>
      <c r="AF83" s="504">
        <v>0</v>
      </c>
      <c r="AG83" s="505">
        <f>SUM(L83:AF83)</f>
        <v>14733427.600000001</v>
      </c>
      <c r="AH83" s="504">
        <v>7677563.9400000004</v>
      </c>
      <c r="AI83" s="504">
        <v>34566.65</v>
      </c>
      <c r="AJ83" s="504">
        <v>2099025.0499999998</v>
      </c>
      <c r="AK83" s="504">
        <v>184282.97999999998</v>
      </c>
      <c r="AL83" s="504">
        <v>970778.99</v>
      </c>
      <c r="AM83" s="504">
        <v>0</v>
      </c>
      <c r="AN83" s="504">
        <v>157439.03</v>
      </c>
      <c r="AO83" s="504">
        <v>79318.069999999992</v>
      </c>
      <c r="AP83" s="504">
        <v>18074.57</v>
      </c>
      <c r="AQ83" s="504">
        <v>1429.92</v>
      </c>
      <c r="AR83" s="504">
        <v>0</v>
      </c>
      <c r="AS83" s="504">
        <v>222873.94</v>
      </c>
      <c r="AT83" s="504">
        <v>23581.91</v>
      </c>
      <c r="AU83" s="504">
        <v>186040.25</v>
      </c>
      <c r="AV83" s="504">
        <v>13636.05</v>
      </c>
      <c r="AW83" s="504">
        <v>172106.27000000002</v>
      </c>
      <c r="AX83" s="504">
        <v>53560</v>
      </c>
      <c r="AY83" s="504">
        <v>165451.21</v>
      </c>
      <c r="AZ83" s="504">
        <v>607114.54</v>
      </c>
      <c r="BA83" s="504">
        <v>168494.54</v>
      </c>
      <c r="BB83" s="504">
        <v>262640.21999999997</v>
      </c>
      <c r="BC83" s="504">
        <v>72130.09</v>
      </c>
      <c r="BD83" s="504">
        <v>9503.83</v>
      </c>
      <c r="BE83" s="504">
        <v>0</v>
      </c>
      <c r="BF83" s="504">
        <v>21563.34</v>
      </c>
      <c r="BG83" s="504">
        <v>77803.62</v>
      </c>
      <c r="BH83" s="504">
        <v>499650.73</v>
      </c>
      <c r="BI83" s="504">
        <v>901411.83999999997</v>
      </c>
      <c r="BJ83" s="504">
        <v>0</v>
      </c>
      <c r="BK83" s="504">
        <v>0</v>
      </c>
      <c r="BL83" s="504">
        <v>0</v>
      </c>
      <c r="BM83" s="504">
        <v>0</v>
      </c>
      <c r="BN83" s="504">
        <v>0</v>
      </c>
      <c r="BO83" s="505">
        <f t="shared" si="19"/>
        <v>14680041.58</v>
      </c>
      <c r="BP83" s="505">
        <f t="shared" si="20"/>
        <v>53386.020000001416</v>
      </c>
      <c r="BQ83" s="505">
        <f t="shared" si="14"/>
        <v>61322.020000001416</v>
      </c>
      <c r="BR83" s="505">
        <f t="shared" si="15"/>
        <v>0</v>
      </c>
      <c r="BS83" s="505">
        <f t="shared" si="16"/>
        <v>61322.020000001416</v>
      </c>
      <c r="BT83" s="504">
        <v>0</v>
      </c>
      <c r="BU83" s="504"/>
      <c r="BV83" s="504"/>
      <c r="BW83" s="504"/>
      <c r="BX83" s="505">
        <f t="shared" si="21"/>
        <v>0</v>
      </c>
      <c r="BY83" s="504"/>
      <c r="BZ83" s="504"/>
      <c r="CA83" s="504"/>
      <c r="CB83" s="504"/>
      <c r="CC83" s="505">
        <f t="shared" si="22"/>
        <v>0</v>
      </c>
      <c r="CD83" s="504">
        <f t="shared" si="23"/>
        <v>0</v>
      </c>
      <c r="CE83" s="506">
        <f t="shared" si="24"/>
        <v>0</v>
      </c>
      <c r="CF83" s="506">
        <f t="shared" si="17"/>
        <v>61322.020000001416</v>
      </c>
      <c r="CI83" s="502" t="e">
        <f>_xlfn.XLOOKUP(D83,#REF!,#REF!)</f>
        <v>#REF!</v>
      </c>
      <c r="CJ83" s="502" t="e">
        <f>_xlfn.XLOOKUP(D83,#REF!,#REF!)</f>
        <v>#REF!</v>
      </c>
      <c r="CK83" s="502" t="e">
        <f t="shared" si="25"/>
        <v>#REF!</v>
      </c>
      <c r="CM83" s="506" t="e">
        <f t="shared" si="26"/>
        <v>#REF!</v>
      </c>
      <c r="CN83" s="506" t="e">
        <f t="shared" si="27"/>
        <v>#REF!</v>
      </c>
      <c r="CO83" s="506" t="e">
        <f t="shared" si="27"/>
        <v>#REF!</v>
      </c>
    </row>
    <row r="84" spans="1:93">
      <c r="A84" s="507" t="s">
        <v>205</v>
      </c>
      <c r="B84" t="s">
        <v>201</v>
      </c>
      <c r="C84">
        <v>142627</v>
      </c>
      <c r="D84" s="3">
        <v>3024004</v>
      </c>
      <c r="E84" s="3">
        <v>4004</v>
      </c>
      <c r="F84">
        <v>11513</v>
      </c>
      <c r="G84">
        <v>91513</v>
      </c>
      <c r="H84">
        <v>938707</v>
      </c>
      <c r="I84">
        <v>59512</v>
      </c>
      <c r="J84">
        <v>0</v>
      </c>
      <c r="K84">
        <v>59512</v>
      </c>
      <c r="L84" s="500">
        <v>2069171.0699999998</v>
      </c>
      <c r="M84" s="500">
        <v>426593.36</v>
      </c>
      <c r="N84" s="500">
        <v>101746.27</v>
      </c>
      <c r="O84" s="500">
        <v>0</v>
      </c>
      <c r="P84" s="500">
        <v>6210.02</v>
      </c>
      <c r="Q84" s="500">
        <v>62944.32</v>
      </c>
      <c r="R84" s="500">
        <v>0</v>
      </c>
      <c r="S84" s="500">
        <v>0</v>
      </c>
      <c r="T84" s="500">
        <v>0</v>
      </c>
      <c r="U84" s="500">
        <v>0</v>
      </c>
      <c r="V84" s="500">
        <v>0</v>
      </c>
      <c r="W84" s="500">
        <v>0</v>
      </c>
      <c r="X84" s="500">
        <v>0</v>
      </c>
      <c r="Y84" s="500">
        <v>606990</v>
      </c>
      <c r="Z84" s="500">
        <v>0</v>
      </c>
      <c r="AA84" s="500">
        <v>0</v>
      </c>
      <c r="AB84" s="500">
        <v>0</v>
      </c>
      <c r="AC84" s="500">
        <v>0</v>
      </c>
      <c r="AD84" s="500">
        <v>0</v>
      </c>
      <c r="AE84" s="500">
        <v>7451.26</v>
      </c>
      <c r="AF84" s="500">
        <v>0</v>
      </c>
      <c r="AG84" s="501">
        <f t="shared" ref="AG84:AG91" si="28">SUM(L84:AF84)</f>
        <v>3281106.2999999993</v>
      </c>
      <c r="AH84" s="500">
        <v>2259150.9</v>
      </c>
      <c r="AI84" s="500">
        <v>0</v>
      </c>
      <c r="AJ84" s="500">
        <v>232818.12</v>
      </c>
      <c r="AK84" s="500">
        <v>58265.58</v>
      </c>
      <c r="AL84" s="500">
        <v>172714.74</v>
      </c>
      <c r="AM84" s="500">
        <v>0</v>
      </c>
      <c r="AN84" s="500">
        <v>0</v>
      </c>
      <c r="AO84" s="500">
        <v>8794.7999999999993</v>
      </c>
      <c r="AP84" s="500">
        <v>17807.45</v>
      </c>
      <c r="AQ84" s="500">
        <v>447.84</v>
      </c>
      <c r="AR84" s="500">
        <v>0</v>
      </c>
      <c r="AS84" s="500">
        <v>82201.38</v>
      </c>
      <c r="AT84" s="500">
        <v>0</v>
      </c>
      <c r="AU84" s="500">
        <v>62200.439999999995</v>
      </c>
      <c r="AV84" s="500">
        <v>578.76</v>
      </c>
      <c r="AW84" s="500">
        <v>34349.94</v>
      </c>
      <c r="AX84" s="500">
        <v>7168</v>
      </c>
      <c r="AY84" s="500">
        <v>84791.13</v>
      </c>
      <c r="AZ84" s="500">
        <v>52344.92</v>
      </c>
      <c r="BA84" s="500">
        <v>10021.06</v>
      </c>
      <c r="BB84" s="500">
        <v>43860.17</v>
      </c>
      <c r="BC84" s="500">
        <v>49111.58</v>
      </c>
      <c r="BD84" s="500">
        <v>13496.93</v>
      </c>
      <c r="BE84" s="500">
        <v>0</v>
      </c>
      <c r="BF84" s="500">
        <v>4349.25</v>
      </c>
      <c r="BG84" s="500">
        <v>0</v>
      </c>
      <c r="BH84" s="500">
        <v>22337.46</v>
      </c>
      <c r="BI84" s="500">
        <v>72548.210000000006</v>
      </c>
      <c r="BJ84" s="500">
        <v>0</v>
      </c>
      <c r="BK84" s="500">
        <v>0</v>
      </c>
      <c r="BL84" s="500">
        <v>16767</v>
      </c>
      <c r="BM84" s="500">
        <v>0</v>
      </c>
      <c r="BN84" s="500">
        <v>0</v>
      </c>
      <c r="BO84" s="501">
        <f t="shared" si="19"/>
        <v>3306125.6599999992</v>
      </c>
      <c r="BP84" s="501">
        <f t="shared" si="20"/>
        <v>-25019.35999999987</v>
      </c>
      <c r="BQ84" s="501">
        <f t="shared" si="14"/>
        <v>34492.64000000013</v>
      </c>
      <c r="BR84" s="501">
        <f t="shared" si="15"/>
        <v>0</v>
      </c>
      <c r="BS84" s="501">
        <f t="shared" si="16"/>
        <v>34492.64000000013</v>
      </c>
      <c r="BT84" s="500">
        <v>0</v>
      </c>
      <c r="BU84" s="500">
        <v>0</v>
      </c>
      <c r="BV84" s="500">
        <v>0</v>
      </c>
      <c r="BW84" s="500">
        <v>16767</v>
      </c>
      <c r="BX84" s="501">
        <f t="shared" si="21"/>
        <v>16767</v>
      </c>
      <c r="BY84" s="500">
        <v>0</v>
      </c>
      <c r="BZ84" s="500">
        <v>0</v>
      </c>
      <c r="CA84" s="500">
        <v>16767</v>
      </c>
      <c r="CB84" s="500">
        <v>0</v>
      </c>
      <c r="CC84" s="501">
        <f t="shared" si="22"/>
        <v>16767</v>
      </c>
      <c r="CD84" s="500">
        <f t="shared" si="23"/>
        <v>0</v>
      </c>
      <c r="CE84" s="224">
        <f t="shared" si="24"/>
        <v>0</v>
      </c>
      <c r="CF84" s="224">
        <f t="shared" si="17"/>
        <v>34492.64000000013</v>
      </c>
      <c r="CI84" t="e">
        <f>_xlfn.XLOOKUP(D84,#REF!,#REF!)</f>
        <v>#REF!</v>
      </c>
      <c r="CJ84" t="e">
        <f>_xlfn.XLOOKUP(D84,#REF!,#REF!)</f>
        <v>#REF!</v>
      </c>
      <c r="CK84" t="e">
        <f t="shared" si="25"/>
        <v>#REF!</v>
      </c>
      <c r="CM84" s="224" t="e">
        <f t="shared" si="26"/>
        <v>#REF!</v>
      </c>
      <c r="CN84" s="224" t="e">
        <f t="shared" si="27"/>
        <v>#REF!</v>
      </c>
      <c r="CO84" s="224" t="e">
        <f t="shared" si="27"/>
        <v>#REF!</v>
      </c>
    </row>
    <row r="85" spans="1:93">
      <c r="A85" s="507" t="s">
        <v>266</v>
      </c>
      <c r="B85" t="s">
        <v>201</v>
      </c>
      <c r="C85">
        <v>101361</v>
      </c>
      <c r="D85" s="3">
        <v>3025404</v>
      </c>
      <c r="E85" s="3">
        <v>5404</v>
      </c>
      <c r="F85">
        <v>10148</v>
      </c>
      <c r="G85">
        <v>90148</v>
      </c>
      <c r="H85">
        <v>938689</v>
      </c>
      <c r="I85">
        <v>377429</v>
      </c>
      <c r="J85">
        <v>0</v>
      </c>
      <c r="K85">
        <v>377429</v>
      </c>
      <c r="L85" s="500">
        <v>4063046.05</v>
      </c>
      <c r="M85" s="500">
        <v>1531685.72</v>
      </c>
      <c r="N85" s="500">
        <v>16986.330000000002</v>
      </c>
      <c r="O85" s="500">
        <v>0</v>
      </c>
      <c r="P85" s="500">
        <v>67610</v>
      </c>
      <c r="Q85" s="500">
        <v>0</v>
      </c>
      <c r="R85" s="500">
        <v>6989.52</v>
      </c>
      <c r="S85" s="500">
        <v>32278.57</v>
      </c>
      <c r="T85" s="500">
        <v>0</v>
      </c>
      <c r="U85" s="500">
        <v>220149.62</v>
      </c>
      <c r="V85" s="500">
        <v>0</v>
      </c>
      <c r="W85" s="500">
        <v>3204</v>
      </c>
      <c r="X85" s="500">
        <v>20000</v>
      </c>
      <c r="Y85" s="500">
        <v>259018.97999999998</v>
      </c>
      <c r="Z85" s="500">
        <v>0</v>
      </c>
      <c r="AA85" s="500">
        <v>0</v>
      </c>
      <c r="AB85" s="500">
        <v>0</v>
      </c>
      <c r="AC85" s="500">
        <v>4954.38</v>
      </c>
      <c r="AD85" s="500">
        <v>0</v>
      </c>
      <c r="AE85" s="500">
        <v>21646.880000000001</v>
      </c>
      <c r="AF85" s="500">
        <v>0</v>
      </c>
      <c r="AG85" s="501">
        <f t="shared" si="28"/>
        <v>6247570.0499999989</v>
      </c>
      <c r="AH85" s="500">
        <v>3932839.07</v>
      </c>
      <c r="AI85" s="500">
        <v>0</v>
      </c>
      <c r="AJ85" s="500">
        <v>431195.96</v>
      </c>
      <c r="AK85" s="500">
        <v>103276.49</v>
      </c>
      <c r="AL85" s="500">
        <v>460344.25</v>
      </c>
      <c r="AM85" s="500">
        <v>82797.119999999995</v>
      </c>
      <c r="AN85" s="500">
        <v>2212.73</v>
      </c>
      <c r="AO85" s="500">
        <v>32208.9</v>
      </c>
      <c r="AP85" s="500">
        <v>26326.68</v>
      </c>
      <c r="AQ85" s="500">
        <v>872.64</v>
      </c>
      <c r="AR85" s="500">
        <v>0</v>
      </c>
      <c r="AS85" s="500">
        <v>198470.07</v>
      </c>
      <c r="AT85" s="500">
        <v>3586.11</v>
      </c>
      <c r="AU85" s="500">
        <v>92108.91</v>
      </c>
      <c r="AV85" s="500">
        <v>25516.850000000002</v>
      </c>
      <c r="AW85" s="500">
        <v>181117.77</v>
      </c>
      <c r="AX85" s="500">
        <v>23353.07</v>
      </c>
      <c r="AY85" s="500">
        <v>44225.34</v>
      </c>
      <c r="AZ85" s="500">
        <v>170834.65</v>
      </c>
      <c r="BA85" s="500">
        <v>73496.77</v>
      </c>
      <c r="BB85" s="500">
        <v>104751.82</v>
      </c>
      <c r="BC85" s="500">
        <v>89810.569999999992</v>
      </c>
      <c r="BD85" s="500">
        <v>12151.39</v>
      </c>
      <c r="BE85" s="500">
        <v>8399.6</v>
      </c>
      <c r="BF85" s="500">
        <v>144901.9</v>
      </c>
      <c r="BG85" s="500">
        <v>2116.8000000000002</v>
      </c>
      <c r="BH85" s="500">
        <v>113124.82</v>
      </c>
      <c r="BI85" s="500">
        <v>117003.66</v>
      </c>
      <c r="BJ85" s="500">
        <v>0</v>
      </c>
      <c r="BK85" s="500">
        <v>0</v>
      </c>
      <c r="BL85" s="500">
        <v>0</v>
      </c>
      <c r="BM85" s="500">
        <v>0</v>
      </c>
      <c r="BN85" s="500">
        <v>0</v>
      </c>
      <c r="BO85" s="501">
        <f t="shared" si="19"/>
        <v>6477043.9400000013</v>
      </c>
      <c r="BP85" s="501">
        <f t="shared" si="20"/>
        <v>-229473.89000000246</v>
      </c>
      <c r="BQ85" s="501">
        <f t="shared" si="14"/>
        <v>147955.10999999754</v>
      </c>
      <c r="BR85" s="501">
        <f t="shared" si="15"/>
        <v>0</v>
      </c>
      <c r="BS85" s="501">
        <f t="shared" si="16"/>
        <v>147955.10999999754</v>
      </c>
      <c r="BT85" s="500">
        <v>0</v>
      </c>
      <c r="BU85" s="500">
        <v>43114.36</v>
      </c>
      <c r="BV85" s="500">
        <v>0</v>
      </c>
      <c r="BW85" s="500">
        <v>0</v>
      </c>
      <c r="BX85" s="501">
        <f t="shared" si="21"/>
        <v>43114.36</v>
      </c>
      <c r="BY85" s="500">
        <v>0</v>
      </c>
      <c r="BZ85" s="500">
        <v>43114.36</v>
      </c>
      <c r="CA85" s="500">
        <v>0</v>
      </c>
      <c r="CB85" s="500">
        <v>0</v>
      </c>
      <c r="CC85" s="501">
        <f t="shared" si="22"/>
        <v>43114.36</v>
      </c>
      <c r="CD85" s="500">
        <f t="shared" si="23"/>
        <v>0</v>
      </c>
      <c r="CE85" s="224">
        <f t="shared" si="24"/>
        <v>0</v>
      </c>
      <c r="CF85" s="224">
        <f t="shared" si="17"/>
        <v>147955.10999999754</v>
      </c>
      <c r="CI85" t="e">
        <f>_xlfn.XLOOKUP(D85,#REF!,#REF!)</f>
        <v>#REF!</v>
      </c>
      <c r="CJ85" t="e">
        <f>_xlfn.XLOOKUP(D85,#REF!,#REF!)</f>
        <v>#REF!</v>
      </c>
      <c r="CK85" t="e">
        <f t="shared" si="25"/>
        <v>#REF!</v>
      </c>
      <c r="CM85" s="224" t="e">
        <f t="shared" si="26"/>
        <v>#REF!</v>
      </c>
      <c r="CN85" s="224" t="e">
        <f t="shared" si="27"/>
        <v>#REF!</v>
      </c>
      <c r="CO85" s="224" t="e">
        <f t="shared" si="27"/>
        <v>#REF!</v>
      </c>
    </row>
    <row r="86" spans="1:93">
      <c r="A86" s="507" t="s">
        <v>206</v>
      </c>
      <c r="B86" t="s">
        <v>201</v>
      </c>
      <c r="C86">
        <v>101364</v>
      </c>
      <c r="D86" s="3">
        <v>3025407</v>
      </c>
      <c r="E86" s="3">
        <v>5407</v>
      </c>
      <c r="F86">
        <v>10142</v>
      </c>
      <c r="G86">
        <v>90142</v>
      </c>
      <c r="H86">
        <v>938691</v>
      </c>
      <c r="I86">
        <v>724053</v>
      </c>
      <c r="J86">
        <v>0</v>
      </c>
      <c r="K86">
        <v>724053</v>
      </c>
      <c r="L86" s="500">
        <v>7835638.4299999997</v>
      </c>
      <c r="M86" s="500">
        <v>1054562.68</v>
      </c>
      <c r="N86" s="500">
        <v>228163.13</v>
      </c>
      <c r="O86" s="500">
        <v>0</v>
      </c>
      <c r="P86" s="500">
        <v>292795</v>
      </c>
      <c r="Q86" s="500">
        <v>35874.32</v>
      </c>
      <c r="R86" s="500">
        <v>23200.09</v>
      </c>
      <c r="S86" s="500">
        <v>0</v>
      </c>
      <c r="T86" s="500">
        <v>29749.360000000001</v>
      </c>
      <c r="U86" s="500">
        <v>0</v>
      </c>
      <c r="V86" s="500">
        <v>0</v>
      </c>
      <c r="W86" s="500">
        <v>0</v>
      </c>
      <c r="X86" s="500">
        <v>52914.66</v>
      </c>
      <c r="Y86" s="500">
        <v>79350.12</v>
      </c>
      <c r="Z86" s="500">
        <v>0</v>
      </c>
      <c r="AA86" s="500">
        <v>0</v>
      </c>
      <c r="AB86" s="500">
        <v>0</v>
      </c>
      <c r="AC86" s="500">
        <v>0</v>
      </c>
      <c r="AD86" s="500">
        <v>0</v>
      </c>
      <c r="AE86" s="500">
        <v>106821.75999999999</v>
      </c>
      <c r="AF86" s="500">
        <v>0</v>
      </c>
      <c r="AG86" s="501">
        <f t="shared" si="28"/>
        <v>9739069.5499999989</v>
      </c>
      <c r="AH86" s="500">
        <v>5201992.67</v>
      </c>
      <c r="AI86" s="500">
        <v>0</v>
      </c>
      <c r="AJ86" s="500">
        <v>1138769.17</v>
      </c>
      <c r="AK86" s="500">
        <v>156684.28</v>
      </c>
      <c r="AL86" s="500">
        <v>470125.06</v>
      </c>
      <c r="AM86" s="500">
        <v>0</v>
      </c>
      <c r="AN86" s="500">
        <v>66888.070000000007</v>
      </c>
      <c r="AO86" s="500">
        <v>205796.3</v>
      </c>
      <c r="AP86" s="500">
        <v>19610.22</v>
      </c>
      <c r="AQ86" s="500">
        <v>1548</v>
      </c>
      <c r="AR86" s="500">
        <v>4761.45</v>
      </c>
      <c r="AS86" s="500">
        <v>49515.15</v>
      </c>
      <c r="AT86" s="500">
        <v>10548.29</v>
      </c>
      <c r="AU86" s="500">
        <v>178699.78</v>
      </c>
      <c r="AV86" s="500">
        <v>14454.34</v>
      </c>
      <c r="AW86" s="500">
        <v>477834.7</v>
      </c>
      <c r="AX86" s="500">
        <v>36442</v>
      </c>
      <c r="AY86" s="500">
        <v>107039.09</v>
      </c>
      <c r="AZ86" s="500">
        <v>209738.25</v>
      </c>
      <c r="BA86" s="500">
        <v>84284.17</v>
      </c>
      <c r="BB86" s="500">
        <v>146246.75</v>
      </c>
      <c r="BC86" s="500">
        <v>191870.63</v>
      </c>
      <c r="BD86" s="500">
        <v>54549.03</v>
      </c>
      <c r="BE86" s="500">
        <v>2038.96</v>
      </c>
      <c r="BF86" s="500">
        <v>84434.57</v>
      </c>
      <c r="BG86" s="500">
        <v>231514.1</v>
      </c>
      <c r="BH86" s="500">
        <v>467282.49</v>
      </c>
      <c r="BI86" s="500">
        <v>133696.66</v>
      </c>
      <c r="BJ86" s="500">
        <v>0</v>
      </c>
      <c r="BK86" s="500">
        <v>0</v>
      </c>
      <c r="BL86" s="500">
        <v>200000</v>
      </c>
      <c r="BM86" s="500">
        <v>0</v>
      </c>
      <c r="BN86" s="500">
        <v>0</v>
      </c>
      <c r="BO86" s="501">
        <f t="shared" si="19"/>
        <v>9946364.1800000016</v>
      </c>
      <c r="BP86" s="501">
        <f t="shared" si="20"/>
        <v>-207294.63000000268</v>
      </c>
      <c r="BQ86" s="501">
        <f t="shared" si="14"/>
        <v>516758.36999999732</v>
      </c>
      <c r="BR86" s="501">
        <f t="shared" si="15"/>
        <v>0</v>
      </c>
      <c r="BS86" s="501">
        <f t="shared" si="16"/>
        <v>516758.36999999732</v>
      </c>
      <c r="BT86" s="500">
        <v>0</v>
      </c>
      <c r="BU86" s="500"/>
      <c r="BV86" s="500"/>
      <c r="BW86" s="500"/>
      <c r="BX86" s="501">
        <f t="shared" si="21"/>
        <v>0</v>
      </c>
      <c r="BY86" s="500"/>
      <c r="BZ86" s="500"/>
      <c r="CA86" s="500"/>
      <c r="CB86" s="500"/>
      <c r="CC86" s="501">
        <f t="shared" si="22"/>
        <v>0</v>
      </c>
      <c r="CD86" s="500">
        <f t="shared" si="23"/>
        <v>0</v>
      </c>
      <c r="CE86" s="224">
        <f t="shared" si="24"/>
        <v>0</v>
      </c>
      <c r="CF86" s="224">
        <f t="shared" si="17"/>
        <v>516758.36999999732</v>
      </c>
      <c r="CI86" t="e">
        <f>_xlfn.XLOOKUP(D86,#REF!,#REF!)</f>
        <v>#REF!</v>
      </c>
      <c r="CJ86" t="e">
        <f>_xlfn.XLOOKUP(D86,#REF!,#REF!)</f>
        <v>#REF!</v>
      </c>
      <c r="CK86" t="e">
        <f t="shared" si="25"/>
        <v>#REF!</v>
      </c>
      <c r="CM86" s="224" t="e">
        <f t="shared" si="26"/>
        <v>#REF!</v>
      </c>
      <c r="CN86" s="224" t="e">
        <f t="shared" si="27"/>
        <v>#REF!</v>
      </c>
      <c r="CO86" s="224" t="e">
        <f t="shared" si="27"/>
        <v>#REF!</v>
      </c>
    </row>
    <row r="87" spans="1:93">
      <c r="A87" s="507" t="s">
        <v>208</v>
      </c>
      <c r="B87" t="s">
        <v>207</v>
      </c>
      <c r="C87">
        <v>101397</v>
      </c>
      <c r="D87">
        <v>3027010</v>
      </c>
      <c r="E87">
        <v>7010</v>
      </c>
      <c r="F87">
        <v>10159</v>
      </c>
      <c r="G87">
        <v>90159</v>
      </c>
      <c r="H87">
        <v>938699</v>
      </c>
      <c r="I87">
        <v>621555</v>
      </c>
      <c r="J87">
        <v>0</v>
      </c>
      <c r="K87">
        <v>621555</v>
      </c>
      <c r="L87" s="500">
        <v>981557.03</v>
      </c>
      <c r="M87" s="500">
        <v>310200</v>
      </c>
      <c r="N87" s="500">
        <v>2777515.97</v>
      </c>
      <c r="O87" s="500">
        <v>0</v>
      </c>
      <c r="P87" s="500">
        <v>43534.98</v>
      </c>
      <c r="Q87" s="500">
        <v>67900.39</v>
      </c>
      <c r="R87" s="500">
        <v>24927.1</v>
      </c>
      <c r="S87" s="500">
        <v>945.4</v>
      </c>
      <c r="T87" s="500">
        <v>0</v>
      </c>
      <c r="U87" s="500">
        <v>14675.2</v>
      </c>
      <c r="V87" s="500">
        <v>0</v>
      </c>
      <c r="W87" s="500">
        <v>3900</v>
      </c>
      <c r="X87" s="500">
        <v>690</v>
      </c>
      <c r="Y87" s="500">
        <v>6859.18</v>
      </c>
      <c r="Z87" s="500">
        <v>0</v>
      </c>
      <c r="AA87" s="500">
        <v>0</v>
      </c>
      <c r="AB87" s="500">
        <v>0</v>
      </c>
      <c r="AC87" s="500">
        <v>0</v>
      </c>
      <c r="AD87" s="500">
        <v>0</v>
      </c>
      <c r="AE87" s="500">
        <v>54937.88</v>
      </c>
      <c r="AF87" s="500">
        <v>0</v>
      </c>
      <c r="AG87" s="501">
        <f t="shared" si="28"/>
        <v>4287643.13</v>
      </c>
      <c r="AH87" s="500">
        <v>1536360.9</v>
      </c>
      <c r="AI87" s="500">
        <v>0</v>
      </c>
      <c r="AJ87" s="500">
        <v>1719184.25</v>
      </c>
      <c r="AK87" s="500">
        <v>109670.73</v>
      </c>
      <c r="AL87" s="500">
        <v>166636.93</v>
      </c>
      <c r="AM87" s="500">
        <v>0</v>
      </c>
      <c r="AN87" s="500">
        <v>95326.76</v>
      </c>
      <c r="AO87" s="500">
        <v>26690.39</v>
      </c>
      <c r="AP87" s="500">
        <v>16899.93</v>
      </c>
      <c r="AQ87" s="500">
        <v>0</v>
      </c>
      <c r="AR87" s="500">
        <v>0</v>
      </c>
      <c r="AS87" s="500">
        <v>60072.12</v>
      </c>
      <c r="AT87" s="500">
        <v>18220.3</v>
      </c>
      <c r="AU87" s="500">
        <v>4757.01</v>
      </c>
      <c r="AV87" s="500">
        <v>5686.71</v>
      </c>
      <c r="AW87" s="500">
        <v>70293.039999999994</v>
      </c>
      <c r="AX87" s="500">
        <v>0</v>
      </c>
      <c r="AY87" s="500">
        <v>19960.09</v>
      </c>
      <c r="AZ87" s="500">
        <v>64594.6</v>
      </c>
      <c r="BA87" s="500">
        <v>17126.72</v>
      </c>
      <c r="BB87" s="500">
        <v>1277.45</v>
      </c>
      <c r="BC87" s="500">
        <v>9695.11</v>
      </c>
      <c r="BD87" s="500">
        <v>8950.59</v>
      </c>
      <c r="BE87" s="500">
        <v>67492.399999999994</v>
      </c>
      <c r="BF87" s="500">
        <v>33713.1</v>
      </c>
      <c r="BG87" s="500">
        <v>50270.400000000001</v>
      </c>
      <c r="BH87" s="500">
        <v>331632.48</v>
      </c>
      <c r="BI87" s="500">
        <v>34512.800000000003</v>
      </c>
      <c r="BJ87" s="500">
        <v>0</v>
      </c>
      <c r="BK87" s="500">
        <v>0</v>
      </c>
      <c r="BL87" s="500">
        <v>0</v>
      </c>
      <c r="BM87" s="500">
        <v>0</v>
      </c>
      <c r="BN87" s="500">
        <v>0</v>
      </c>
      <c r="BO87" s="501">
        <f t="shared" si="19"/>
        <v>4469024.8099999996</v>
      </c>
      <c r="BP87" s="501">
        <f t="shared" si="20"/>
        <v>-181381.6799999997</v>
      </c>
      <c r="BQ87" s="501">
        <f t="shared" si="14"/>
        <v>440173.3200000003</v>
      </c>
      <c r="BR87" s="501">
        <f t="shared" si="15"/>
        <v>0</v>
      </c>
      <c r="BS87" s="501">
        <f t="shared" si="16"/>
        <v>440173.3200000003</v>
      </c>
      <c r="BT87" s="500">
        <v>48935</v>
      </c>
      <c r="BU87" s="500">
        <v>9265</v>
      </c>
      <c r="BV87" s="500">
        <v>0</v>
      </c>
      <c r="BW87" s="500">
        <v>0</v>
      </c>
      <c r="BX87" s="501">
        <f t="shared" si="21"/>
        <v>9265</v>
      </c>
      <c r="BY87" s="500">
        <v>0</v>
      </c>
      <c r="BZ87" s="500">
        <v>10609.81</v>
      </c>
      <c r="CA87" s="500">
        <v>8928</v>
      </c>
      <c r="CB87" s="500">
        <v>0</v>
      </c>
      <c r="CC87" s="501">
        <f t="shared" si="22"/>
        <v>19537.809999999998</v>
      </c>
      <c r="CD87" s="500">
        <f t="shared" si="23"/>
        <v>-10272.809999999998</v>
      </c>
      <c r="CE87" s="224">
        <f t="shared" si="24"/>
        <v>38662.19</v>
      </c>
      <c r="CF87" s="224">
        <f t="shared" si="17"/>
        <v>478835.5100000003</v>
      </c>
      <c r="CI87" t="e">
        <f>_xlfn.XLOOKUP(D87,#REF!,#REF!)</f>
        <v>#REF!</v>
      </c>
      <c r="CJ87" t="e">
        <f>_xlfn.XLOOKUP(D87,#REF!,#REF!)</f>
        <v>#REF!</v>
      </c>
      <c r="CK87" t="e">
        <f t="shared" si="25"/>
        <v>#REF!</v>
      </c>
      <c r="CM87" s="224" t="e">
        <f t="shared" si="26"/>
        <v>#REF!</v>
      </c>
      <c r="CN87" s="224" t="e">
        <f t="shared" si="27"/>
        <v>#REF!</v>
      </c>
      <c r="CO87" s="224" t="e">
        <f t="shared" si="27"/>
        <v>#REF!</v>
      </c>
    </row>
    <row r="88" spans="1:93">
      <c r="A88" s="507" t="s">
        <v>209</v>
      </c>
      <c r="B88" t="s">
        <v>207</v>
      </c>
      <c r="C88">
        <v>101395</v>
      </c>
      <c r="D88">
        <v>3027005</v>
      </c>
      <c r="E88">
        <v>7005</v>
      </c>
      <c r="F88">
        <v>10157</v>
      </c>
      <c r="G88">
        <v>90157</v>
      </c>
      <c r="H88">
        <v>938697</v>
      </c>
      <c r="I88">
        <v>343065</v>
      </c>
      <c r="J88">
        <v>0</v>
      </c>
      <c r="K88">
        <v>343065</v>
      </c>
      <c r="L88" s="500">
        <v>1766125.01</v>
      </c>
      <c r="M88" s="500">
        <v>0</v>
      </c>
      <c r="N88" s="500">
        <v>1997116.79</v>
      </c>
      <c r="O88" s="500">
        <v>0</v>
      </c>
      <c r="P88" s="500">
        <v>76890.02</v>
      </c>
      <c r="Q88" s="500">
        <v>10645</v>
      </c>
      <c r="R88" s="500">
        <v>13432.32</v>
      </c>
      <c r="S88" s="500">
        <v>26138</v>
      </c>
      <c r="T88" s="500">
        <v>21806.080000000002</v>
      </c>
      <c r="U88" s="500">
        <v>4101.8999999999996</v>
      </c>
      <c r="V88" s="500">
        <v>0</v>
      </c>
      <c r="W88" s="500">
        <v>0</v>
      </c>
      <c r="X88" s="500">
        <v>230</v>
      </c>
      <c r="Y88" s="500">
        <v>15627.73</v>
      </c>
      <c r="Z88" s="500">
        <v>0</v>
      </c>
      <c r="AA88" s="500">
        <v>0</v>
      </c>
      <c r="AB88" s="500">
        <v>0</v>
      </c>
      <c r="AC88" s="500">
        <v>0</v>
      </c>
      <c r="AD88" s="500">
        <v>0</v>
      </c>
      <c r="AE88" s="500">
        <v>83661.56</v>
      </c>
      <c r="AF88" s="500">
        <v>35379</v>
      </c>
      <c r="AG88" s="501">
        <f t="shared" si="28"/>
        <v>4051153.4099999997</v>
      </c>
      <c r="AH88" s="500">
        <v>1375854.72</v>
      </c>
      <c r="AI88" s="500">
        <v>0</v>
      </c>
      <c r="AJ88" s="500">
        <v>1234680.0900000001</v>
      </c>
      <c r="AK88" s="500">
        <v>54971.98</v>
      </c>
      <c r="AL88" s="500">
        <v>148173.51</v>
      </c>
      <c r="AM88" s="500">
        <v>0</v>
      </c>
      <c r="AN88" s="500">
        <v>25014.87</v>
      </c>
      <c r="AO88" s="500">
        <v>13707.76</v>
      </c>
      <c r="AP88" s="500">
        <v>16697.060000000001</v>
      </c>
      <c r="AQ88" s="500">
        <v>0</v>
      </c>
      <c r="AR88" s="500">
        <v>0</v>
      </c>
      <c r="AS88" s="500">
        <v>67798.149999999994</v>
      </c>
      <c r="AT88" s="500">
        <v>6666.31</v>
      </c>
      <c r="AU88" s="500">
        <v>52937.74</v>
      </c>
      <c r="AV88" s="500">
        <v>7400.6</v>
      </c>
      <c r="AW88" s="500">
        <v>141688.84</v>
      </c>
      <c r="AX88" s="500">
        <v>0</v>
      </c>
      <c r="AY88" s="500">
        <v>18234.29</v>
      </c>
      <c r="AZ88" s="500">
        <v>86076.94</v>
      </c>
      <c r="BA88" s="500">
        <v>23416.76</v>
      </c>
      <c r="BB88" s="500">
        <v>0</v>
      </c>
      <c r="BC88" s="500">
        <v>13116.67</v>
      </c>
      <c r="BD88" s="500">
        <v>6412</v>
      </c>
      <c r="BE88" s="500">
        <v>0</v>
      </c>
      <c r="BF88" s="500">
        <v>66699.570000000007</v>
      </c>
      <c r="BG88" s="500">
        <v>45118</v>
      </c>
      <c r="BH88" s="500">
        <v>827377.81</v>
      </c>
      <c r="BI88" s="500">
        <v>49947.92</v>
      </c>
      <c r="BJ88" s="500">
        <v>0</v>
      </c>
      <c r="BK88" s="500">
        <v>0</v>
      </c>
      <c r="BL88" s="500">
        <v>17965.5</v>
      </c>
      <c r="BM88" s="500">
        <v>0</v>
      </c>
      <c r="BN88" s="500">
        <v>0</v>
      </c>
      <c r="BO88" s="501">
        <f t="shared" si="19"/>
        <v>4299957.09</v>
      </c>
      <c r="BP88" s="501">
        <f t="shared" si="20"/>
        <v>-248803.68000000017</v>
      </c>
      <c r="BQ88" s="501">
        <f t="shared" si="14"/>
        <v>94261.320000000298</v>
      </c>
      <c r="BR88" s="501">
        <f t="shared" si="15"/>
        <v>0</v>
      </c>
      <c r="BS88" s="501">
        <f t="shared" si="16"/>
        <v>94261.319999999832</v>
      </c>
      <c r="BT88" s="500">
        <v>0</v>
      </c>
      <c r="BU88" s="500">
        <v>10277.5</v>
      </c>
      <c r="BV88" s="500">
        <v>33500</v>
      </c>
      <c r="BW88" s="500">
        <v>17965.5</v>
      </c>
      <c r="BX88" s="501">
        <f t="shared" si="21"/>
        <v>61743</v>
      </c>
      <c r="BY88" s="500">
        <v>0</v>
      </c>
      <c r="BZ88" s="500">
        <v>21667</v>
      </c>
      <c r="CA88" s="500">
        <v>33500</v>
      </c>
      <c r="CB88" s="500">
        <v>6576</v>
      </c>
      <c r="CC88" s="501">
        <f t="shared" si="22"/>
        <v>61743</v>
      </c>
      <c r="CD88" s="500">
        <f t="shared" si="23"/>
        <v>0</v>
      </c>
      <c r="CE88" s="224">
        <f t="shared" si="24"/>
        <v>0</v>
      </c>
      <c r="CF88" s="224">
        <f t="shared" si="17"/>
        <v>94261.319999999832</v>
      </c>
      <c r="CI88" t="e">
        <f>_xlfn.XLOOKUP(D88,#REF!,#REF!)</f>
        <v>#REF!</v>
      </c>
      <c r="CJ88" t="e">
        <f>_xlfn.XLOOKUP(D88,#REF!,#REF!)</f>
        <v>#REF!</v>
      </c>
      <c r="CK88" t="e">
        <f t="shared" si="25"/>
        <v>#REF!</v>
      </c>
      <c r="CM88" s="224" t="e">
        <f t="shared" si="26"/>
        <v>#REF!</v>
      </c>
      <c r="CN88" s="224" t="e">
        <f t="shared" si="27"/>
        <v>#REF!</v>
      </c>
      <c r="CO88" s="224" t="e">
        <f t="shared" si="27"/>
        <v>#REF!</v>
      </c>
    </row>
    <row r="89" spans="1:93">
      <c r="A89" s="507" t="s">
        <v>210</v>
      </c>
      <c r="B89" t="s">
        <v>207</v>
      </c>
      <c r="C89">
        <v>101396</v>
      </c>
      <c r="D89">
        <v>3027009</v>
      </c>
      <c r="E89">
        <v>7009</v>
      </c>
      <c r="F89">
        <v>10158</v>
      </c>
      <c r="G89">
        <v>90158</v>
      </c>
      <c r="H89">
        <v>938698</v>
      </c>
      <c r="I89">
        <v>228591</v>
      </c>
      <c r="J89">
        <v>0</v>
      </c>
      <c r="K89">
        <v>228591</v>
      </c>
      <c r="L89" s="500">
        <v>1883688.04</v>
      </c>
      <c r="M89" s="500">
        <v>0</v>
      </c>
      <c r="N89" s="500">
        <v>2720830.54</v>
      </c>
      <c r="O89" s="500">
        <v>0</v>
      </c>
      <c r="P89" s="500">
        <v>94774.98</v>
      </c>
      <c r="Q89" s="500">
        <v>1200</v>
      </c>
      <c r="R89" s="500">
        <v>15432</v>
      </c>
      <c r="S89" s="500">
        <v>4837.8500000000004</v>
      </c>
      <c r="T89" s="500">
        <v>731008</v>
      </c>
      <c r="U89" s="500">
        <v>2185.59</v>
      </c>
      <c r="V89" s="500">
        <v>0</v>
      </c>
      <c r="W89" s="500">
        <v>0</v>
      </c>
      <c r="X89" s="500">
        <v>1900.95</v>
      </c>
      <c r="Y89" s="500">
        <v>25134.48</v>
      </c>
      <c r="Z89" s="500">
        <v>0</v>
      </c>
      <c r="AA89" s="500">
        <v>0</v>
      </c>
      <c r="AB89" s="500">
        <v>0</v>
      </c>
      <c r="AC89" s="500">
        <v>0</v>
      </c>
      <c r="AD89" s="500">
        <v>0</v>
      </c>
      <c r="AE89" s="500">
        <v>43263.44</v>
      </c>
      <c r="AF89" s="500">
        <v>25525</v>
      </c>
      <c r="AG89" s="501">
        <f t="shared" si="28"/>
        <v>5549780.870000001</v>
      </c>
      <c r="AH89" s="500">
        <v>2079122.33</v>
      </c>
      <c r="AI89" s="500">
        <v>3274.17</v>
      </c>
      <c r="AJ89" s="500">
        <v>2155255.17</v>
      </c>
      <c r="AK89" s="500">
        <v>45946.27</v>
      </c>
      <c r="AL89" s="500">
        <v>112468.63</v>
      </c>
      <c r="AM89" s="500">
        <v>0</v>
      </c>
      <c r="AN89" s="500">
        <v>167375.32</v>
      </c>
      <c r="AO89" s="500">
        <v>38859.61</v>
      </c>
      <c r="AP89" s="500">
        <v>21440.48</v>
      </c>
      <c r="AQ89" s="500">
        <v>0</v>
      </c>
      <c r="AR89" s="500">
        <v>0</v>
      </c>
      <c r="AS89" s="500">
        <v>63957.79</v>
      </c>
      <c r="AT89" s="500">
        <v>10406.64</v>
      </c>
      <c r="AU89" s="500">
        <v>34293.19</v>
      </c>
      <c r="AV89" s="500">
        <v>6655.98</v>
      </c>
      <c r="AW89" s="500">
        <v>74735.14</v>
      </c>
      <c r="AX89" s="500">
        <v>0</v>
      </c>
      <c r="AY89" s="500">
        <v>26762.639999999999</v>
      </c>
      <c r="AZ89" s="500">
        <v>89944.63</v>
      </c>
      <c r="BA89" s="500">
        <v>35603.89</v>
      </c>
      <c r="BB89" s="500">
        <v>0</v>
      </c>
      <c r="BC89" s="500">
        <v>27951.89</v>
      </c>
      <c r="BD89" s="500">
        <v>12240</v>
      </c>
      <c r="BE89" s="500">
        <v>72669.7</v>
      </c>
      <c r="BF89" s="500">
        <v>37262.39</v>
      </c>
      <c r="BG89" s="500">
        <v>12011.8</v>
      </c>
      <c r="BH89" s="500">
        <v>514902.18</v>
      </c>
      <c r="BI89" s="500">
        <v>48496.3</v>
      </c>
      <c r="BJ89" s="500">
        <v>0</v>
      </c>
      <c r="BK89" s="500">
        <v>0</v>
      </c>
      <c r="BL89" s="500">
        <v>22841</v>
      </c>
      <c r="BM89" s="500">
        <v>0</v>
      </c>
      <c r="BN89" s="500">
        <v>0</v>
      </c>
      <c r="BO89" s="501">
        <f t="shared" si="19"/>
        <v>5714477.1399999987</v>
      </c>
      <c r="BP89" s="501">
        <f t="shared" si="20"/>
        <v>-164696.26999999769</v>
      </c>
      <c r="BQ89" s="501">
        <f t="shared" si="14"/>
        <v>63894.73000000231</v>
      </c>
      <c r="BR89" s="501">
        <f t="shared" si="15"/>
        <v>0</v>
      </c>
      <c r="BS89" s="501">
        <f t="shared" si="16"/>
        <v>63894.73000000231</v>
      </c>
      <c r="BT89" s="500">
        <v>52315</v>
      </c>
      <c r="BU89" s="500">
        <v>11178.63</v>
      </c>
      <c r="BV89" s="500">
        <v>20550</v>
      </c>
      <c r="BW89" s="500">
        <v>22841</v>
      </c>
      <c r="BX89" s="501">
        <f t="shared" si="21"/>
        <v>54569.63</v>
      </c>
      <c r="BY89" s="500">
        <v>0</v>
      </c>
      <c r="BZ89" s="500">
        <v>39045</v>
      </c>
      <c r="CA89" s="500">
        <v>48923</v>
      </c>
      <c r="CB89" s="500">
        <v>18916.599999999999</v>
      </c>
      <c r="CC89" s="501">
        <f t="shared" si="22"/>
        <v>106884.6</v>
      </c>
      <c r="CD89" s="500">
        <f t="shared" si="23"/>
        <v>-52314.970000000008</v>
      </c>
      <c r="CE89" s="224">
        <f t="shared" si="24"/>
        <v>2.9999999991559889E-2</v>
      </c>
      <c r="CF89" s="224">
        <f t="shared" si="17"/>
        <v>63894.760000002301</v>
      </c>
      <c r="CI89" t="e">
        <f>_xlfn.XLOOKUP(D89,#REF!,#REF!)</f>
        <v>#REF!</v>
      </c>
      <c r="CJ89" t="e">
        <f>_xlfn.XLOOKUP(D89,#REF!,#REF!)</f>
        <v>#REF!</v>
      </c>
      <c r="CK89" t="e">
        <f t="shared" si="25"/>
        <v>#REF!</v>
      </c>
      <c r="CM89" s="224" t="e">
        <f t="shared" si="26"/>
        <v>#REF!</v>
      </c>
      <c r="CN89" s="224" t="e">
        <f t="shared" si="27"/>
        <v>#REF!</v>
      </c>
      <c r="CO89" s="224" t="e">
        <f t="shared" si="27"/>
        <v>#REF!</v>
      </c>
    </row>
    <row r="90" spans="1:93">
      <c r="A90" s="507" t="s">
        <v>212</v>
      </c>
      <c r="B90" t="s">
        <v>211</v>
      </c>
      <c r="C90">
        <v>103119</v>
      </c>
      <c r="D90" s="3">
        <v>3023521</v>
      </c>
      <c r="E90" s="3">
        <v>3521</v>
      </c>
      <c r="F90">
        <v>10698</v>
      </c>
      <c r="G90">
        <v>90698</v>
      </c>
      <c r="H90">
        <v>938681</v>
      </c>
      <c r="I90">
        <v>1222190</v>
      </c>
      <c r="J90">
        <v>0</v>
      </c>
      <c r="K90">
        <v>1222190</v>
      </c>
      <c r="L90" s="500">
        <v>9777687.4299999997</v>
      </c>
      <c r="M90" s="500">
        <v>607960.68000000005</v>
      </c>
      <c r="N90" s="500">
        <v>265129.17</v>
      </c>
      <c r="O90" s="500">
        <v>0</v>
      </c>
      <c r="P90" s="500">
        <v>548723.49</v>
      </c>
      <c r="Q90" s="500">
        <v>10009.9</v>
      </c>
      <c r="R90" s="500">
        <v>197787.32</v>
      </c>
      <c r="S90" s="500">
        <v>75981.649999999994</v>
      </c>
      <c r="T90" s="500">
        <v>61350.07</v>
      </c>
      <c r="U90" s="500">
        <v>194747.77</v>
      </c>
      <c r="V90" s="500">
        <v>0</v>
      </c>
      <c r="W90" s="500">
        <v>6801</v>
      </c>
      <c r="X90" s="500">
        <v>199563.37</v>
      </c>
      <c r="Y90" s="500">
        <v>39341.870000000003</v>
      </c>
      <c r="Z90" s="500">
        <v>0</v>
      </c>
      <c r="AA90" s="500">
        <v>0</v>
      </c>
      <c r="AB90" s="500">
        <v>0</v>
      </c>
      <c r="AC90" s="500">
        <v>0</v>
      </c>
      <c r="AD90" s="500">
        <v>0</v>
      </c>
      <c r="AE90" s="500">
        <v>156827.12</v>
      </c>
      <c r="AF90" s="500">
        <v>116441</v>
      </c>
      <c r="AG90" s="501">
        <f t="shared" si="28"/>
        <v>12258351.839999998</v>
      </c>
      <c r="AH90" s="500">
        <v>5937565.5899999999</v>
      </c>
      <c r="AI90" s="500">
        <v>0</v>
      </c>
      <c r="AJ90" s="500">
        <v>1297530.3799999999</v>
      </c>
      <c r="AK90" s="500">
        <v>227420.64</v>
      </c>
      <c r="AL90" s="500">
        <v>738383.55</v>
      </c>
      <c r="AM90" s="500">
        <v>0</v>
      </c>
      <c r="AN90" s="500">
        <v>112487.23</v>
      </c>
      <c r="AO90" s="500">
        <v>117137.60000000001</v>
      </c>
      <c r="AP90" s="500">
        <v>22936.17</v>
      </c>
      <c r="AQ90" s="500">
        <v>2269.96</v>
      </c>
      <c r="AR90" s="500">
        <v>0</v>
      </c>
      <c r="AS90" s="500">
        <v>84117.72</v>
      </c>
      <c r="AT90" s="500">
        <v>14485.82</v>
      </c>
      <c r="AU90" s="500">
        <v>179136.31</v>
      </c>
      <c r="AV90" s="500">
        <v>27467.43</v>
      </c>
      <c r="AW90" s="500">
        <v>310157.96999999997</v>
      </c>
      <c r="AX90" s="500">
        <v>60817.64</v>
      </c>
      <c r="AY90" s="500">
        <v>55059.11</v>
      </c>
      <c r="AZ90" s="500">
        <v>475685.61</v>
      </c>
      <c r="BA90" s="500">
        <v>130251.65</v>
      </c>
      <c r="BB90" s="500">
        <v>113399.57</v>
      </c>
      <c r="BC90" s="500">
        <v>110163.98999999999</v>
      </c>
      <c r="BD90" s="500">
        <v>61802.86</v>
      </c>
      <c r="BE90" s="500">
        <v>16518.5</v>
      </c>
      <c r="BF90" s="500">
        <v>455930.86</v>
      </c>
      <c r="BG90" s="500">
        <v>432142.43</v>
      </c>
      <c r="BH90" s="500">
        <v>653712.44999999995</v>
      </c>
      <c r="BI90" s="500">
        <v>322245.96000000002</v>
      </c>
      <c r="BJ90" s="500">
        <v>0</v>
      </c>
      <c r="BK90" s="500">
        <v>0</v>
      </c>
      <c r="BL90" s="500">
        <v>47173.99</v>
      </c>
      <c r="BM90" s="500">
        <v>0</v>
      </c>
      <c r="BN90" s="500">
        <v>0</v>
      </c>
      <c r="BO90" s="501">
        <f t="shared" si="19"/>
        <v>12006000.990000002</v>
      </c>
      <c r="BP90" s="501">
        <f t="shared" si="20"/>
        <v>252350.8499999959</v>
      </c>
      <c r="BQ90" s="501">
        <f t="shared" si="14"/>
        <v>1474540.8499999959</v>
      </c>
      <c r="BR90" s="501">
        <f t="shared" si="15"/>
        <v>0</v>
      </c>
      <c r="BS90" s="501">
        <f t="shared" si="16"/>
        <v>1474540.8499999959</v>
      </c>
      <c r="BT90" s="500">
        <v>0</v>
      </c>
      <c r="BU90" s="500"/>
      <c r="BV90" s="500"/>
      <c r="BW90" s="500"/>
      <c r="BX90" s="501">
        <f t="shared" si="21"/>
        <v>0</v>
      </c>
      <c r="BY90" s="500"/>
      <c r="BZ90" s="500"/>
      <c r="CA90" s="500"/>
      <c r="CB90" s="500"/>
      <c r="CC90" s="501">
        <f t="shared" si="22"/>
        <v>0</v>
      </c>
      <c r="CD90" s="500">
        <f t="shared" si="23"/>
        <v>0</v>
      </c>
      <c r="CE90" s="224">
        <f t="shared" si="24"/>
        <v>0</v>
      </c>
      <c r="CF90" s="224">
        <f t="shared" si="17"/>
        <v>1474540.8499999959</v>
      </c>
      <c r="CM90" s="224"/>
      <c r="CN90" s="224"/>
      <c r="CO90" s="224"/>
    </row>
    <row r="91" spans="1:93">
      <c r="A91" s="509" t="s">
        <v>703</v>
      </c>
      <c r="B91" s="17"/>
      <c r="C91" s="17"/>
      <c r="D91" s="17"/>
      <c r="E91" s="17"/>
      <c r="F91" s="17"/>
      <c r="H91" s="17"/>
      <c r="I91" s="17"/>
      <c r="J91" s="17"/>
      <c r="K91" s="500">
        <f>SUM(K4:K90)</f>
        <v>8754832.9900000002</v>
      </c>
      <c r="AG91" s="501">
        <f t="shared" si="28"/>
        <v>0</v>
      </c>
      <c r="BO91" s="501">
        <f t="shared" si="19"/>
        <v>0</v>
      </c>
      <c r="BP91" s="501"/>
      <c r="BQ91" s="501"/>
      <c r="BR91" s="501"/>
      <c r="BS91" s="501"/>
      <c r="BX91" s="501"/>
      <c r="CC91" s="501"/>
    </row>
    <row r="94" spans="1:93">
      <c r="AG94"/>
      <c r="AO94" s="17"/>
      <c r="BO94"/>
      <c r="BP94"/>
      <c r="BQ94"/>
      <c r="BR94"/>
      <c r="BS94"/>
      <c r="BX94"/>
      <c r="BY94" s="17"/>
      <c r="BZ94" s="17"/>
      <c r="CA94" s="17"/>
      <c r="CC94"/>
      <c r="CF94" s="17"/>
    </row>
  </sheetData>
  <autoFilter ref="A3:CO91" xr:uid="{CA6DE5D2-BB61-4E41-B210-27D4F25872C4}"/>
  <conditionalFormatting sqref="A56">
    <cfRule type="expression" dxfId="25" priority="10">
      <formula>AND($K56="yes",$L56="yes",$M56="yes",$N56="yes",$O56="yes",$P56="yes",$Q56="yes",$R56="N/A",$S56="yes",$U56="yes",$W56="yes")</formula>
    </cfRule>
    <cfRule type="expression" dxfId="24" priority="11">
      <formula>AND($K56="yes",$L56="yes",$M56="yes",$N56="yes",$O56="yes",$P56="yes",$Q56="yes",$R56="yes",$S56="yes",$U56="yes",$W56="yes")</formula>
    </cfRule>
    <cfRule type="expression" dxfId="23" priority="12">
      <formula>OR($K56="yes",$M56="yes",$O56="yes",$Q56="yes",$R56="yes",$S56="yes")</formula>
    </cfRule>
  </conditionalFormatting>
  <conditionalFormatting sqref="A58:A90">
    <cfRule type="expression" dxfId="22" priority="13">
      <formula>AND($K58="yes",$L58="yes",$M58="yes",$N58="yes",$O58="N/A",$P58="yes",$S58="yes")</formula>
    </cfRule>
    <cfRule type="expression" dxfId="21" priority="14">
      <formula>AND($K58="yes",$L58="yes",$M58="yes",$N58="yes",$O58="yes",$P58="yes",$S58="yes")</formula>
    </cfRule>
    <cfRule type="expression" dxfId="20" priority="15">
      <formula>OR($K58="yes",$L58="yes",$M58="yes",$N58="yes",$O58="yes",$P58="yes")</formula>
    </cfRule>
    <cfRule type="expression" dxfId="19" priority="16">
      <formula>AND($K58="no",$L58="no",$M58="no",$N58="no",$O58="N/A",$P58="no")</formula>
    </cfRule>
    <cfRule type="expression" dxfId="18" priority="17">
      <formula>AND($K58="no",$L58="no",$M58="no",$N58="no",$O58="no",$P58="no")</formula>
    </cfRule>
  </conditionalFormatting>
  <conditionalFormatting sqref="A91">
    <cfRule type="expression" dxfId="17" priority="18">
      <formula>AND($K91="yes",$L92="yes",$M91="yes",$N91="yes",$O91="N/A",$P91="yes",$S91="yes")</formula>
    </cfRule>
    <cfRule type="expression" dxfId="16" priority="19">
      <formula>AND($K91="yes",$L92="yes",$M91="yes",$N91="yes",$O91="yes",$P91="yes",$S91="yes")</formula>
    </cfRule>
    <cfRule type="expression" dxfId="15" priority="20">
      <formula>OR($K91="yes",$L92="yes",$M91="yes",$N91="yes",$O91="yes",$P91="yes")</formula>
    </cfRule>
    <cfRule type="expression" dxfId="14" priority="21">
      <formula>AND($K91="no",$L92="no",$M91="no",$N91="no",$O91="N/A",$P91="no")</formula>
    </cfRule>
    <cfRule type="expression" dxfId="13" priority="22">
      <formula>AND($K91="no",$L92="no",$M91="no",$N91="no",$O91="no",$P91="no")</formula>
    </cfRule>
  </conditionalFormatting>
  <conditionalFormatting sqref="E4:E91">
    <cfRule type="duplicateValues" dxfId="12" priority="8"/>
  </conditionalFormatting>
  <conditionalFormatting sqref="E2:J3">
    <cfRule type="duplicateValues" dxfId="11" priority="24"/>
  </conditionalFormatting>
  <conditionalFormatting sqref="K2:K3">
    <cfRule type="duplicateValues" dxfId="10" priority="23"/>
  </conditionalFormatting>
  <conditionalFormatting sqref="L2:AB3">
    <cfRule type="duplicateValues" dxfId="9" priority="7"/>
  </conditionalFormatting>
  <conditionalFormatting sqref="AC2:BN3">
    <cfRule type="duplicateValues" dxfId="8" priority="6"/>
  </conditionalFormatting>
  <conditionalFormatting sqref="BO2:BS3">
    <cfRule type="duplicateValues" dxfId="7" priority="25"/>
  </conditionalFormatting>
  <conditionalFormatting sqref="BT2:BT3">
    <cfRule type="duplicateValues" dxfId="6" priority="1"/>
  </conditionalFormatting>
  <conditionalFormatting sqref="BU2:BW3 CA2:CA3 BY2:BY3">
    <cfRule type="duplicateValues" dxfId="5" priority="5"/>
  </conditionalFormatting>
  <conditionalFormatting sqref="BX2:BX3">
    <cfRule type="duplicateValues" dxfId="4" priority="3"/>
  </conditionalFormatting>
  <conditionalFormatting sqref="BZ2:BZ3">
    <cfRule type="duplicateValues" dxfId="3" priority="4"/>
  </conditionalFormatting>
  <conditionalFormatting sqref="CB2:CB3">
    <cfRule type="duplicateValues" dxfId="2" priority="9"/>
  </conditionalFormatting>
  <conditionalFormatting sqref="CC2:CC3">
    <cfRule type="duplicateValues" dxfId="1" priority="2"/>
  </conditionalFormatting>
  <conditionalFormatting sqref="CD2:CF2">
    <cfRule type="duplicateValues" dxfId="0" priority="26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A513174B256D46B49B969F0CE2A8A4" ma:contentTypeVersion="8" ma:contentTypeDescription="Create a new document." ma:contentTypeScope="" ma:versionID="564487ab0eb1fce400073e906d25658d">
  <xsd:schema xmlns:xsd="http://www.w3.org/2001/XMLSchema" xmlns:xs="http://www.w3.org/2001/XMLSchema" xmlns:p="http://schemas.microsoft.com/office/2006/metadata/properties" xmlns:ns3="1c6d1ae5-b46a-499e-972c-b53777b9b9b8" targetNamespace="http://schemas.microsoft.com/office/2006/metadata/properties" ma:root="true" ma:fieldsID="243e5dfb5f5368b55ba14ce02b82832b" ns3:_="">
    <xsd:import namespace="1c6d1ae5-b46a-499e-972c-b53777b9b9b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6d1ae5-b46a-499e-972c-b53777b9b9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ADF383-0222-4E14-8220-1EEEEC13E2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6d1ae5-b46a-499e-972c-b53777b9b9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1359E5-CE2D-403F-80D2-783A159E36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F54330-E473-4174-8D3D-B2EA59A0A23F}">
  <ds:schemaRefs>
    <ds:schemaRef ds:uri="http://purl.org/dc/elements/1.1/"/>
    <ds:schemaRef ds:uri="1c6d1ae5-b46a-499e-972c-b53777b9b9b8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ccdf8477-5183-4317-8e8b-f69ff0053fb7}" enabled="1" method="Standard" siteId="{1ba468b9-1414-4675-be4f-53c478ad47b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Template Tabs</vt:lpstr>
      <vt:lpstr>1) Instructions</vt:lpstr>
      <vt:lpstr>2a) YE Income &amp; Expenditure</vt:lpstr>
      <vt:lpstr>Sch. System spend-to-date</vt:lpstr>
      <vt:lpstr>Central Account Pre Accruals</vt:lpstr>
      <vt:lpstr>2b) Q4 Budget monitoring report</vt:lpstr>
      <vt:lpstr>3a) Reconciliation</vt:lpstr>
      <vt:lpstr> Bank Statement 31 Mar 2025</vt:lpstr>
      <vt:lpstr>Bank Rec as at 31 Mar 2025</vt:lpstr>
      <vt:lpstr>Unpresented Items</vt:lpstr>
      <vt:lpstr>3b) List of Accruals</vt:lpstr>
      <vt:lpstr>Central Account Post Accrual</vt:lpstr>
      <vt:lpstr>4) VAT Reconciliation</vt:lpstr>
      <vt:lpstr>Schools Quarterly VAT Total</vt:lpstr>
      <vt:lpstr>VAT Report for year end</vt:lpstr>
      <vt:lpstr>Lookup</vt:lpstr>
      <vt:lpstr>Schools Data</vt:lpstr>
      <vt:lpstr>2024-25 Budgets</vt:lpstr>
      <vt:lpstr>CFR 2023-24</vt:lpstr>
      <vt:lpstr>'3b) List of Accruals'!Print_Area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Evans, Gareth</dc:creator>
  <cp:lastModifiedBy>McPhail, Adam (LBB)</cp:lastModifiedBy>
  <cp:lastPrinted>2024-04-08T15:54:17Z</cp:lastPrinted>
  <dcterms:created xsi:type="dcterms:W3CDTF">2019-08-19T08:47:32Z</dcterms:created>
  <dcterms:modified xsi:type="dcterms:W3CDTF">2025-04-07T08:44:05Z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0x01010057A513174B256D46B49B969F0CE2A8A4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