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X:\Schools accountancy\Benchmarking\2025-26\"/>
    </mc:Choice>
  </mc:AlternateContent>
  <xr:revisionPtr revIDLastSave="0" documentId="13_ncr:1_{1FB78493-AF2D-42F6-9BA1-E5CBA83CAD77}" xr6:coauthVersionLast="47" xr6:coauthVersionMax="47" xr10:uidLastSave="{00000000-0000-0000-0000-000000000000}"/>
  <workbookProtection workbookAlgorithmName="SHA-512" workbookHashValue="6Ho4t4M5nwJ8Dppz01mq+9LFizKIp2IAfJMh4sE2reLlle0AR6YNxhJLssuAKg+Sd1TWxMSvAMBD/sjwyh3ZNg==" workbookSaltValue="mHcdDcIOlTbjd74Iol8N8w==" workbookSpinCount="100000" lockStructure="1"/>
  <bookViews>
    <workbookView xWindow="-108" yWindow="-108" windowWidth="23256" windowHeight="12456" tabRatio="842" xr2:uid="{00000000-000D-0000-FFFF-FFFF00000000}"/>
  </bookViews>
  <sheets>
    <sheet name="Benchmarking Ratio's Comparison" sheetId="14" r:id="rId1"/>
    <sheet name="All Schools Data view only" sheetId="3" r:id="rId2"/>
    <sheet name="CFR20252026_BenchMarkDataReport" sheetId="68" state="hidden" r:id="rId3"/>
    <sheet name="CFR20242025_BenchMarkDataReport" sheetId="69" state="hidden" r:id="rId4"/>
    <sheet name="PP" sheetId="71" state="hidden" r:id="rId5"/>
    <sheet name="FEE9m-2 Spr 25 - 26" sheetId="72" state="hidden" r:id="rId6"/>
    <sheet name="FEE2 Spring 25 - 26" sheetId="73" state="hidden" r:id="rId7"/>
    <sheet name="FEE 34 Spring 25 - 26" sheetId="74" state="hidden" r:id="rId8"/>
  </sheets>
  <externalReferences>
    <externalReference r:id="rId9"/>
  </externalReferences>
  <definedNames>
    <definedName name="_______AD1">#REF!</definedName>
    <definedName name="_______AD2">#REF!</definedName>
    <definedName name="______AD1">#REF!</definedName>
    <definedName name="______AD2">#REF!</definedName>
    <definedName name="_____AD1">#REF!</definedName>
    <definedName name="_____AD2">#REF!</definedName>
    <definedName name="_____KS1">#REF!</definedName>
    <definedName name="_____KS2">#REF!</definedName>
    <definedName name="_____KS3">#REF!</definedName>
    <definedName name="____AD1">#REF!</definedName>
    <definedName name="____AD2">#REF!</definedName>
    <definedName name="____KS1">#REF!</definedName>
    <definedName name="____KS2">#REF!</definedName>
    <definedName name="____KS3">#REF!</definedName>
    <definedName name="____lea95">#REF!</definedName>
    <definedName name="____lea96">#REF!</definedName>
    <definedName name="____lea97">#REF!</definedName>
    <definedName name="____lea98">#REF!</definedName>
    <definedName name="____lu9495">#REF!</definedName>
    <definedName name="____lu9596">#REF!</definedName>
    <definedName name="____lu9697">#REF!</definedName>
    <definedName name="____Num2">#REF!</definedName>
    <definedName name="____pup1">#REF!</definedName>
    <definedName name="____pup2">#REF!</definedName>
    <definedName name="____RO1">#REF!</definedName>
    <definedName name="___AD1">#REF!</definedName>
    <definedName name="___AD2">#REF!</definedName>
    <definedName name="___KS1">#REF!</definedName>
    <definedName name="___KS2">#REF!</definedName>
    <definedName name="___KS3">#REF!</definedName>
    <definedName name="___lea95">#REF!</definedName>
    <definedName name="___lea96">#REF!</definedName>
    <definedName name="___lea97">#REF!</definedName>
    <definedName name="___lea98">#REF!</definedName>
    <definedName name="___lu9495">#REF!</definedName>
    <definedName name="___lu9596">#REF!</definedName>
    <definedName name="___lu9697">#REF!</definedName>
    <definedName name="___Num2">#REF!</definedName>
    <definedName name="___pup1">#REF!</definedName>
    <definedName name="___pup2">#REF!</definedName>
    <definedName name="___RO1">#REF!</definedName>
    <definedName name="___v2" hidden="1">#REF!</definedName>
    <definedName name="__123Graph_ADUMMY" hidden="1">#REF!</definedName>
    <definedName name="__123Graph_AMAIN" hidden="1">#REF!</definedName>
    <definedName name="__123Graph_AMONTHLY" hidden="1">#REF!</definedName>
    <definedName name="__123Graph_AMONTHLY2" hidden="1">#REF!</definedName>
    <definedName name="__123Graph_BDUMMY" hidden="1">#REF!</definedName>
    <definedName name="__123Graph_BMAIN" hidden="1">#REF!</definedName>
    <definedName name="__123Graph_BMONTHLY" hidden="1">#REF!</definedName>
    <definedName name="__123Graph_BMONTHLY2" hidden="1">#REF!</definedName>
    <definedName name="__123Graph_CDUMMY" hidden="1">#REF!</definedName>
    <definedName name="__123Graph_CMONTHLY" hidden="1">#REF!</definedName>
    <definedName name="__123Graph_CMONTHLY2" hidden="1">#REF!</definedName>
    <definedName name="__123Graph_DMONTHLY2" hidden="1">#REF!</definedName>
    <definedName name="__123Graph_EMONTHLY2" hidden="1">#REF!</definedName>
    <definedName name="__123Graph_FMONTHLY2" hidden="1">#REF!</definedName>
    <definedName name="__123Graph_XMAIN" hidden="1">#REF!</definedName>
    <definedName name="__123Graph_XMONTHLY" hidden="1">#REF!</definedName>
    <definedName name="__123Graph_XMONTHLY2" hidden="1">#REF!</definedName>
    <definedName name="__AD1">#REF!</definedName>
    <definedName name="__AD2">#REF!</definedName>
    <definedName name="__KS1">#REF!</definedName>
    <definedName name="__KS2">#REF!</definedName>
    <definedName name="__KS3">#REF!</definedName>
    <definedName name="__lea95">#REF!</definedName>
    <definedName name="__lea96">#REF!</definedName>
    <definedName name="__lea97">#REF!</definedName>
    <definedName name="__lea98">#REF!</definedName>
    <definedName name="__lu9495">#REF!</definedName>
    <definedName name="__lu9596">#REF!</definedName>
    <definedName name="__lu9697">#REF!</definedName>
    <definedName name="__Num2">#REF!</definedName>
    <definedName name="__pup1">#REF!</definedName>
    <definedName name="__pup2">#REF!</definedName>
    <definedName name="__RO1">#REF!</definedName>
    <definedName name="__v2" hidden="1">#REF!</definedName>
    <definedName name="_AD1">#REF!</definedName>
    <definedName name="_AD2">#REF!</definedName>
    <definedName name="_xlnm._FilterDatabase" localSheetId="2" hidden="1">CFR20252026_BenchMarkDataReport!$A$3:$CQ$88</definedName>
    <definedName name="_xlnm._FilterDatabase" localSheetId="7" hidden="1">'FEE 34 Spring 25 - 26'!$A$1:$Y$75</definedName>
    <definedName name="_xlnm._FilterDatabase" localSheetId="6" hidden="1">'FEE2 Spring 25 - 26'!$A$1:$P$40</definedName>
    <definedName name="_xlnm._FilterDatabase" localSheetId="5" hidden="1">'FEE9m-2 Spr 25 - 26'!$A$1:$Q$14</definedName>
    <definedName name="_xlnm._FilterDatabase" localSheetId="4" hidden="1">PP!$A$2:$S$130</definedName>
    <definedName name="_Key1" hidden="1">#REF!</definedName>
    <definedName name="_KS1">#REF!</definedName>
    <definedName name="_KS2">#REF!</definedName>
    <definedName name="_KS3">#REF!</definedName>
    <definedName name="_lea95">#REF!</definedName>
    <definedName name="_lea96">#REF!</definedName>
    <definedName name="_lea97">#REF!</definedName>
    <definedName name="_lea98">#REF!</definedName>
    <definedName name="_lu9495">#REF!</definedName>
    <definedName name="_lu9596">#REF!</definedName>
    <definedName name="_lu9697">#REF!</definedName>
    <definedName name="_Num2">#REF!</definedName>
    <definedName name="_Order1" hidden="1">255</definedName>
    <definedName name="_Order2" hidden="1">0</definedName>
    <definedName name="_pup1">#REF!</definedName>
    <definedName name="_pup2">#REF!</definedName>
    <definedName name="_RO1">#REF!</definedName>
    <definedName name="_Sort" hidden="1">#REF!</definedName>
    <definedName name="_v2" hidden="1">#REF!</definedName>
    <definedName name="ab">#REF!</definedName>
    <definedName name="ACA">#REF!</definedName>
    <definedName name="ACA_Option">#REF!</definedName>
    <definedName name="ACA_Option_1">#REF!</definedName>
    <definedName name="ACA_table">#REF!</definedName>
    <definedName name="Academy">#REF!</definedName>
    <definedName name="Access_Button" hidden="1">"BeneOUTb_database_List"</definedName>
    <definedName name="AccessDatabase" hidden="1">"N:\USERS\BENCHMARKING\Benefits Admin\BeneOUTb.mdb"</definedName>
    <definedName name="AD">#REF!</definedName>
    <definedName name="ADJ3YO">#REF!</definedName>
    <definedName name="Adjustments_To_1314_SBS">#REF!</definedName>
    <definedName name="Adjustments_To_1415_SBS">#REF!</definedName>
    <definedName name="Adjustments_To_1516_SBS">#REF!</definedName>
    <definedName name="Adjustments_To_PY_SBS">#REF!</definedName>
    <definedName name="ADMIN">#REF!</definedName>
    <definedName name="admin.admin.costs">#REF!</definedName>
    <definedName name="admin.manual.costs">#REF!</definedName>
    <definedName name="admin.net.expend">#REF!</definedName>
    <definedName name="admin.nonpay.costs">#REF!</definedName>
    <definedName name="admin.otherstaff.costs">#REF!</definedName>
    <definedName name="admin.PRC">#REF!</definedName>
    <definedName name="admin.teachers.pay">#REF!</definedName>
    <definedName name="adminpayinc.1">#REF!</definedName>
    <definedName name="adminprcprop">#REF!</definedName>
    <definedName name="admintotalprc">#REF!</definedName>
    <definedName name="ADULT">#REF!</definedName>
    <definedName name="adult.average.sal">#REF!</definedName>
    <definedName name="adult.enhancement">#REF!</definedName>
    <definedName name="adult.entitlement">#REF!</definedName>
    <definedName name="adult.mortality">#REF!</definedName>
    <definedName name="adult.prc.costs">#REF!</definedName>
    <definedName name="adult.prc.nos">#REF!</definedName>
    <definedName name="adult.redundancy">#REF!</definedName>
    <definedName name="adult.total.retirees">#REF!</definedName>
    <definedName name="adults.prc.index">#REF!</definedName>
    <definedName name="ADV">#REF!</definedName>
    <definedName name="ae">#REF!</definedName>
    <definedName name="AEN_UnitCost">#REF!</definedName>
    <definedName name="AENuprate">#REF!</definedName>
    <definedName name="Age_weighted_funding">#REF!</definedName>
    <definedName name="ak">'All Schools Data view only'!$DI$2</definedName>
    <definedName name="all">#REF!</definedName>
    <definedName name="All_distance_threshold">#REF!</definedName>
    <definedName name="All_primary_school_pupils">#REF!</definedName>
    <definedName name="All_PupilNo_threshold">#REF!</definedName>
    <definedName name="all_rows">#REF!</definedName>
    <definedName name="all_schools">#REF!</definedName>
    <definedName name="All_secondary_school_pupils">#REF!</definedName>
    <definedName name="AllCol">#REF!</definedName>
    <definedName name="Alllines">#REF!</definedName>
    <definedName name="Allocations">#REF!</definedName>
    <definedName name="AllRow_1">#REF!</definedName>
    <definedName name="AllRow_2">#REF!</definedName>
    <definedName name="AllRow_3">#REF!</definedName>
    <definedName name="AllRow_4">#REF!</definedName>
    <definedName name="AllRow_5">#REF!</definedName>
    <definedName name="AllRow_6">#REF!</definedName>
    <definedName name="Alt_Gains_Cap">#REF!</definedName>
    <definedName name="amend.netexpend">#REF!</definedName>
    <definedName name="amended.net.expend">#REF!</definedName>
    <definedName name="Anchor_DD">#REF!</definedName>
    <definedName name="Anchor_Factors">#REF!</definedName>
    <definedName name="Anchor_Input">#REF!</definedName>
    <definedName name="Anchor_NDShare">#REF!</definedName>
    <definedName name="anchor_T1">#REF!</definedName>
    <definedName name="anchor_T4">#REF!</definedName>
    <definedName name="ASB">#REF!</definedName>
    <definedName name="ASD_Alt">#REF!</definedName>
    <definedName name="ass_ri">#REF!</definedName>
    <definedName name="Autumn_term_EFA_prop">#REF!</definedName>
    <definedName name="Autumn_term_LA_prop">#REF!</definedName>
    <definedName name="AWPU_KS3">#REF!</definedName>
    <definedName name="AWPU_KS3_Rate">#REF!</definedName>
    <definedName name="AWPU_KS4">#REF!</definedName>
    <definedName name="AWPU_KS4_Rate">#REF!</definedName>
    <definedName name="AWPU_Pri">#REF!</definedName>
    <definedName name="AWPU_Pri_Rate">#REF!</definedName>
    <definedName name="AWPU_Primary_DD_rate">#REF!</definedName>
    <definedName name="AWPU_Sec_DD_rate">#REF!</definedName>
    <definedName name="Base_Data">#REF!</definedName>
    <definedName name="Baseline_LocationFactor_1">#REF!</definedName>
    <definedName name="Baseline_PhaseWeight_1">#REF!</definedName>
    <definedName name="Baseline_Unit_1">#REF!</definedName>
    <definedName name="BeginCol_1">#REF!</definedName>
    <definedName name="BeginCol_2">#REF!</definedName>
    <definedName name="BeginCol_3">#REF!</definedName>
    <definedName name="BeginCol_4">#REF!</definedName>
    <definedName name="BESD_Alt">#REF!</definedName>
    <definedName name="BreakdownSurp00Pri">#REF!</definedName>
    <definedName name="BreakdownSurp00Sec">#REF!</definedName>
    <definedName name="BS">#REF!</definedName>
    <definedName name="Capping_Scaling_YesNo">#REF!</definedName>
    <definedName name="careers">#REF!</definedName>
    <definedName name="careers.service">#REF!</definedName>
    <definedName name="cec_e">#REF!</definedName>
    <definedName name="cec_ri">#REF!</definedName>
    <definedName name="Ceiling">#REF!</definedName>
    <definedName name="Centralblock">#REF!</definedName>
    <definedName name="cexp_e">#REF!</definedName>
    <definedName name="cexp_ri">#REF!</definedName>
    <definedName name="CG">#REF!</definedName>
    <definedName name="CG.admin.costs">#REF!</definedName>
    <definedName name="CG.gross.expend">#REF!</definedName>
    <definedName name="CG.income">#REF!</definedName>
    <definedName name="CG.manual.costs">#REF!</definedName>
    <definedName name="CG.net.expend">#REF!</definedName>
    <definedName name="CG.nonpay.costs">#REF!</definedName>
    <definedName name="CG.otherstaff.costs">#REF!</definedName>
    <definedName name="CG.PRC.proportion">#REF!</definedName>
    <definedName name="CG.teaching.costs">#REF!</definedName>
    <definedName name="cgprctotal">#REF!</definedName>
    <definedName name="Chart_Change">#REF!</definedName>
    <definedName name="Chart_Ind">#REF!</definedName>
    <definedName name="checkdate">#REF!</definedName>
    <definedName name="CHILD_GUIDANCE">#REF!</definedName>
    <definedName name="CilCnt_4">#REF!</definedName>
    <definedName name="claim">#REF!</definedName>
    <definedName name="claim2">#REF!</definedName>
    <definedName name="Claremont">#REF!</definedName>
    <definedName name="Client_Table">#REF!</definedName>
    <definedName name="ClubForText">#REF!</definedName>
    <definedName name="Col_Ref_DD">#REF!</definedName>
    <definedName name="Col_Ref_Factors">#REF!</definedName>
    <definedName name="Col_Ref_Input">#REF!</definedName>
    <definedName name="Col_Ref_NDShare">#REF!</definedName>
    <definedName name="Col_Ref_T1">#REF!</definedName>
    <definedName name="Col_Ref_T4">#REF!</definedName>
    <definedName name="ColCnt_3">#REF!</definedName>
    <definedName name="ColCnt_5">#REF!</definedName>
    <definedName name="ColCnt_6">#REF!</definedName>
    <definedName name="colls">#REF!</definedName>
    <definedName name="cols10">#REF!</definedName>
    <definedName name="cols11">#REF!</definedName>
    <definedName name="cols12">#REF!</definedName>
    <definedName name="cols13">#REF!</definedName>
    <definedName name="cols14">#REF!</definedName>
    <definedName name="cols14a">#REF!</definedName>
    <definedName name="cols16">#REF!</definedName>
    <definedName name="cols17">#REF!</definedName>
    <definedName name="cols3a">#REF!</definedName>
    <definedName name="cols3b">#REF!</definedName>
    <definedName name="cols3c">#REF!</definedName>
    <definedName name="cols3d">#REF!</definedName>
    <definedName name="cols5">#REF!</definedName>
    <definedName name="cols6">#REF!</definedName>
    <definedName name="cols6a">#REF!</definedName>
    <definedName name="cols7">#REF!</definedName>
    <definedName name="cols8">#REF!</definedName>
    <definedName name="cols9">#REF!</definedName>
    <definedName name="Complex">#REF!</definedName>
    <definedName name="Condition_A">#REF!</definedName>
    <definedName name="copyright">#REF!</definedName>
    <definedName name="COUNTRY">#REF!</definedName>
    <definedName name="cs_ri">#REF!</definedName>
    <definedName name="ctrl_1516_Pot_DFC">#REF!</definedName>
    <definedName name="ctrl_1617_pot_DFC">#REF!</definedName>
    <definedName name="ctrl_1718_pot_DFC">#REF!</definedName>
    <definedName name="d_ass">#REF!</definedName>
    <definedName name="d_cec">#REF!</definedName>
    <definedName name="d_cexp">#REF!</definedName>
    <definedName name="d_cs">#REF!</definedName>
    <definedName name="d_et">#REF!</definedName>
    <definedName name="d_gov">#REF!</definedName>
    <definedName name="d_hra">#REF!</definedName>
    <definedName name="d_hsg">#REF!</definedName>
    <definedName name="d_pep">#REF!</definedName>
    <definedName name="d_r">#REF!</definedName>
    <definedName name="d_sd">#REF!</definedName>
    <definedName name="d_speg">#REF!</definedName>
    <definedName name="Data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aDD">#REF!</definedName>
    <definedName name="DataInput">#REF!</definedName>
    <definedName name="DataNDShare">#REF!</definedName>
    <definedName name="datarows">#REF!</definedName>
    <definedName name="Dated">#REF!</definedName>
    <definedName name="DCSF">#REF!</definedName>
    <definedName name="DCSF1">#REF!</definedName>
    <definedName name="DCSF2">#REF!</definedName>
    <definedName name="DD_MF">#REF!</definedName>
    <definedName name="DD_Need">#REF!</definedName>
    <definedName name="DD_NIghts">#REF!</definedName>
    <definedName name="DD_Weeks">#REF!</definedName>
    <definedName name="December">#REF!</definedName>
    <definedName name="Depr_Infl_option">#REF!</definedName>
    <definedName name="Depr_Infl_option_1">#REF!</definedName>
    <definedName name="Deprivation_Option">#REF!</definedName>
    <definedName name="Deprivation_Option_1">#REF!</definedName>
    <definedName name="Deprivation_Pot">#REF!</definedName>
    <definedName name="Deprivation_Pot_1">#REF!</definedName>
    <definedName name="DFC_LocationFactor_1">#REF!</definedName>
    <definedName name="DFC_LS_1">#REF!</definedName>
    <definedName name="DFC_PhaseWeight_1">#REF!</definedName>
    <definedName name="DFC_Q_1">#REF!</definedName>
    <definedName name="DFC_Unit_1">#REF!</definedName>
    <definedName name="DFENO">#REF!</definedName>
    <definedName name="DFENUM">#REF!</definedName>
    <definedName name="DISC_AWARDS">#REF!</definedName>
    <definedName name="EAL_Pri">#REF!</definedName>
    <definedName name="EAL_Pri_DD_rate">#REF!</definedName>
    <definedName name="EAL_Pri_Option">#REF!</definedName>
    <definedName name="EAL_Pri_Scaled">#REF!</definedName>
    <definedName name="EAL_Sec">#REF!</definedName>
    <definedName name="EAL_Sec_DD_rate">#REF!</definedName>
    <definedName name="EAL_Sec_Option">#REF!</definedName>
    <definedName name="EAL_Sec_Scaled">#REF!</definedName>
    <definedName name="EAL_Seci_Scaled">#REF!</definedName>
    <definedName name="EAnglia">#REF!,#REF!,#REF!</definedName>
    <definedName name="Earlyyearsblock">#REF!</definedName>
    <definedName name="Emidlands">#REF!,#REF!,#REF!,#REF!,#REF!</definedName>
    <definedName name="end">#REF!</definedName>
    <definedName name="endaug">#REF!</definedName>
    <definedName name="EndCol_1">#REF!</definedName>
    <definedName name="EndCol_2">#REF!</definedName>
    <definedName name="EndCol_3">#REF!</definedName>
    <definedName name="enddate">#REF!</definedName>
    <definedName name="enddec">#REF!</definedName>
    <definedName name="enddfes">#REF!</definedName>
    <definedName name="eoy">#REF!</definedName>
    <definedName name="EOYtext">#REF!</definedName>
    <definedName name="EQU">#REF!</definedName>
    <definedName name="ESG_General_Funding_Rate_for_mainstream_schools">#REF!</definedName>
    <definedName name="ESG_General_Funding_Rate_for_PRUs">#REF!</definedName>
    <definedName name="ESG_General_Funding_Rate_for_special_schools">#REF!</definedName>
    <definedName name="ESG_Retained_Duties_Funding_Rate">#REF!</definedName>
    <definedName name="ESGrate">#REF!</definedName>
    <definedName name="et_ri">#REF!</definedName>
    <definedName name="Ever6_Pri_DD_Rate">#REF!</definedName>
    <definedName name="Ever6_pri_rate">#REF!</definedName>
    <definedName name="Ever6_Sec_DD_Rate">#REF!</definedName>
    <definedName name="Ever6_sec_rate">#REF!</definedName>
    <definedName name="Exc_Cir1_Total">#REF!</definedName>
    <definedName name="Exc_Cir2_Total">#REF!</definedName>
    <definedName name="Exc_Cir3_Total">#REF!</definedName>
    <definedName name="Exc_Cir4_Total">#REF!</definedName>
    <definedName name="Exc_Cir5_Total">#REF!</definedName>
    <definedName name="Exc_Cir6_Total">#REF!</definedName>
    <definedName name="Exc_Cir7_Total">#REF!</definedName>
    <definedName name="EY">#REF!</definedName>
    <definedName name="f">#REF!</definedName>
    <definedName name="FACTORS">#REF!</definedName>
    <definedName name="FE.for.Adults.PRC">#REF!</definedName>
    <definedName name="FE.reprice.index">#REF!</definedName>
    <definedName name="FE_Salary_Repricing_Factor">#REF!</definedName>
    <definedName name="FED">#REF!</definedName>
    <definedName name="fednum">#REF!</definedName>
    <definedName name="fee.income">#REF!</definedName>
    <definedName name="FEFC_PERCENT">#REF!</definedName>
    <definedName name="feforadultsprctotal">#REF!</definedName>
    <definedName name="FEHE">#REF!</definedName>
    <definedName name="FILENAME">#REF!</definedName>
    <definedName name="FirstOcc">#REF!</definedName>
    <definedName name="Floor">#REF!</definedName>
    <definedName name="Floor_Option">#REF!</definedName>
    <definedName name="FLOOR_Y1_1">#REF!</definedName>
    <definedName name="Floor_Y2_1">#REF!</definedName>
    <definedName name="Floor_Y3_1">#REF!</definedName>
    <definedName name="Forname">#REF!</definedName>
    <definedName name="Fringe_Total">#REF!</definedName>
    <definedName name="FSM_Pri_DD_rate">#REF!</definedName>
    <definedName name="FSM_Pri_Rate">#REF!</definedName>
    <definedName name="FSM_Pri_Scaled">#REF!</definedName>
    <definedName name="FSM_Sec_DD_rate">#REF!</definedName>
    <definedName name="FSM_Sec_Rate">#REF!</definedName>
    <definedName name="FSM_Sec_Scaled">#REF!</definedName>
    <definedName name="FSM_UnitCost">#REF!</definedName>
    <definedName name="FSM6_Pri_premium">#REF!</definedName>
    <definedName name="FSM6_Sec_premium">#REF!</definedName>
    <definedName name="FSMPO2">#REF!</definedName>
    <definedName name="Funding">#REF!</definedName>
    <definedName name="Funding_Floor">#REF!</definedName>
    <definedName name="Funding_Floor_Adjustment">#REF!</definedName>
    <definedName name="FY.prim.pups">#REF!</definedName>
    <definedName name="General_1314_Pot_1">#REF!</definedName>
    <definedName name="GM_ALLOC">#REF!</definedName>
    <definedName name="gor">#REF!</definedName>
    <definedName name="gov_ri">#REF!</definedName>
    <definedName name="GRAND_TOTAL">#REF!</definedName>
    <definedName name="grant1997_98">#REF!</definedName>
    <definedName name="GroupID_1">#REF!</definedName>
    <definedName name="GroupID_10">#REF!</definedName>
    <definedName name="GroupID_11">#REF!</definedName>
    <definedName name="GroupID_12">#REF!</definedName>
    <definedName name="GroupID_13">#REF!</definedName>
    <definedName name="GroupID_14">#REF!</definedName>
    <definedName name="GroupID_15">#REF!</definedName>
    <definedName name="GroupID_16">#REF!</definedName>
    <definedName name="GroupID_17">#REF!</definedName>
    <definedName name="GroupID_18">#REF!</definedName>
    <definedName name="GroupID_19">#REF!</definedName>
    <definedName name="GroupID_2">#REF!</definedName>
    <definedName name="GroupID_3">#REF!</definedName>
    <definedName name="GroupID_4">#REF!</definedName>
    <definedName name="GroupID_5">#REF!</definedName>
    <definedName name="GroupID_6">#REF!</definedName>
    <definedName name="GroupID_7">#REF!</definedName>
    <definedName name="GroupID_8">#REF!</definedName>
    <definedName name="GroupID_9">#REF!</definedName>
    <definedName name="H1Tot">#REF!</definedName>
    <definedName name="H2Tot">#REF!</definedName>
    <definedName name="HEADING">#REF!</definedName>
    <definedName name="HEFEIncome">#REF!</definedName>
    <definedName name="HI_Alt">#REF!</definedName>
    <definedName name="Highneedsblock">#REF!</definedName>
    <definedName name="Holiday_List">#REF!</definedName>
    <definedName name="HOURS">#REF!</definedName>
    <definedName name="hra_ri">#REF!</definedName>
    <definedName name="hsg_e">#REF!</definedName>
    <definedName name="hsg_fye">#REF!</definedName>
    <definedName name="hsg_p">#REF!</definedName>
    <definedName name="hsg_r">#REF!</definedName>
    <definedName name="hsg_ri">#REF!</definedName>
    <definedName name="IDACI_B1_Pri">#REF!</definedName>
    <definedName name="IDACI_B1_Pri_DD_rate">#REF!</definedName>
    <definedName name="IDACI_B1_Sec">#REF!</definedName>
    <definedName name="IDACI_B1_Sec_DD_rate">#REF!</definedName>
    <definedName name="IDACI_B2_Pri">#REF!</definedName>
    <definedName name="IDACI_B2_Pri_DD_rate">#REF!</definedName>
    <definedName name="IDACI_B2_Sec">#REF!</definedName>
    <definedName name="IDACI_B2_Sec_DD_rate">#REF!</definedName>
    <definedName name="IDACI_B3_Pri">#REF!</definedName>
    <definedName name="IDACI_B3_Pri_DD_rate">#REF!</definedName>
    <definedName name="IDACI_B3_Sec">#REF!</definedName>
    <definedName name="IDACI_B3_Sec_DD_rate">#REF!</definedName>
    <definedName name="IDACI_B4_Pri">#REF!</definedName>
    <definedName name="IDACI_B4_Pri_DD_rate">#REF!</definedName>
    <definedName name="IDACI_B4_Sec">#REF!</definedName>
    <definedName name="IDACI_B4_Sec_DD_rate">#REF!</definedName>
    <definedName name="IDACI_B5_Pri">#REF!</definedName>
    <definedName name="IDACI_B5_Pri_DD_rate">#REF!</definedName>
    <definedName name="IDACI_B5_Sec">#REF!</definedName>
    <definedName name="IDACI_B5_Sec_DD_rate">#REF!</definedName>
    <definedName name="IDACI_B6_Pri">#REF!</definedName>
    <definedName name="IDACI_B6_Pri_DD_rate">#REF!</definedName>
    <definedName name="IDACI_B6_Sec">#REF!</definedName>
    <definedName name="IDACI_B6_Sec_DD_rate">#REF!</definedName>
    <definedName name="IDACI1_Pri_Scaled">#REF!</definedName>
    <definedName name="IDACI1_Sec_Scaled">#REF!</definedName>
    <definedName name="IDACI2_Pri_Scaled">#REF!</definedName>
    <definedName name="IDACI2_Sec_Scaled">#REF!</definedName>
    <definedName name="IDACI3_Pri_Scaled">#REF!</definedName>
    <definedName name="IDACI3_Sec_Scaled">#REF!</definedName>
    <definedName name="IDACI4_Pri_Scaled">#REF!</definedName>
    <definedName name="IDACI4_Sec_Scaled">#REF!</definedName>
    <definedName name="IDACI5_Pri_Scaled">#REF!</definedName>
    <definedName name="IDACI5_Sec_Scaled">#REF!</definedName>
    <definedName name="IDACI6_Pri_Scaled">#REF!</definedName>
    <definedName name="IDACI6_Sec_Scaled">#REF!</definedName>
    <definedName name="ijds_pupil_data">#REF!</definedName>
    <definedName name="Incomeblock">#REF!</definedName>
    <definedName name="INDEPENDENT_FEES">#REF!</definedName>
    <definedName name="Index_Bottom_1">#REF!</definedName>
    <definedName name="Index_LocationFactor_1">#REF!</definedName>
    <definedName name="Index_Max_1">#REF!</definedName>
    <definedName name="Index_Measure_1">#REF!</definedName>
    <definedName name="Index_Min_1">#REF!</definedName>
    <definedName name="Index_PhaseWeight_1">#REF!</definedName>
    <definedName name="Index_Range_1">#REF!</definedName>
    <definedName name="Index_Top_1">#REF!</definedName>
    <definedName name="Indicator">#REF!</definedName>
    <definedName name="Indicator2">#REF!</definedName>
    <definedName name="INDICATORS">#REF!</definedName>
    <definedName name="Infant">#REF!</definedName>
    <definedName name="Innlond">#REF!,#REF!,#REF!,#REF!,#REF!,#REF!,#REF!,#REF!,#REF!,#REF!</definedName>
    <definedName name="inspect.admin.costs">#REF!</definedName>
    <definedName name="inspect.gross.expend">#REF!</definedName>
    <definedName name="inspect.income">#REF!</definedName>
    <definedName name="inspect.manual.costs">#REF!</definedName>
    <definedName name="inspect.nonpay.costs">#REF!</definedName>
    <definedName name="inspect.otherstaff.costs">#REF!</definedName>
    <definedName name="inspect.prc.costs">#REF!</definedName>
    <definedName name="inspect.PRC.proportion">#REF!</definedName>
    <definedName name="inspect.teachers.pay">#REF!</definedName>
    <definedName name="INSPECTION">#REF!</definedName>
    <definedName name="inspection.final.total">#REF!</definedName>
    <definedName name="inspectprcprop">#REF!</definedName>
    <definedName name="inspectprctotal">#REF!</definedName>
    <definedName name="iTotRow">#REF!</definedName>
    <definedName name="j">#REF!,#REF!,#REF!,#REF!,#REF!,#REF!,#REF!,#REF!,#REF!,#REF!,#REF!,#REF!,#REF!,#REF!,#REF!</definedName>
    <definedName name="Jan12_Pupils">#REF!</definedName>
    <definedName name="JournalEntries">#REF!</definedName>
    <definedName name="JournalEntries2">#REF!</definedName>
    <definedName name="July">#REF!</definedName>
    <definedName name="Jump_GA1">#REF!</definedName>
    <definedName name="Jump_GB">#REF!</definedName>
    <definedName name="jump_GB2">#REF!</definedName>
    <definedName name="Jump_GC">#REF!</definedName>
    <definedName name="Jump_Guidance">#REF!</definedName>
    <definedName name="jun">#REF!</definedName>
    <definedName name="June">#REF!</definedName>
    <definedName name="junesetpayinc.1">#REF!</definedName>
    <definedName name="Junior">#REF!</definedName>
    <definedName name="junko">#REF!</definedName>
    <definedName name="l">#REF!</definedName>
    <definedName name="LA_Block_1213_rates">#REF!</definedName>
    <definedName name="LA_Ever_6_FSM_Pupils">#REF!</definedName>
    <definedName name="LA_List">#REF!</definedName>
    <definedName name="LA_lookup">#REF!</definedName>
    <definedName name="LA_num">#REF!</definedName>
    <definedName name="LA_retention_Option">#REF!</definedName>
    <definedName name="LA_retention_Option_1">#REF!</definedName>
    <definedName name="LA_retention_pot">#REF!</definedName>
    <definedName name="LA_retention_pot_1">#REF!</definedName>
    <definedName name="LAC_premium">#REF!</definedName>
    <definedName name="LAC_Pri_DD_rate">#REF!</definedName>
    <definedName name="LAC_Rate">#REF!</definedName>
    <definedName name="LAC_Scaled">#REF!</definedName>
    <definedName name="LAC_Sec_DD_rate">#REF!</definedName>
    <definedName name="LAchartSelector">#REF!</definedName>
    <definedName name="LACode">#REF!</definedName>
    <definedName name="LALookup">#REF!</definedName>
    <definedName name="LAnames_NotPartFringe">#REF!</definedName>
    <definedName name="LAnames_PartFringe">#REF!</definedName>
    <definedName name="LAST_Nursery">#REF!</definedName>
    <definedName name="LAST_Primary">#REF!</definedName>
    <definedName name="LAST_PriMiddle">#REF!</definedName>
    <definedName name="LAST_SecMiddle">#REF!</definedName>
    <definedName name="LAST_SECONDARY">#REF!</definedName>
    <definedName name="LAST_Special">#REF!</definedName>
    <definedName name="LastDataRow">#REF!</definedName>
    <definedName name="LastT1Used">#REF!</definedName>
    <definedName name="LCHI_Pri">#REF!</definedName>
    <definedName name="LCHI_Pri_DD_rate">#REF!</definedName>
    <definedName name="LCHI_Pri_Option">#REF!</definedName>
    <definedName name="LCHI_Sec">#REF!</definedName>
    <definedName name="LCHI_Sec_DD_rate">#REF!</definedName>
    <definedName name="lea">#REF!</definedName>
    <definedName name="LEA25perc_Primary">#REF!</definedName>
    <definedName name="LEA25SpecialMeasures_Primary">#REF!</definedName>
    <definedName name="LEA25SpecialMeasures_Secondary">#REF!</definedName>
    <definedName name="leagor">#REF!</definedName>
    <definedName name="lealookup">#REF!</definedName>
    <definedName name="LEAnopassport">#REF!</definedName>
    <definedName name="leanos">#REF!</definedName>
    <definedName name="LEAs">#REF!</definedName>
    <definedName name="lect.reprice.sum">#REF!</definedName>
    <definedName name="Lines">#REF!</definedName>
    <definedName name="LPA_Pri_Scaled">#REF!</definedName>
    <definedName name="LPA_Sec_Scaled">#REF!</definedName>
    <definedName name="lu">#REF!</definedName>
    <definedName name="Lump_Sum_Limit">#REF!</definedName>
    <definedName name="Lump_sum_Pri_DD_rate">#REF!</definedName>
    <definedName name="Lump_sum_Sec_DD_rate">#REF!</definedName>
    <definedName name="Lump_Sum_total">#REF!</definedName>
    <definedName name="LumpSum">#REF!</definedName>
    <definedName name="LumpSum_Pri_Scaled">#REF!</definedName>
    <definedName name="LumpSum_Sec_Scaled">#REF!</definedName>
    <definedName name="LYear">#REF!</definedName>
    <definedName name="LYPupils">#REF!</definedName>
    <definedName name="manpayinc.1">#REF!</definedName>
    <definedName name="md_2">#REF!</definedName>
    <definedName name="MD_3">#REF!</definedName>
    <definedName name="MDProw">#REF!</definedName>
    <definedName name="MDrow">#REF!</definedName>
    <definedName name="mdsrow">#REF!</definedName>
    <definedName name="MEALS">#REF!</definedName>
    <definedName name="meals.admin.costs">#REF!</definedName>
    <definedName name="meals.income">#REF!</definedName>
    <definedName name="meals.kitchen.costs">#REF!</definedName>
    <definedName name="meals.PRC.proportion">#REF!</definedName>
    <definedName name="meals.subtotal">#REF!</definedName>
    <definedName name="meals.variable.nonpay">#REF!</definedName>
    <definedName name="mealsprcprop">#REF!</definedName>
    <definedName name="mealsprctotal">#REF!</definedName>
    <definedName name="Member">#REF!</definedName>
    <definedName name="MFG">#REF!</definedName>
    <definedName name="MFG_Rate">#REF!</definedName>
    <definedName name="MFG_Total">#REF!</definedName>
    <definedName name="Mid_distance_threshold">#REF!</definedName>
    <definedName name="Mid_PupilNo_threshold">#REF!</definedName>
    <definedName name="million">#REF!</definedName>
    <definedName name="min_pupil_rate_KS3">#REF!</definedName>
    <definedName name="min_pupil_rate_KS4">#REF!</definedName>
    <definedName name="min_pupil_rate_pri">#REF!</definedName>
    <definedName name="min_pupil_rate_sec">#REF!</definedName>
    <definedName name="MLD_Alt">#REF!</definedName>
    <definedName name="Mobility_Pri">#REF!</definedName>
    <definedName name="Mobility_Pri_DD_Rate">#REF!</definedName>
    <definedName name="Mobility_Sec">#REF!</definedName>
    <definedName name="Mobility_Sec_DD_Rate">#REF!</definedName>
    <definedName name="month">#REF!</definedName>
    <definedName name="MP">#REF!</definedName>
    <definedName name="MP_Rows">#REF!</definedName>
    <definedName name="mppf_pri">#REF!</definedName>
    <definedName name="mppf_sec">#REF!</definedName>
    <definedName name="MS_Rows">#REF!</definedName>
    <definedName name="msg">#REF!</definedName>
    <definedName name="MSI_Alt">#REF!</definedName>
    <definedName name="names">#REF!</definedName>
    <definedName name="ND_Headers">#REF!</definedName>
    <definedName name="NDEP">#REF!</definedName>
    <definedName name="neff">#REF!</definedName>
    <definedName name="new.second.PRC">#REF!</definedName>
    <definedName name="New_and_growing_prop">#REF!</definedName>
    <definedName name="NewCol_1">#REF!</definedName>
    <definedName name="newcol_10">#REF!</definedName>
    <definedName name="newcol_11">#REF!</definedName>
    <definedName name="newcol_12">#REF!</definedName>
    <definedName name="newcol_13">#REF!</definedName>
    <definedName name="newcol_14">#REF!</definedName>
    <definedName name="newcol_15">#REF!</definedName>
    <definedName name="newcol_16">#REF!</definedName>
    <definedName name="newcol_17">#REF!</definedName>
    <definedName name="newcol_2">#REF!</definedName>
    <definedName name="newcol_20">#REF!</definedName>
    <definedName name="newcol_3">#REF!</definedName>
    <definedName name="newcol_4">#REF!</definedName>
    <definedName name="newcol_5">#REF!</definedName>
    <definedName name="newcol_6">#REF!</definedName>
    <definedName name="newcol_7">#REF!</definedName>
    <definedName name="newcol_8">#REF!</definedName>
    <definedName name="newcol_9">#REF!</definedName>
    <definedName name="NEWN">#REF!</definedName>
    <definedName name="News">#REF!</definedName>
    <definedName name="NewSheet_Nursery">#REF!</definedName>
    <definedName name="NewSheet_Primary">#REF!</definedName>
    <definedName name="Newsheet_PriMiddle">#REF!</definedName>
    <definedName name="NewSheet_SecMiddle">#REF!</definedName>
    <definedName name="NewSheet_Secondary">#REF!</definedName>
    <definedName name="NewSheet_Special">#REF!</definedName>
    <definedName name="NewSheetNursery">#REF!</definedName>
    <definedName name="non_nurse">#REF!</definedName>
    <definedName name="non_prim">#REF!,#REF!</definedName>
    <definedName name="non_sec">#REF!,#REF!</definedName>
    <definedName name="non_spe">#REF!,#REF!</definedName>
    <definedName name="Nonable2_3">#REF!</definedName>
    <definedName name="nonpay.costs">#REF!</definedName>
    <definedName name="nonpay.reprice.sum">#REF!</definedName>
    <definedName name="nontable2">#REF!</definedName>
    <definedName name="NonTable2_1">#REF!</definedName>
    <definedName name="NonTable2_2">#REF!</definedName>
    <definedName name="NonTable2_3">#REF!</definedName>
    <definedName name="NonTable2_4">#REF!</definedName>
    <definedName name="NonTable2Rows">#REF!</definedName>
    <definedName name="NOR_TYPE">#REF!</definedName>
    <definedName name="North">#REF!,#REF!,#REF!,#REF!,#REF!,#REF!,#REF!,#REF!,#REF!</definedName>
    <definedName name="Northwest">#REF!,#REF!,#REF!,#REF!,#REF!,#REF!,#REF!,#REF!,#REF!,#REF!,#REF!</definedName>
    <definedName name="Notional_SEN_AWPU_KS3">#REF!</definedName>
    <definedName name="Notional_SEN_AWPU_KS4">#REF!</definedName>
    <definedName name="Notional_SEN_AWPU_Pri">#REF!</definedName>
    <definedName name="Notional_SEN_EAL_Pri">#REF!</definedName>
    <definedName name="Notional_SEN_EAL_Sec">#REF!</definedName>
    <definedName name="Notional_SEN_Ever6_Pri">#REF!</definedName>
    <definedName name="Notional_SEN_Ever6_Sec">#REF!</definedName>
    <definedName name="Notional_SEN_ExCir2">#REF!</definedName>
    <definedName name="Notional_SEN_ExCir3">#REF!</definedName>
    <definedName name="Notional_SEN_ExCir4">#REF!</definedName>
    <definedName name="Notional_SEN_ExCir5">#REF!</definedName>
    <definedName name="Notional_SEN_ExCir6">#REF!</definedName>
    <definedName name="Notional_SEN_ExCir7">#REF!</definedName>
    <definedName name="Notional_SEN_FF">#REF!</definedName>
    <definedName name="Notional_SEN_FSM_Pri">#REF!</definedName>
    <definedName name="Notional_SEN_FSM_Sec">#REF!</definedName>
    <definedName name="Notional_SEN_IDACI_B1_Pri">#REF!</definedName>
    <definedName name="Notional_SEN_IDACI_B1_Sec">#REF!</definedName>
    <definedName name="Notional_SEN_IDACI_B2_Pri">#REF!</definedName>
    <definedName name="Notional_SEN_IDACI_B2_Sec">#REF!</definedName>
    <definedName name="Notional_SEN_IDACI_B3_Pri">#REF!</definedName>
    <definedName name="Notional_SEN_IDACI_B3_Sec">#REF!</definedName>
    <definedName name="Notional_SEN_IDACI_B4_Pri">#REF!</definedName>
    <definedName name="Notional_SEN_IDACI_B4_Sec">#REF!</definedName>
    <definedName name="Notional_SEN_IDACI_B5_Pri">#REF!</definedName>
    <definedName name="Notional_SEN_IDACI_B5_Sec">#REF!</definedName>
    <definedName name="Notional_SEN_IDACI_B6_Pri">#REF!</definedName>
    <definedName name="Notional_SEN_IDACI_B6_Sec">#REF!</definedName>
    <definedName name="Notional_SEN_LAC">#REF!</definedName>
    <definedName name="Notional_SEN_LCHI_Pri">#REF!</definedName>
    <definedName name="Notional_SEN_LCHI_Sec">#REF!</definedName>
    <definedName name="Notional_SEN_Lump_sum_Pri">#REF!</definedName>
    <definedName name="Notional_SEN_Lump_sum_Sec">#REF!</definedName>
    <definedName name="Notional_SEN_MFG">#REF!</definedName>
    <definedName name="Notional_SEN_Mobility_Pri">#REF!</definedName>
    <definedName name="Notional_SEN_Mobility_Sec">#REF!</definedName>
    <definedName name="Notional_SEN_MPPF">#REF!</definedName>
    <definedName name="Notional_SEN_PFI">#REF!</definedName>
    <definedName name="Notional_SEN_Rates">#REF!</definedName>
    <definedName name="Notional_SEN_SixthForm">#REF!</definedName>
    <definedName name="Notional_SEN_Sparsity_Pri">#REF!</definedName>
    <definedName name="Notional_SEN_Sparsity_Sec">#REF!</definedName>
    <definedName name="Notional_SEN_Split_sites">#REF!</definedName>
    <definedName name="NQT_top_up">#REF!</definedName>
    <definedName name="nrecol_15">#REF!</definedName>
    <definedName name="Nrow">#REF!</definedName>
    <definedName name="NS_Rows">#REF!</definedName>
    <definedName name="NSEN">#REF!</definedName>
    <definedName name="nurcol2">#REF!</definedName>
    <definedName name="NurCols">#REF!</definedName>
    <definedName name="nurs.classes.income">#REF!</definedName>
    <definedName name="nurs.classes.julypay">#REF!</definedName>
    <definedName name="nurs.classes.netexpend">#REF!</definedName>
    <definedName name="nurs.classes.novpay">#REF!</definedName>
    <definedName name="nurs.classes.othercosts">#REF!</definedName>
    <definedName name="nurs.classes.teaching">#REF!</definedName>
    <definedName name="nurs.pups.income">#REF!</definedName>
    <definedName name="nurs.pups.julypay">#REF!</definedName>
    <definedName name="nurs.pups.netexpend">#REF!</definedName>
    <definedName name="nurs.pups.novpay">#REF!</definedName>
    <definedName name="nurs.pups.othercosts">#REF!</definedName>
    <definedName name="nurs.pups.teaching">#REF!</definedName>
    <definedName name="nursclas.pups">#REF!</definedName>
    <definedName name="nursclass.wts">#REF!</definedName>
    <definedName name="nurse_rows">#REF!</definedName>
    <definedName name="nursery">#REF!,#REF!,#REF!,#REF!,#REF!,#REF!,#REF!,#REF!,#REF!,#REF!,#REF!</definedName>
    <definedName name="nurspups.wts">#REF!</definedName>
    <definedName name="OESR">#REF!</definedName>
    <definedName name="OESR.admin.costs">#REF!</definedName>
    <definedName name="OESR.manual.costs">#REF!</definedName>
    <definedName name="OESR.nonpay.costs">#REF!</definedName>
    <definedName name="OESR.otherstaff.costs">#REF!</definedName>
    <definedName name="OESR.PRC.proportion">#REF!</definedName>
    <definedName name="OESR.teachers.pay">#REF!</definedName>
    <definedName name="OESRprcprop">#REF!</definedName>
    <definedName name="OESRprctotal">#REF!</definedName>
    <definedName name="ofsted">#REF!</definedName>
    <definedName name="old.second.PRC">#REF!</definedName>
    <definedName name="OLDLAESTAB">#REF!</definedName>
    <definedName name="openclose">#REF!</definedName>
    <definedName name="OthColEnd">#REF!</definedName>
    <definedName name="OthColStart">#REF!</definedName>
    <definedName name="other.income">#REF!</definedName>
    <definedName name="Other.nonpay.cost">#REF!</definedName>
    <definedName name="OTHER_TRANSPORT">#REF!</definedName>
    <definedName name="OtherCols">#REF!</definedName>
    <definedName name="otherprcprop">#REF!</definedName>
    <definedName name="OtherStaffProportion_AllPhases">#REF!</definedName>
    <definedName name="OtherStaffProportion_PrimSec">#REF!</definedName>
    <definedName name="otheru5.income">#REF!</definedName>
    <definedName name="otheru5.julypay">#REF!</definedName>
    <definedName name="otheru5.netexpend">#REF!</definedName>
    <definedName name="otheru5.novpay">#REF!</definedName>
    <definedName name="otheru5.othercosts">#REF!</definedName>
    <definedName name="otheru5.pups">#REF!</definedName>
    <definedName name="otheru5.teaching">#REF!</definedName>
    <definedName name="OthSE">#REF!,#REF!,#REF!,#REF!,#REF!,#REF!,#REF!,#REF!,#REF!,#REF!,#REF!</definedName>
    <definedName name="P_P_POP">#REF!</definedName>
    <definedName name="PD_Alt">#REF!</definedName>
    <definedName name="PDS_A_1">#REF!</definedName>
    <definedName name="PDS_B_1">#REF!</definedName>
    <definedName name="PDS_C_1">#REF!</definedName>
    <definedName name="PDS_D_1">#REF!</definedName>
    <definedName name="PDS_LocationFactor_1">#REF!</definedName>
    <definedName name="PDS_Measure_1">#REF!</definedName>
    <definedName name="PDS_Method_1">#REF!</definedName>
    <definedName name="PDS_PP_Limit_1">#REF!</definedName>
    <definedName name="PDS_PP_Weights">#REF!</definedName>
    <definedName name="PDS_Q_1">#REF!</definedName>
    <definedName name="PDS_Summ_Type">#REF!</definedName>
    <definedName name="PDS_WeightSpecial_1">#REF!</definedName>
    <definedName name="PDS_WeightVA_1">#REF!</definedName>
    <definedName name="Pension_Repricing_Factor">#REF!</definedName>
    <definedName name="pep_e">#REF!</definedName>
    <definedName name="pep_fye">#REF!</definedName>
    <definedName name="pep_ri">#REF!</definedName>
    <definedName name="PFI_Total">#REF!</definedName>
    <definedName name="Phase_Weight_P16">#REF!</definedName>
    <definedName name="Phase_Weight_P16_Br">#REF!</definedName>
    <definedName name="Phase_Weight_Pr">#REF!</definedName>
    <definedName name="Phase_Weight_Pr_B">#REF!</definedName>
    <definedName name="Phase_Weight_Sec">#REF!</definedName>
    <definedName name="Phase_Weight_Sec_Br">#REF!</definedName>
    <definedName name="Phase_Weight_Sp">#REF!</definedName>
    <definedName name="Phase_Weight_Sp_Br">#REF!</definedName>
    <definedName name="PhaseTot">#REF!,#REF!,#REF!,#REF!</definedName>
    <definedName name="PhaseTot_1">#REF!</definedName>
    <definedName name="PhaseTot_2">#REF!</definedName>
    <definedName name="PhaseTot_3">#REF!</definedName>
    <definedName name="PhaseTot_4">#REF!</definedName>
    <definedName name="Places1516">#REF!</definedName>
    <definedName name="plus5.income">#REF!</definedName>
    <definedName name="plus5.julypay">#REF!</definedName>
    <definedName name="plus5.netexpend">#REF!</definedName>
    <definedName name="plus5.novpay">#REF!</definedName>
    <definedName name="plus5.othercosts">#REF!</definedName>
    <definedName name="plus5.pups">#REF!</definedName>
    <definedName name="plus5.teaching">#REF!</definedName>
    <definedName name="PMDTot">#REF!</definedName>
    <definedName name="PMLD_Alt">#REF!</definedName>
    <definedName name="pmrow">#REF!</definedName>
    <definedName name="Post_16">#REF!</definedName>
    <definedName name="Post_LAC_premium">#REF!</definedName>
    <definedName name="PP_LocationFactor_1">#REF!</definedName>
    <definedName name="PP_LS_1">#REF!</definedName>
    <definedName name="PP_PhaseWeight_1">#REF!</definedName>
    <definedName name="PP_Unit_1">#REF!</definedName>
    <definedName name="PPMDP">#REF!</definedName>
    <definedName name="PPMDS">#REF!</definedName>
    <definedName name="PPN">#REF!</definedName>
    <definedName name="PPP">#REF!</definedName>
    <definedName name="PPS">#REF!</definedName>
    <definedName name="PPSP">#REF!</definedName>
    <definedName name="PRC">#REF!</definedName>
    <definedName name="prc.prim">#REF!</definedName>
    <definedName name="prc.sec">#REF!</definedName>
    <definedName name="prcprop">#REF!</definedName>
    <definedName name="Pri_distance_threshold">#REF!</definedName>
    <definedName name="Pri_PupilNo_threshold">#REF!</definedName>
    <definedName name="prim.average.sal">#REF!</definedName>
    <definedName name="prim.bdg.index">#REF!</definedName>
    <definedName name="prim.enhancement">#REF!</definedName>
    <definedName name="prim.entitlement">#REF!</definedName>
    <definedName name="prim.mortality">#REF!</definedName>
    <definedName name="prim.net.expend">#REF!</definedName>
    <definedName name="prim.nontea.adj">#REF!</definedName>
    <definedName name="prim.prc.nos">#REF!</definedName>
    <definedName name="prim.redundancy">#REF!</definedName>
    <definedName name="prim.reprice.ind">#REF!</definedName>
    <definedName name="prim.salary.drift">#REF!</definedName>
    <definedName name="prim.sect.adj">#REF!</definedName>
    <definedName name="prim.subtotal">#REF!</definedName>
    <definedName name="prim.total.retirees">#REF!</definedName>
    <definedName name="prim_rows">#REF!</definedName>
    <definedName name="primary">#REF!,#REF!,#REF!,#REF!,#REF!</definedName>
    <definedName name="primary.final.total">#REF!</definedName>
    <definedName name="primary.prc.costs">#REF!</definedName>
    <definedName name="primary.prc.index">#REF!</definedName>
    <definedName name="Primary_Lump_sum">#REF!</definedName>
    <definedName name="Primary_new">#REF!</definedName>
    <definedName name="primaryprctotal">#REF!</definedName>
    <definedName name="primbldg.in">#REF!</definedName>
    <definedName name="primbldg.out">#REF!</definedName>
    <definedName name="primPRC">#REF!</definedName>
    <definedName name="primteas">#REF!</definedName>
    <definedName name="proportion.PRC.second">#REF!</definedName>
    <definedName name="Prorata">#REF!</definedName>
    <definedName name="Provider_List">#REF!</definedName>
    <definedName name="Provider_Table">#REF!</definedName>
    <definedName name="Prow">#REF!</definedName>
    <definedName name="PS_Rows">#REF!</definedName>
    <definedName name="PSBP2_Switch">#REF!</definedName>
    <definedName name="pup">#REF!</definedName>
    <definedName name="pupeq">#REF!</definedName>
    <definedName name="pupf">#REF!</definedName>
    <definedName name="Pupil">#REF!</definedName>
    <definedName name="pupil.support.expend">#REF!</definedName>
    <definedName name="pupil.support.income">#REF!</definedName>
    <definedName name="Pupil_numbers">#REF!</definedName>
    <definedName name="PUPIL_SUPPORT">#REF!</definedName>
    <definedName name="Pupils">#REF!</definedName>
    <definedName name="PupPre">#REF!</definedName>
    <definedName name="PVI">#REF!</definedName>
    <definedName name="Qdate">#REF!</definedName>
    <definedName name="qpupiltotal">#REF!</definedName>
    <definedName name="QShortname">#REF!</definedName>
    <definedName name="r_ri">#REF!</definedName>
    <definedName name="r_sd">#REF!</definedName>
    <definedName name="RATES">#REF!</definedName>
    <definedName name="Rates_Total">#REF!</definedName>
    <definedName name="Reasons_list">#REF!</definedName>
    <definedName name="Rec_Up">#REF!</definedName>
    <definedName name="Reception_Uplift_YesNo">#REF!</definedName>
    <definedName name="Reference">#REF!</definedName>
    <definedName name="Release">#REF!</definedName>
    <definedName name="REM">#REF!</definedName>
    <definedName name="Repnum">#REF!</definedName>
    <definedName name="rising5.income">#REF!</definedName>
    <definedName name="rising5.julypay">#REF!</definedName>
    <definedName name="rising5.netexpend">#REF!</definedName>
    <definedName name="rising5.novpay">#REF!</definedName>
    <definedName name="rising5.othercosts">#REF!</definedName>
    <definedName name="rising5.pups">#REF!</definedName>
    <definedName name="rising5.teaching">#REF!</definedName>
    <definedName name="risk_ass">#REF!</definedName>
    <definedName name="risk_cec">#REF!</definedName>
    <definedName name="risk_cexp">#REF!</definedName>
    <definedName name="risk_cs">#REF!</definedName>
    <definedName name="risk_et">#REF!</definedName>
    <definedName name="risk_gov">#REF!</definedName>
    <definedName name="risk_hra">#REF!</definedName>
    <definedName name="risk_hsg">#REF!</definedName>
    <definedName name="risk_pep">#REF!</definedName>
    <definedName name="risk_r">#REF!</definedName>
    <definedName name="risk_sd">#REF!</definedName>
    <definedName name="risk_speg">#REF!</definedName>
    <definedName name="RorTot_2">#REF!</definedName>
    <definedName name="RorTot1">#REF!</definedName>
    <definedName name="rownames">#REF!</definedName>
    <definedName name="RowTot">#REF!</definedName>
    <definedName name="RowTot_1">#REF!</definedName>
    <definedName name="RowTot_16">#REF!</definedName>
    <definedName name="RowTot_17">#REF!</definedName>
    <definedName name="RowTot_2">#REF!</definedName>
    <definedName name="RowTot_3">#REF!</definedName>
    <definedName name="RowTot_4">#REF!</definedName>
    <definedName name="RowTot_5">#REF!</definedName>
    <definedName name="RowTot_6">#REF!</definedName>
    <definedName name="Run">#REF!</definedName>
    <definedName name="SAP">#REF!</definedName>
    <definedName name="SC_premium">#REF!</definedName>
    <definedName name="Scale_factor">#REF!</definedName>
    <definedName name="Scaling_Factor">#REF!</definedName>
    <definedName name="ScalingFactor">#REF!</definedName>
    <definedName name="ScalingFactor_GoalSeek">#REF!</definedName>
    <definedName name="sch">#REF!</definedName>
    <definedName name="Sch_type">#REF!</definedName>
    <definedName name="SchName">#REF!</definedName>
    <definedName name="schno">#REF!</definedName>
    <definedName name="School">#REF!</definedName>
    <definedName name="School_list">#REF!</definedName>
    <definedName name="school_Note">#REF!</definedName>
    <definedName name="SCHOOL_TRANSPORT">#REF!</definedName>
    <definedName name="School_URN_ChartData">#REF!</definedName>
    <definedName name="School_URN_DD">#REF!</definedName>
    <definedName name="School_URN_Factors">#REF!</definedName>
    <definedName name="School_URN_Input">#REF!</definedName>
    <definedName name="School_URN_NDShare">#REF!</definedName>
    <definedName name="SchoolOutput_baselineSelector">#REF!</definedName>
    <definedName name="SchoolOutput_deflateByACA">#REF!</definedName>
    <definedName name="SchoolOutput_includeCR">#REF!</definedName>
    <definedName name="Schools">#REF!</definedName>
    <definedName name="Schoolsblock">#REF!</definedName>
    <definedName name="SchRow_Tot">#REF!</definedName>
    <definedName name="SchRowTot">#REF!</definedName>
    <definedName name="SchTypeList">#REF!</definedName>
    <definedName name="sd_e">#REF!</definedName>
    <definedName name="sd_fye">#REF!</definedName>
    <definedName name="sd_p">#REF!</definedName>
    <definedName name="sd_r">#REF!</definedName>
    <definedName name="sd_ri">#REF!</definedName>
    <definedName name="sdfye">#REF!</definedName>
    <definedName name="sec.average.sal">#REF!</definedName>
    <definedName name="sec.enhancement">#REF!</definedName>
    <definedName name="sec.entitlement">#REF!</definedName>
    <definedName name="sec.mortality">#REF!</definedName>
    <definedName name="sec.other.nonpay">#REF!</definedName>
    <definedName name="SEC.PRC">#REF!</definedName>
    <definedName name="sec.prc.nos">#REF!</definedName>
    <definedName name="sec.redundancy">#REF!</definedName>
    <definedName name="sec.sect.adj">#REF!</definedName>
    <definedName name="sec.total.retirees">#REF!</definedName>
    <definedName name="Sec_distance_threshold">#REF!</definedName>
    <definedName name="Sec_PupilNo_threshold">#REF!</definedName>
    <definedName name="sec_rows">#REF!</definedName>
    <definedName name="second.fees.cost">#REF!</definedName>
    <definedName name="second.subtotal">#REF!</definedName>
    <definedName name="secondary">#REF!,#REF!,#REF!</definedName>
    <definedName name="secondary.prc.costs">#REF!</definedName>
    <definedName name="secondary.prc.index">#REF!</definedName>
    <definedName name="Secondary_Lump_Sum">#REF!</definedName>
    <definedName name="Secondary_new">#REF!</definedName>
    <definedName name="SEN_CC_Table">#REF!</definedName>
    <definedName name="sep">#REF!</definedName>
    <definedName name="September">#REF!</definedName>
    <definedName name="Setting">#REF!</definedName>
    <definedName name="Settings">#REF!</definedName>
    <definedName name="sheet">#REF!</definedName>
    <definedName name="Sixth_Form_Total">#REF!</definedName>
    <definedName name="SIXTHFORM">#REF!</definedName>
    <definedName name="SLASC">#REF!</definedName>
    <definedName name="SLCN_Alt">#REF!</definedName>
    <definedName name="SLD_Alt">#REF!</definedName>
    <definedName name="SMDTot">#REF!</definedName>
    <definedName name="smrow">#REF!</definedName>
    <definedName name="SP_Rows">#REF!</definedName>
    <definedName name="Sparsity_All_lump_sum">#REF!</definedName>
    <definedName name="Sparsity_Mid_lump_sum">#REF!</definedName>
    <definedName name="Sparsity_Pri_DD_percentage">#REF!</definedName>
    <definedName name="Sparsity_Pri_lump_sum">#REF!</definedName>
    <definedName name="Sparsity_Pri_Scaled">#REF!</definedName>
    <definedName name="Sparsity_Scaled">#REF!</definedName>
    <definedName name="Sparsity_Sec_DD_percentage">#REF!</definedName>
    <definedName name="Sparsity_Sec_lump_sum">#REF!</definedName>
    <definedName name="Sparsity_Sec_Scaled">#REF!</definedName>
    <definedName name="Sparsity_Total">#REF!</definedName>
    <definedName name="spe_rows">#REF!</definedName>
    <definedName name="spec.average.sal">#REF!</definedName>
    <definedName name="spec.enhancement">#REF!</definedName>
    <definedName name="spec.entitlement">#REF!</definedName>
    <definedName name="spec.mortality">#REF!</definedName>
    <definedName name="spec.prc.nos">#REF!</definedName>
    <definedName name="spec.redundancy">#REF!</definedName>
    <definedName name="spec.sect.adj">#REF!</definedName>
    <definedName name="spec.total.retirees">#REF!</definedName>
    <definedName name="spechide">#REF!</definedName>
    <definedName name="special">#REF!,#REF!</definedName>
    <definedName name="special.fees.cost">#REF!</definedName>
    <definedName name="special.income.tot">#REF!</definedName>
    <definedName name="special.net.expend">#REF!</definedName>
    <definedName name="special.other.nonpay">#REF!</definedName>
    <definedName name="special.prc.costs">#REF!</definedName>
    <definedName name="special.prc.index">#REF!</definedName>
    <definedName name="special.subtotal">#REF!</definedName>
    <definedName name="SPECIAL_FACTOR">#REF!</definedName>
    <definedName name="speg_e">#REF!</definedName>
    <definedName name="speg_fye">#REF!</definedName>
    <definedName name="speg_p">#REF!</definedName>
    <definedName name="speg_r">#REF!</definedName>
    <definedName name="speg_ri">#REF!</definedName>
    <definedName name="SpLD_Alt">#REF!</definedName>
    <definedName name="Split_Sites_Total">#REF!</definedName>
    <definedName name="Spring_term_EFA_prop">#REF!</definedName>
    <definedName name="SProw">#REF!</definedName>
    <definedName name="SPSS">#REF!</definedName>
    <definedName name="Srow">#REF!</definedName>
    <definedName name="SS_OPT">#REF!</definedName>
    <definedName name="SS_Rows">#REF!</definedName>
    <definedName name="SS_Value">#REF!</definedName>
    <definedName name="SSparWgt_LEA">#REF!</definedName>
    <definedName name="SSparWgt_sch">#REF!</definedName>
    <definedName name="StaffProportion_AllPhases">#REF!</definedName>
    <definedName name="StaffProportion_PrimSec">#REF!</definedName>
    <definedName name="Standard">#REF!</definedName>
    <definedName name="start">#REF!</definedName>
    <definedName name="Start_of_autumn_term_2014">#REF!</definedName>
    <definedName name="Start_of_spring_term_2015">#REF!</definedName>
    <definedName name="Start_of_summer_term_2014">#REF!</definedName>
    <definedName name="StartCol_7">#REF!</definedName>
    <definedName name="StartCol1">#REF!</definedName>
    <definedName name="StartCol10">#REF!</definedName>
    <definedName name="StartCol11">#REF!</definedName>
    <definedName name="StartCol12">#REF!</definedName>
    <definedName name="StartCol13">#REF!</definedName>
    <definedName name="StartCol14">#REF!</definedName>
    <definedName name="StartCol15">#REF!</definedName>
    <definedName name="StartCol16">#REF!</definedName>
    <definedName name="StartCol17">#REF!</definedName>
    <definedName name="StartCol18">#REF!</definedName>
    <definedName name="StartCol19">#REF!</definedName>
    <definedName name="StartCol2">#REF!</definedName>
    <definedName name="StartCol20">#REF!</definedName>
    <definedName name="StartCol3">#REF!</definedName>
    <definedName name="StartCol4">#REF!</definedName>
    <definedName name="StartCol5">#REF!</definedName>
    <definedName name="StartCol6">#REF!</definedName>
    <definedName name="StartCol7">#REF!</definedName>
    <definedName name="StartCol8">#REF!</definedName>
    <definedName name="StartCol9">#REF!</definedName>
    <definedName name="startdfes">#REF!</definedName>
    <definedName name="SUMMARY">#REF!</definedName>
    <definedName name="Summer_term_EFA_prop">#REF!</definedName>
    <definedName name="Summer_term_LA_prop">#REF!</definedName>
    <definedName name="Swest">#REF!,#REF!,#REF!,#REF!,#REF!,#REF!,#REF!</definedName>
    <definedName name="SWGE.years">#REF!</definedName>
    <definedName name="T_Specialist_Schools_Designated">#REF!</definedName>
    <definedName name="T1_School">#REF!</definedName>
    <definedName name="T1_School_HN">#REF!</definedName>
    <definedName name="T1_Transfer">#REF!</definedName>
    <definedName name="T1Used">#REF!</definedName>
    <definedName name="T2_Notes_Check">#REF!</definedName>
    <definedName name="T4_School">#REF!</definedName>
    <definedName name="table">#REF!</definedName>
    <definedName name="Table_2">#REF!,#REF!,#REF!,#REF!,#REF!,#REF!,#REF!,#REF!,#REF!,#REF!,#REF!</definedName>
    <definedName name="Table2">#REF!,#REF!,#REF!,#REF!,#REF!,#REF!,#REF!</definedName>
    <definedName name="Table2_2">#REF!,#REF!,#REF!,#REF!,#REF!,#REF!,#REF!</definedName>
    <definedName name="Table2_3">#REF!,#REF!,#REF!,#REF!,#REF!,#REF!,#REF!</definedName>
    <definedName name="Table2_4">#REF!</definedName>
    <definedName name="Table2_5">#REF!,#REF!,#REF!,#REF!,#REF!,#REF!</definedName>
    <definedName name="Table20">#REF!,#REF!,#REF!,#REF!,#REF!,#REF!,#REF!</definedName>
    <definedName name="Tapered_all_lump_sum">#REF!</definedName>
    <definedName name="Tapered_mid_lump_sum">#REF!</definedName>
    <definedName name="Tapered_primary_lump_sum">#REF!</definedName>
    <definedName name="Tapered_secondary_lump_sum">#REF!</definedName>
    <definedName name="Target.Address">#REF!</definedName>
    <definedName name="TC.manual.costs">#REF!</definedName>
    <definedName name="TC.nonpay.costs">#REF!</definedName>
    <definedName name="tc.prc.proportion">#REF!</definedName>
    <definedName name="TC.support.costs">#REF!</definedName>
    <definedName name="TC.teachers.pay">#REF!</definedName>
    <definedName name="TCtotalprc">#REF!</definedName>
    <definedName name="TE_Nursery">#REF!</definedName>
    <definedName name="TE_Primary">#REF!</definedName>
    <definedName name="TE_SecMiddle">#REF!</definedName>
    <definedName name="TE_Secondary">#REF!</definedName>
    <definedName name="TE_Special">#REF!</definedName>
    <definedName name="teach.reprice.sum">#REF!</definedName>
    <definedName name="TEACHER_CENTRES">#REF!</definedName>
    <definedName name="Teacher_s_Salary_Repricing_Factor">#REF!</definedName>
    <definedName name="TeacherProportion_AllPhases">#REF!</definedName>
    <definedName name="TeacherProportion_PrimSec">#REF!</definedName>
    <definedName name="teachpayinc.1">#REF!</definedName>
    <definedName name="TEST0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  <definedName name="ThisYear">#REF!</definedName>
    <definedName name="TopLEA">#REF!</definedName>
    <definedName name="TopRankDefaultDistForRange" hidden="1">0</definedName>
    <definedName name="TopRankDefaultMaxChange" hidden="1">0.1</definedName>
    <definedName name="TopRankDefaultMinChange" hidden="1">-0.1</definedName>
    <definedName name="TopRankDefaultMultiGroupSize" hidden="1">2</definedName>
    <definedName name="TopRankDefaultMultiStepsPerInput" hidden="1">2</definedName>
    <definedName name="TopRankDefaultRangeType" hidden="1">0</definedName>
    <definedName name="TopRankDefaultStepsPerInput" hidden="1">5</definedName>
    <definedName name="TopRankDetailByInputReport" hidden="1">FALSE</definedName>
    <definedName name="TopRankMaxInputsPerGraph" hidden="1">10</definedName>
    <definedName name="TopRankMultiWayReport" hidden="1">FALSE</definedName>
    <definedName name="TopRankNumberOfRuns" hidden="1">1</definedName>
    <definedName name="TopRankOnlyInputsChangeThreshold">0.01</definedName>
    <definedName name="TopRankOnlyInputsOverThreshold" hidden="1">TRUE</definedName>
    <definedName name="TopRankOnlyTopRanking" hidden="1">TRUE</definedName>
    <definedName name="TopRankOutputDetailReport" hidden="1">FALSE</definedName>
    <definedName name="TopRankOutputsAsPercentChange" hidden="1">FALSE</definedName>
    <definedName name="TopRankOverwriteExisting" hidden="1">FALSE</definedName>
    <definedName name="TopRankPauseOnError" hidden="1">FALSE</definedName>
    <definedName name="TopRankPerformPrecedentScanAddOutput" hidden="1">FALSE</definedName>
    <definedName name="TopRankPerformPrecedentScanAtStart" hidden="1">TRUE</definedName>
    <definedName name="TopRankPrecedentScanType" hidden="1">1</definedName>
    <definedName name="TopRankReportAllOutputCells" hidden="1">TRUE</definedName>
    <definedName name="TopRankReportsInExistingWorkbook" hidden="1">FALSE</definedName>
    <definedName name="TopRankReportsInExistingWorkbookName" hidden="1">"Active Workbook"</definedName>
    <definedName name="TopRankReportsInNewWorkbook" hidden="1">TRUE</definedName>
    <definedName name="TopRankSensitivityGraphs" hidden="1">FALSE</definedName>
    <definedName name="TopRankSingleWorkbookAllResults" hidden="1">FALSE</definedName>
    <definedName name="TopRankSpiderGraphs" hidden="1">TRUE</definedName>
    <definedName name="TopRankTornadoGraphs" hidden="1">TRUE</definedName>
    <definedName name="TopRankUpdateDisplay" hidden="1">FALSE</definedName>
    <definedName name="TopRow_1">#REF!</definedName>
    <definedName name="TopRow_16">#REF!</definedName>
    <definedName name="TopRow_17">#REF!</definedName>
    <definedName name="TopRow_2">#REF!</definedName>
    <definedName name="TopRow_3">#REF!</definedName>
    <definedName name="TopRow_4">#REF!</definedName>
    <definedName name="TopRow_5">#REF!</definedName>
    <definedName name="TopRow_6">#REF!</definedName>
    <definedName name="TopRowPri">#REF!</definedName>
    <definedName name="tot.spec.recoupment">#REF!</definedName>
    <definedName name="tot_1">#REF!</definedName>
    <definedName name="tot_2">#REF!</definedName>
    <definedName name="tot_3">#REF!</definedName>
    <definedName name="tot_4">#REF!</definedName>
    <definedName name="tot_5">#REF!</definedName>
    <definedName name="tot_6">#REF!</definedName>
    <definedName name="total.PRC">#REF!</definedName>
    <definedName name="Total_1314_Quantum">#REF!</definedName>
    <definedName name="Total_ACA_inflated_Ever6_Jan12_pupils">#REF!</definedName>
    <definedName name="Total_ACA_inflated_Jan12_pupils">#REF!</definedName>
    <definedName name="Total_DFC">#REF!</definedName>
    <definedName name="Total_Ever6_Jan12_pupils">#REF!</definedName>
    <definedName name="Total_Inflated_pupil_numbers">#REF!</definedName>
    <definedName name="Total_Jan12_Inflated_pupils">#REF!</definedName>
    <definedName name="Total_Jan12_pupils">#REF!</definedName>
    <definedName name="Total_Notional_SEN">#REF!</definedName>
    <definedName name="Total_Primary_funding">#REF!</definedName>
    <definedName name="Total_Secondary_Funding">#REF!</definedName>
    <definedName name="TotalBudget_1">#REF!</definedName>
    <definedName name="TotalRow_1">#REF!</definedName>
    <definedName name="TotalRow_2">#REF!</definedName>
    <definedName name="TotalRow_3">#REF!</definedName>
    <definedName name="TotalRow_4">#REF!</definedName>
    <definedName name="TotalRow_5">#REF!</definedName>
    <definedName name="totalspecprc">#REF!</definedName>
    <definedName name="totprc">#REF!</definedName>
    <definedName name="totprim.pups">#REF!</definedName>
    <definedName name="Transactions">#REF!</definedName>
    <definedName name="TRANSPORT">#REF!</definedName>
    <definedName name="transport.5plus">#REF!</definedName>
    <definedName name="transport.nurs.classes">#REF!</definedName>
    <definedName name="transport.nurs.pups">#REF!</definedName>
    <definedName name="transport.otheru5">#REF!</definedName>
    <definedName name="transport.rising5">#REF!</definedName>
    <definedName name="TS_Nursery">#REF!</definedName>
    <definedName name="TS_Primary">#REF!</definedName>
    <definedName name="TS_PriMiddle">#REF!</definedName>
    <definedName name="TS_SecMiddle">#REF!</definedName>
    <definedName name="TS_Secondary">#REF!</definedName>
    <definedName name="TS_Special">#REF!</definedName>
    <definedName name="TVEI">#REF!</definedName>
    <definedName name="TVEI.income">#REF!</definedName>
    <definedName name="unitvalues">#REF!</definedName>
    <definedName name="Upper">#REF!</definedName>
    <definedName name="URN">#REF!</definedName>
    <definedName name="VA_Weight">#REF!</definedName>
    <definedName name="VENDORNO">#REF!</definedName>
    <definedName name="Ver">#REF!</definedName>
    <definedName name="Version">#REF!</definedName>
    <definedName name="Version2">#REF!</definedName>
    <definedName name="VI_Alt">#REF!</definedName>
    <definedName name="weekending">#REF!</definedName>
    <definedName name="Wmidlands">#REF!,#REF!,#REF!,#REF!,#REF!,#REF!,#REF!,#REF!,#REF!,#REF!</definedName>
    <definedName name="X_Label">#REF!</definedName>
    <definedName name="XAxis">#REF!</definedName>
    <definedName name="Y_Label">#REF!</definedName>
    <definedName name="YAxis">#REF!</definedName>
    <definedName name="Year">#REF!</definedName>
    <definedName name="Year_End">#REF!</definedName>
    <definedName name="Year_Start">#REF!</definedName>
    <definedName name="year02">#REF!</definedName>
    <definedName name="Year1">#REF!</definedName>
    <definedName name="YearBudget_1">#REF!</definedName>
    <definedName name="Yorkshumb">#REF!,#REF!,#REF!,#REF!,#REF!,#REF!,#REF!,#REF!,#REF!,#REF!,#REF!</definedName>
    <definedName name="YOUTH">#REF!</definedName>
    <definedName name="youth.manual.costs">#REF!</definedName>
    <definedName name="youth.net.expend">#REF!</definedName>
    <definedName name="youth.nonpay.costs">#REF!</definedName>
    <definedName name="youth.otherapril.costs">#REF!</definedName>
    <definedName name="youth.PRC">#REF!</definedName>
    <definedName name="youth.support.costs">#REF!</definedName>
    <definedName name="youth.teachers.pay">#REF!</definedName>
    <definedName name="youthtotalprc">#REF!</definedName>
    <definedName name="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M6" i="3" l="1"/>
  <c r="BP52" i="3"/>
  <c r="BQ52" i="3"/>
  <c r="BR52" i="3"/>
  <c r="BS52" i="3"/>
  <c r="BT52" i="3"/>
  <c r="BU52" i="3"/>
  <c r="BV52" i="3"/>
  <c r="BW52" i="3"/>
  <c r="BX52" i="3"/>
  <c r="BY52" i="3"/>
  <c r="BZ52" i="3"/>
  <c r="CA52" i="3"/>
  <c r="CB52" i="3"/>
  <c r="CC52" i="3"/>
  <c r="CD52" i="3"/>
  <c r="CE52" i="3"/>
  <c r="CF52" i="3"/>
  <c r="CG52" i="3"/>
  <c r="CH52" i="3"/>
  <c r="CI52" i="3"/>
  <c r="CJ52" i="3"/>
  <c r="CK52" i="3"/>
  <c r="CL52" i="3"/>
  <c r="CM52" i="3"/>
  <c r="CN52" i="3"/>
  <c r="CO52" i="3"/>
  <c r="CP52" i="3"/>
  <c r="CQ52" i="3"/>
  <c r="CR52" i="3"/>
  <c r="CS52" i="3"/>
  <c r="CT52" i="3"/>
  <c r="CU52" i="3"/>
  <c r="CV52" i="3"/>
  <c r="CW52" i="3"/>
  <c r="CX52" i="3"/>
  <c r="CY52" i="3"/>
  <c r="CZ52" i="3"/>
  <c r="DA52" i="3"/>
  <c r="DB52" i="3"/>
  <c r="DC52" i="3"/>
  <c r="DD52" i="3"/>
  <c r="DE52" i="3"/>
  <c r="DF52" i="3"/>
  <c r="DG52" i="3"/>
  <c r="DH52" i="3"/>
  <c r="DI52" i="3"/>
  <c r="DJ52" i="3"/>
  <c r="DK52" i="3"/>
  <c r="DL52" i="3"/>
  <c r="DM52" i="3"/>
  <c r="DN52" i="3"/>
  <c r="DO52" i="3"/>
  <c r="DP52" i="3"/>
  <c r="DQ52" i="3"/>
  <c r="DR52" i="3"/>
  <c r="DS52" i="3"/>
  <c r="DT52" i="3"/>
  <c r="DU52" i="3"/>
  <c r="DV52" i="3"/>
  <c r="DW52" i="3"/>
  <c r="DX52" i="3"/>
  <c r="DY52" i="3"/>
  <c r="DZ52" i="3"/>
  <c r="EA52" i="3"/>
  <c r="EB52" i="3"/>
  <c r="EC52" i="3"/>
  <c r="EC97" i="3"/>
  <c r="G96" i="14"/>
  <c r="K86" i="14"/>
  <c r="BM4" i="3" l="1"/>
  <c r="BM5" i="3"/>
  <c r="BM7" i="3"/>
  <c r="Y75" i="74"/>
  <c r="X75" i="74"/>
  <c r="W75" i="74"/>
  <c r="V75" i="74"/>
  <c r="U75" i="74"/>
  <c r="T75" i="74"/>
  <c r="S75" i="74"/>
  <c r="R75" i="74"/>
  <c r="Q75" i="74"/>
  <c r="P75" i="74"/>
  <c r="O75" i="74"/>
  <c r="N75" i="74"/>
  <c r="M75" i="74"/>
  <c r="I75" i="74"/>
  <c r="G75" i="74"/>
  <c r="J72" i="74"/>
  <c r="A72" i="74"/>
  <c r="J71" i="74"/>
  <c r="A71" i="74"/>
  <c r="J70" i="74"/>
  <c r="A70" i="74"/>
  <c r="J69" i="74"/>
  <c r="A69" i="74"/>
  <c r="J68" i="74"/>
  <c r="A68" i="74"/>
  <c r="J67" i="74"/>
  <c r="A67" i="74"/>
  <c r="J66" i="74"/>
  <c r="A66" i="74"/>
  <c r="J65" i="74"/>
  <c r="A65" i="74"/>
  <c r="J64" i="74"/>
  <c r="A64" i="74"/>
  <c r="J63" i="74"/>
  <c r="A63" i="74"/>
  <c r="J62" i="74"/>
  <c r="A62" i="74"/>
  <c r="J61" i="74"/>
  <c r="A61" i="74"/>
  <c r="J60" i="74"/>
  <c r="A60" i="74"/>
  <c r="J59" i="74"/>
  <c r="A59" i="74"/>
  <c r="J58" i="74"/>
  <c r="A58" i="74"/>
  <c r="J57" i="74"/>
  <c r="A57" i="74"/>
  <c r="J56" i="74"/>
  <c r="A56" i="74"/>
  <c r="J55" i="74"/>
  <c r="A55" i="74"/>
  <c r="J54" i="74"/>
  <c r="A54" i="74"/>
  <c r="J53" i="74"/>
  <c r="A53" i="74"/>
  <c r="J52" i="74"/>
  <c r="A52" i="74"/>
  <c r="J51" i="74"/>
  <c r="A51" i="74"/>
  <c r="J50" i="74"/>
  <c r="A50" i="74"/>
  <c r="J49" i="74"/>
  <c r="A49" i="74"/>
  <c r="J48" i="74"/>
  <c r="A48" i="74"/>
  <c r="J47" i="74"/>
  <c r="A47" i="74"/>
  <c r="J46" i="74"/>
  <c r="A46" i="74"/>
  <c r="J45" i="74"/>
  <c r="A45" i="74"/>
  <c r="J44" i="74"/>
  <c r="A44" i="74"/>
  <c r="J43" i="74"/>
  <c r="A43" i="74"/>
  <c r="J42" i="74"/>
  <c r="A42" i="74"/>
  <c r="J41" i="74"/>
  <c r="A41" i="74"/>
  <c r="J40" i="74"/>
  <c r="A40" i="74"/>
  <c r="J39" i="74"/>
  <c r="A39" i="74"/>
  <c r="J38" i="74"/>
  <c r="A38" i="74"/>
  <c r="J37" i="74"/>
  <c r="A37" i="74"/>
  <c r="J36" i="74"/>
  <c r="A36" i="74"/>
  <c r="J35" i="74"/>
  <c r="A35" i="74"/>
  <c r="J34" i="74"/>
  <c r="A34" i="74"/>
  <c r="J33" i="74"/>
  <c r="A33" i="74"/>
  <c r="J32" i="74"/>
  <c r="A32" i="74"/>
  <c r="J31" i="74"/>
  <c r="A31" i="74"/>
  <c r="J30" i="74"/>
  <c r="A30" i="74"/>
  <c r="J29" i="74"/>
  <c r="A29" i="74"/>
  <c r="J28" i="74"/>
  <c r="A28" i="74"/>
  <c r="J27" i="74"/>
  <c r="A27" i="74"/>
  <c r="J26" i="74"/>
  <c r="A26" i="74"/>
  <c r="J25" i="74"/>
  <c r="A25" i="74"/>
  <c r="J24" i="74"/>
  <c r="A24" i="74"/>
  <c r="J23" i="74"/>
  <c r="A23" i="74"/>
  <c r="J22" i="74"/>
  <c r="A22" i="74"/>
  <c r="J21" i="74"/>
  <c r="A21" i="74"/>
  <c r="J20" i="74"/>
  <c r="A20" i="74"/>
  <c r="J19" i="74"/>
  <c r="A19" i="74"/>
  <c r="J18" i="74"/>
  <c r="A18" i="74"/>
  <c r="J17" i="74"/>
  <c r="A17" i="74"/>
  <c r="J16" i="74"/>
  <c r="A16" i="74"/>
  <c r="J15" i="74"/>
  <c r="A15" i="74"/>
  <c r="J14" i="74"/>
  <c r="A14" i="74"/>
  <c r="J13" i="74"/>
  <c r="A13" i="74"/>
  <c r="J12" i="74"/>
  <c r="A12" i="74"/>
  <c r="J11" i="74"/>
  <c r="A11" i="74"/>
  <c r="J10" i="74"/>
  <c r="A10" i="74"/>
  <c r="J9" i="74"/>
  <c r="A9" i="74"/>
  <c r="J8" i="74"/>
  <c r="A8" i="74"/>
  <c r="J7" i="74"/>
  <c r="A7" i="74"/>
  <c r="J6" i="74"/>
  <c r="A6" i="74"/>
  <c r="J5" i="74"/>
  <c r="A5" i="74"/>
  <c r="J4" i="74"/>
  <c r="A4" i="74"/>
  <c r="J3" i="74"/>
  <c r="A3" i="74"/>
  <c r="J2" i="74"/>
  <c r="J75" i="74" s="1"/>
  <c r="A2" i="74"/>
  <c r="I39" i="73"/>
  <c r="G39" i="73"/>
  <c r="Y37" i="73"/>
  <c r="X37" i="73"/>
  <c r="W37" i="73"/>
  <c r="V37" i="73"/>
  <c r="U37" i="73"/>
  <c r="T37" i="73"/>
  <c r="S37" i="73"/>
  <c r="R37" i="73"/>
  <c r="Q37" i="73"/>
  <c r="J36" i="73"/>
  <c r="A36" i="73"/>
  <c r="J35" i="73"/>
  <c r="A35" i="73"/>
  <c r="J34" i="73"/>
  <c r="A34" i="73"/>
  <c r="J33" i="73"/>
  <c r="A33" i="73"/>
  <c r="J32" i="73"/>
  <c r="A32" i="73"/>
  <c r="J31" i="73"/>
  <c r="A31" i="73"/>
  <c r="J30" i="73"/>
  <c r="A30" i="73"/>
  <c r="J29" i="73"/>
  <c r="A29" i="73"/>
  <c r="J28" i="73"/>
  <c r="A28" i="73"/>
  <c r="J27" i="73"/>
  <c r="A27" i="73"/>
  <c r="J26" i="73"/>
  <c r="A26" i="73"/>
  <c r="J25" i="73"/>
  <c r="A25" i="73"/>
  <c r="J24" i="73"/>
  <c r="A24" i="73"/>
  <c r="J23" i="73"/>
  <c r="A23" i="73"/>
  <c r="J22" i="73"/>
  <c r="A22" i="73"/>
  <c r="J21" i="73"/>
  <c r="A21" i="73"/>
  <c r="J20" i="73"/>
  <c r="A20" i="73"/>
  <c r="J19" i="73"/>
  <c r="A19" i="73"/>
  <c r="J18" i="73"/>
  <c r="A18" i="73"/>
  <c r="J17" i="73"/>
  <c r="A17" i="73"/>
  <c r="J16" i="73"/>
  <c r="A16" i="73"/>
  <c r="J15" i="73"/>
  <c r="A15" i="73"/>
  <c r="J14" i="73"/>
  <c r="A14" i="73"/>
  <c r="J13" i="73"/>
  <c r="A13" i="73"/>
  <c r="J12" i="73"/>
  <c r="A12" i="73"/>
  <c r="J11" i="73"/>
  <c r="A11" i="73"/>
  <c r="J10" i="73"/>
  <c r="A10" i="73"/>
  <c r="J9" i="73"/>
  <c r="A9" i="73"/>
  <c r="J8" i="73"/>
  <c r="A8" i="73"/>
  <c r="J7" i="73"/>
  <c r="A7" i="73"/>
  <c r="J6" i="73"/>
  <c r="A6" i="73"/>
  <c r="J5" i="73"/>
  <c r="A5" i="73"/>
  <c r="J4" i="73"/>
  <c r="A4" i="73"/>
  <c r="J3" i="73"/>
  <c r="A3" i="73"/>
  <c r="J2" i="73"/>
  <c r="J39" i="73" s="1"/>
  <c r="A2" i="73"/>
  <c r="U13" i="72"/>
  <c r="T13" i="72"/>
  <c r="S13" i="72"/>
  <c r="R13" i="72"/>
  <c r="Q13" i="72"/>
  <c r="P13" i="72"/>
  <c r="O13" i="72"/>
  <c r="N13" i="72"/>
  <c r="M13" i="72"/>
  <c r="I13" i="72"/>
  <c r="G13" i="72"/>
  <c r="J10" i="72"/>
  <c r="A10" i="72"/>
  <c r="A9" i="72"/>
  <c r="A8" i="72"/>
  <c r="J7" i="72"/>
  <c r="A7" i="72"/>
  <c r="J6" i="72"/>
  <c r="A6" i="72"/>
  <c r="J5" i="72"/>
  <c r="A5" i="72"/>
  <c r="J4" i="72"/>
  <c r="J13" i="72" s="1"/>
  <c r="A4" i="72"/>
  <c r="J3" i="72"/>
  <c r="A3" i="72"/>
  <c r="J2" i="72"/>
  <c r="A2" i="72"/>
  <c r="BM93" i="3" l="1"/>
  <c r="BM92" i="3"/>
  <c r="BM89" i="3"/>
  <c r="BM90" i="3"/>
  <c r="BM88" i="3"/>
  <c r="BM82" i="3"/>
  <c r="BM83" i="3"/>
  <c r="BM84" i="3"/>
  <c r="BM85" i="3"/>
  <c r="BM86" i="3"/>
  <c r="BM81" i="3"/>
  <c r="BM10" i="3"/>
  <c r="BM11" i="3"/>
  <c r="BM12" i="3"/>
  <c r="BM13" i="3"/>
  <c r="BM14" i="3"/>
  <c r="BM15" i="3"/>
  <c r="BM16" i="3"/>
  <c r="BM17" i="3"/>
  <c r="BM18" i="3"/>
  <c r="BM19" i="3"/>
  <c r="BM20" i="3"/>
  <c r="BM21" i="3"/>
  <c r="BM22" i="3"/>
  <c r="BM23" i="3"/>
  <c r="BM24" i="3"/>
  <c r="BM25" i="3"/>
  <c r="BM26" i="3"/>
  <c r="BM27" i="3"/>
  <c r="BM28" i="3"/>
  <c r="BM29" i="3"/>
  <c r="BM30" i="3"/>
  <c r="BM31" i="3"/>
  <c r="BM32" i="3"/>
  <c r="BM33" i="3"/>
  <c r="BM34" i="3"/>
  <c r="BM35" i="3"/>
  <c r="BM36" i="3"/>
  <c r="BM37" i="3"/>
  <c r="BM38" i="3"/>
  <c r="BM39" i="3"/>
  <c r="BM40" i="3"/>
  <c r="BM41" i="3"/>
  <c r="BM42" i="3"/>
  <c r="BM43" i="3"/>
  <c r="BM44" i="3"/>
  <c r="BM45" i="3"/>
  <c r="BM46" i="3"/>
  <c r="BM47" i="3"/>
  <c r="BM48" i="3"/>
  <c r="BM49" i="3"/>
  <c r="BM50" i="3"/>
  <c r="BM51" i="3"/>
  <c r="BM52" i="3"/>
  <c r="BM53" i="3"/>
  <c r="BM54" i="3"/>
  <c r="BM55" i="3"/>
  <c r="BM56" i="3"/>
  <c r="BM57" i="3"/>
  <c r="BM58" i="3"/>
  <c r="BM59" i="3"/>
  <c r="BM60" i="3"/>
  <c r="BM61" i="3"/>
  <c r="BM62" i="3"/>
  <c r="BM63" i="3"/>
  <c r="BM64" i="3"/>
  <c r="BM65" i="3"/>
  <c r="BM66" i="3"/>
  <c r="BM67" i="3"/>
  <c r="BM68" i="3"/>
  <c r="BM69" i="3"/>
  <c r="BM70" i="3"/>
  <c r="BM71" i="3"/>
  <c r="BM72" i="3"/>
  <c r="BM73" i="3"/>
  <c r="BM74" i="3"/>
  <c r="BM75" i="3"/>
  <c r="BM76" i="3"/>
  <c r="BM77" i="3"/>
  <c r="BM78" i="3"/>
  <c r="BM79" i="3"/>
  <c r="BM9" i="3"/>
  <c r="DU9" i="3" s="1"/>
  <c r="EC93" i="3"/>
  <c r="EC92" i="3"/>
  <c r="EC89" i="3"/>
  <c r="EC90" i="3"/>
  <c r="EC88" i="3"/>
  <c r="EC82" i="3"/>
  <c r="EC83" i="3"/>
  <c r="EC84" i="3"/>
  <c r="EC85" i="3"/>
  <c r="EC86" i="3"/>
  <c r="EC81" i="3"/>
  <c r="EC10" i="3"/>
  <c r="EC11" i="3"/>
  <c r="EC12" i="3"/>
  <c r="EC13" i="3"/>
  <c r="EC14" i="3"/>
  <c r="EC15" i="3"/>
  <c r="EC16" i="3"/>
  <c r="EC17" i="3"/>
  <c r="EC18" i="3"/>
  <c r="EC19" i="3"/>
  <c r="EC20" i="3"/>
  <c r="EC21" i="3"/>
  <c r="EC22" i="3"/>
  <c r="EC23" i="3"/>
  <c r="EC24" i="3"/>
  <c r="EC25" i="3"/>
  <c r="EC26" i="3"/>
  <c r="EC27" i="3"/>
  <c r="EC28" i="3"/>
  <c r="EC29" i="3"/>
  <c r="EC30" i="3"/>
  <c r="EC31" i="3"/>
  <c r="EC32" i="3"/>
  <c r="EC33" i="3"/>
  <c r="EC34" i="3"/>
  <c r="EC35" i="3"/>
  <c r="EC36" i="3"/>
  <c r="EC37" i="3"/>
  <c r="EC38" i="3"/>
  <c r="EC39" i="3"/>
  <c r="EC40" i="3"/>
  <c r="EC41" i="3"/>
  <c r="EC42" i="3"/>
  <c r="EC43" i="3"/>
  <c r="EC44" i="3"/>
  <c r="EC45" i="3"/>
  <c r="EC46" i="3"/>
  <c r="EC47" i="3"/>
  <c r="EC48" i="3"/>
  <c r="EC49" i="3"/>
  <c r="EC50" i="3"/>
  <c r="EC51" i="3"/>
  <c r="EC53" i="3"/>
  <c r="EC54" i="3"/>
  <c r="EC55" i="3"/>
  <c r="EC56" i="3"/>
  <c r="EC57" i="3"/>
  <c r="EC58" i="3"/>
  <c r="EC59" i="3"/>
  <c r="EC60" i="3"/>
  <c r="EC61" i="3"/>
  <c r="EC62" i="3"/>
  <c r="EC63" i="3"/>
  <c r="EC64" i="3"/>
  <c r="EC65" i="3"/>
  <c r="EC66" i="3"/>
  <c r="EC67" i="3"/>
  <c r="EC68" i="3"/>
  <c r="EC69" i="3"/>
  <c r="EC70" i="3"/>
  <c r="EC71" i="3"/>
  <c r="EC72" i="3"/>
  <c r="EC73" i="3"/>
  <c r="EC74" i="3"/>
  <c r="EC75" i="3"/>
  <c r="EC76" i="3"/>
  <c r="EC77" i="3"/>
  <c r="EC78" i="3"/>
  <c r="EC79" i="3"/>
  <c r="EC9" i="3"/>
  <c r="EC5" i="3"/>
  <c r="EC6" i="3"/>
  <c r="EC7" i="3"/>
  <c r="EC4" i="3"/>
  <c r="EC94" i="3" l="1"/>
  <c r="K96" i="14" s="1"/>
  <c r="EC100" i="3"/>
  <c r="EC87" i="3"/>
  <c r="I96" i="14" s="1"/>
  <c r="EC91" i="3"/>
  <c r="J96" i="14" s="1"/>
  <c r="EC96" i="3"/>
  <c r="EC98" i="3"/>
  <c r="EC80" i="3"/>
  <c r="H96" i="14" s="1"/>
  <c r="EC99" i="3"/>
  <c r="EC8" i="3"/>
  <c r="EC101" i="3" l="1"/>
  <c r="BK52" i="3" l="1"/>
  <c r="AO81" i="3"/>
  <c r="AP81" i="3"/>
  <c r="AQ81" i="3"/>
  <c r="AR81" i="3"/>
  <c r="AS81" i="3"/>
  <c r="AT81" i="3"/>
  <c r="AO82" i="3"/>
  <c r="AP82" i="3"/>
  <c r="AQ82" i="3"/>
  <c r="AR82" i="3"/>
  <c r="AS82" i="3"/>
  <c r="AT82" i="3"/>
  <c r="AO83" i="3"/>
  <c r="AP83" i="3"/>
  <c r="AQ83" i="3"/>
  <c r="AR83" i="3"/>
  <c r="AS83" i="3"/>
  <c r="AT83" i="3"/>
  <c r="AO84" i="3"/>
  <c r="AP84" i="3"/>
  <c r="AQ84" i="3"/>
  <c r="AR84" i="3"/>
  <c r="AS84" i="3"/>
  <c r="AT84" i="3"/>
  <c r="AO85" i="3"/>
  <c r="AP85" i="3"/>
  <c r="AQ85" i="3"/>
  <c r="AR85" i="3"/>
  <c r="AS85" i="3"/>
  <c r="AT85" i="3"/>
  <c r="AO86" i="3"/>
  <c r="AP86" i="3"/>
  <c r="AQ86" i="3"/>
  <c r="AR86" i="3"/>
  <c r="AS86" i="3"/>
  <c r="AT86" i="3"/>
  <c r="AN82" i="3"/>
  <c r="AN83" i="3"/>
  <c r="AN84" i="3"/>
  <c r="AN85" i="3"/>
  <c r="AN86" i="3"/>
  <c r="AN81" i="3"/>
  <c r="E52" i="3"/>
  <c r="F52" i="3"/>
  <c r="G52" i="3"/>
  <c r="H52" i="3"/>
  <c r="I52" i="3"/>
  <c r="J52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Y52" i="3"/>
  <c r="Z52" i="3"/>
  <c r="AA52" i="3"/>
  <c r="AB52" i="3"/>
  <c r="AC52" i="3"/>
  <c r="AD52" i="3"/>
  <c r="AE52" i="3"/>
  <c r="AF52" i="3"/>
  <c r="AG52" i="3"/>
  <c r="AH52" i="3"/>
  <c r="AI52" i="3"/>
  <c r="AJ52" i="3"/>
  <c r="AK52" i="3"/>
  <c r="AL52" i="3"/>
  <c r="AM52" i="3"/>
  <c r="AN52" i="3"/>
  <c r="AO52" i="3"/>
  <c r="AP52" i="3"/>
  <c r="AQ52" i="3"/>
  <c r="AR52" i="3"/>
  <c r="AS52" i="3"/>
  <c r="AT52" i="3"/>
  <c r="AU52" i="3"/>
  <c r="AV52" i="3"/>
  <c r="AW52" i="3"/>
  <c r="AX52" i="3"/>
  <c r="AY52" i="3"/>
  <c r="AZ52" i="3"/>
  <c r="BA52" i="3"/>
  <c r="BB52" i="3"/>
  <c r="BC52" i="3"/>
  <c r="BD52" i="3"/>
  <c r="BE52" i="3"/>
  <c r="BF52" i="3"/>
  <c r="BG52" i="3"/>
  <c r="D82" i="3"/>
  <c r="D83" i="3"/>
  <c r="D84" i="3"/>
  <c r="D85" i="3"/>
  <c r="D86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5" i="3"/>
  <c r="D6" i="3"/>
  <c r="D7" i="3"/>
  <c r="E103" i="3"/>
  <c r="I103" i="3"/>
  <c r="J103" i="3"/>
  <c r="K103" i="3"/>
  <c r="L103" i="3"/>
  <c r="Q103" i="3"/>
  <c r="AC103" i="3"/>
  <c r="AG103" i="3"/>
  <c r="AH103" i="3"/>
  <c r="AI103" i="3"/>
  <c r="AJ103" i="3"/>
  <c r="AO103" i="3"/>
  <c r="BA103" i="3"/>
  <c r="BE103" i="3"/>
  <c r="BF103" i="3"/>
  <c r="BG103" i="3"/>
  <c r="D103" i="3"/>
  <c r="T90" i="68"/>
  <c r="U90" i="68"/>
  <c r="F103" i="3" s="1"/>
  <c r="V90" i="68"/>
  <c r="G103" i="3" s="1"/>
  <c r="W90" i="68"/>
  <c r="H103" i="3" s="1"/>
  <c r="X90" i="68"/>
  <c r="Y90" i="68"/>
  <c r="Z90" i="68"/>
  <c r="AA90" i="68"/>
  <c r="AB90" i="68"/>
  <c r="M103" i="3" s="1"/>
  <c r="AC90" i="68"/>
  <c r="N103" i="3" s="1"/>
  <c r="AD90" i="68"/>
  <c r="O103" i="3" s="1"/>
  <c r="AE90" i="68"/>
  <c r="P103" i="3" s="1"/>
  <c r="AF90" i="68"/>
  <c r="AG90" i="68"/>
  <c r="R103" i="3" s="1"/>
  <c r="AH90" i="68"/>
  <c r="S103" i="3" s="1"/>
  <c r="AI90" i="68"/>
  <c r="T103" i="3" s="1"/>
  <c r="AJ90" i="68"/>
  <c r="U103" i="3" s="1"/>
  <c r="AK90" i="68"/>
  <c r="V103" i="3" s="1"/>
  <c r="AL90" i="68"/>
  <c r="W103" i="3" s="1"/>
  <c r="AM90" i="68"/>
  <c r="X103" i="3" s="1"/>
  <c r="AN90" i="68"/>
  <c r="Y103" i="3" s="1"/>
  <c r="AO90" i="68"/>
  <c r="Z103" i="3" s="1"/>
  <c r="AP90" i="68"/>
  <c r="AA103" i="3" s="1"/>
  <c r="AQ90" i="68"/>
  <c r="AB103" i="3" s="1"/>
  <c r="AR90" i="68"/>
  <c r="AS90" i="68"/>
  <c r="AD103" i="3" s="1"/>
  <c r="AT90" i="68"/>
  <c r="AE103" i="3" s="1"/>
  <c r="AU90" i="68"/>
  <c r="AF103" i="3" s="1"/>
  <c r="AV90" i="68"/>
  <c r="AW90" i="68"/>
  <c r="AX90" i="68"/>
  <c r="AY90" i="68"/>
  <c r="AZ90" i="68"/>
  <c r="AK103" i="3" s="1"/>
  <c r="BA90" i="68"/>
  <c r="AL103" i="3" s="1"/>
  <c r="BB90" i="68"/>
  <c r="AM103" i="3" s="1"/>
  <c r="BC90" i="68"/>
  <c r="AN103" i="3" s="1"/>
  <c r="BD90" i="68"/>
  <c r="BE90" i="68"/>
  <c r="AP103" i="3" s="1"/>
  <c r="BF90" i="68"/>
  <c r="AQ103" i="3" s="1"/>
  <c r="BG90" i="68"/>
  <c r="AR103" i="3" s="1"/>
  <c r="BH90" i="68"/>
  <c r="AS103" i="3" s="1"/>
  <c r="BI90" i="68"/>
  <c r="AT103" i="3" s="1"/>
  <c r="BJ90" i="68"/>
  <c r="AU103" i="3" s="1"/>
  <c r="BK90" i="68"/>
  <c r="AV103" i="3" s="1"/>
  <c r="BL90" i="68"/>
  <c r="AW103" i="3" s="1"/>
  <c r="BM90" i="68"/>
  <c r="AX103" i="3" s="1"/>
  <c r="BN90" i="68"/>
  <c r="AY103" i="3" s="1"/>
  <c r="BO90" i="68"/>
  <c r="AZ103" i="3" s="1"/>
  <c r="BP90" i="68"/>
  <c r="BQ90" i="68"/>
  <c r="BB103" i="3" s="1"/>
  <c r="BR90" i="68"/>
  <c r="BC103" i="3" s="1"/>
  <c r="BS90" i="68"/>
  <c r="BD103" i="3" s="1"/>
  <c r="BT90" i="68"/>
  <c r="BU90" i="68"/>
  <c r="BV90" i="68"/>
  <c r="BW90" i="68"/>
  <c r="BX90" i="68"/>
  <c r="BY90" i="68"/>
  <c r="BZ90" i="68"/>
  <c r="CA90" i="68"/>
  <c r="CB90" i="68"/>
  <c r="CC90" i="68"/>
  <c r="CD90" i="68"/>
  <c r="CE90" i="68"/>
  <c r="CF90" i="68"/>
  <c r="CG90" i="68"/>
  <c r="CH90" i="68"/>
  <c r="CI90" i="68"/>
  <c r="CJ90" i="68"/>
  <c r="CK90" i="68"/>
  <c r="CL90" i="68"/>
  <c r="CM90" i="68"/>
  <c r="CN90" i="68"/>
  <c r="CO90" i="68"/>
  <c r="P90" i="68"/>
  <c r="Q90" i="68"/>
  <c r="R90" i="68"/>
  <c r="S90" i="68"/>
  <c r="E92" i="3"/>
  <c r="F92" i="3"/>
  <c r="G92" i="3"/>
  <c r="H92" i="3"/>
  <c r="I92" i="3"/>
  <c r="J92" i="3"/>
  <c r="K92" i="3"/>
  <c r="L92" i="3"/>
  <c r="M92" i="3"/>
  <c r="N92" i="3"/>
  <c r="O92" i="3"/>
  <c r="P92" i="3"/>
  <c r="Q92" i="3"/>
  <c r="R92" i="3"/>
  <c r="S92" i="3"/>
  <c r="T92" i="3"/>
  <c r="U92" i="3"/>
  <c r="V92" i="3"/>
  <c r="W92" i="3"/>
  <c r="X92" i="3"/>
  <c r="Y92" i="3"/>
  <c r="Z92" i="3"/>
  <c r="AA92" i="3"/>
  <c r="AB92" i="3"/>
  <c r="AC92" i="3"/>
  <c r="AD92" i="3"/>
  <c r="AE92" i="3"/>
  <c r="AF92" i="3"/>
  <c r="AG92" i="3"/>
  <c r="AH92" i="3"/>
  <c r="AI92" i="3"/>
  <c r="AJ92" i="3"/>
  <c r="AK92" i="3"/>
  <c r="AL92" i="3"/>
  <c r="AM92" i="3"/>
  <c r="AN92" i="3"/>
  <c r="AO92" i="3"/>
  <c r="AP92" i="3"/>
  <c r="AQ92" i="3"/>
  <c r="AR92" i="3"/>
  <c r="AS92" i="3"/>
  <c r="AT92" i="3"/>
  <c r="AU92" i="3"/>
  <c r="AV92" i="3"/>
  <c r="AW92" i="3"/>
  <c r="AX92" i="3"/>
  <c r="AY92" i="3"/>
  <c r="AZ92" i="3"/>
  <c r="BA92" i="3"/>
  <c r="BB92" i="3"/>
  <c r="BC92" i="3"/>
  <c r="BD92" i="3"/>
  <c r="BE92" i="3"/>
  <c r="BF92" i="3"/>
  <c r="BG92" i="3"/>
  <c r="E93" i="3"/>
  <c r="F93" i="3"/>
  <c r="G93" i="3"/>
  <c r="H93" i="3"/>
  <c r="I93" i="3"/>
  <c r="J93" i="3"/>
  <c r="K93" i="3"/>
  <c r="L93" i="3"/>
  <c r="M93" i="3"/>
  <c r="N93" i="3"/>
  <c r="O93" i="3"/>
  <c r="P93" i="3"/>
  <c r="Q93" i="3"/>
  <c r="R93" i="3"/>
  <c r="S93" i="3"/>
  <c r="T93" i="3"/>
  <c r="U93" i="3"/>
  <c r="V93" i="3"/>
  <c r="W93" i="3"/>
  <c r="X93" i="3"/>
  <c r="Y93" i="3"/>
  <c r="Z93" i="3"/>
  <c r="AA93" i="3"/>
  <c r="AB93" i="3"/>
  <c r="AC93" i="3"/>
  <c r="AD93" i="3"/>
  <c r="AE93" i="3"/>
  <c r="AF93" i="3"/>
  <c r="AG93" i="3"/>
  <c r="AH93" i="3"/>
  <c r="AI93" i="3"/>
  <c r="AJ93" i="3"/>
  <c r="AK93" i="3"/>
  <c r="AL93" i="3"/>
  <c r="AM93" i="3"/>
  <c r="AN93" i="3"/>
  <c r="AO93" i="3"/>
  <c r="AP93" i="3"/>
  <c r="AQ93" i="3"/>
  <c r="AR93" i="3"/>
  <c r="AS93" i="3"/>
  <c r="AT93" i="3"/>
  <c r="AU93" i="3"/>
  <c r="AV93" i="3"/>
  <c r="AW93" i="3"/>
  <c r="AX93" i="3"/>
  <c r="AY93" i="3"/>
  <c r="AZ93" i="3"/>
  <c r="BA93" i="3"/>
  <c r="BB93" i="3"/>
  <c r="BC93" i="3"/>
  <c r="BD93" i="3"/>
  <c r="BE93" i="3"/>
  <c r="BF93" i="3"/>
  <c r="BG93" i="3"/>
  <c r="E88" i="3"/>
  <c r="F88" i="3"/>
  <c r="G88" i="3"/>
  <c r="H88" i="3"/>
  <c r="I88" i="3"/>
  <c r="J88" i="3"/>
  <c r="K88" i="3"/>
  <c r="L88" i="3"/>
  <c r="M88" i="3"/>
  <c r="N88" i="3"/>
  <c r="O88" i="3"/>
  <c r="P88" i="3"/>
  <c r="Q88" i="3"/>
  <c r="R88" i="3"/>
  <c r="S88" i="3"/>
  <c r="T88" i="3"/>
  <c r="U88" i="3"/>
  <c r="V88" i="3"/>
  <c r="W88" i="3"/>
  <c r="X88" i="3"/>
  <c r="Y88" i="3"/>
  <c r="Z88" i="3"/>
  <c r="AA88" i="3"/>
  <c r="AB88" i="3"/>
  <c r="AC88" i="3"/>
  <c r="AD88" i="3"/>
  <c r="AE88" i="3"/>
  <c r="AF88" i="3"/>
  <c r="AG88" i="3"/>
  <c r="AH88" i="3"/>
  <c r="AI88" i="3"/>
  <c r="AJ88" i="3"/>
  <c r="AK88" i="3"/>
  <c r="AL88" i="3"/>
  <c r="AM88" i="3"/>
  <c r="AN88" i="3"/>
  <c r="AO88" i="3"/>
  <c r="AP88" i="3"/>
  <c r="AQ88" i="3"/>
  <c r="AR88" i="3"/>
  <c r="AS88" i="3"/>
  <c r="AT88" i="3"/>
  <c r="AU88" i="3"/>
  <c r="AV88" i="3"/>
  <c r="AW88" i="3"/>
  <c r="AX88" i="3"/>
  <c r="AY88" i="3"/>
  <c r="AZ88" i="3"/>
  <c r="BA88" i="3"/>
  <c r="BB88" i="3"/>
  <c r="BC88" i="3"/>
  <c r="BD88" i="3"/>
  <c r="BE88" i="3"/>
  <c r="BF88" i="3"/>
  <c r="BG88" i="3"/>
  <c r="E89" i="3"/>
  <c r="F89" i="3"/>
  <c r="G89" i="3"/>
  <c r="H89" i="3"/>
  <c r="I89" i="3"/>
  <c r="J89" i="3"/>
  <c r="K89" i="3"/>
  <c r="L89" i="3"/>
  <c r="M89" i="3"/>
  <c r="N89" i="3"/>
  <c r="O89" i="3"/>
  <c r="P89" i="3"/>
  <c r="Q89" i="3"/>
  <c r="R89" i="3"/>
  <c r="S89" i="3"/>
  <c r="T89" i="3"/>
  <c r="U89" i="3"/>
  <c r="V89" i="3"/>
  <c r="W89" i="3"/>
  <c r="X89" i="3"/>
  <c r="Y89" i="3"/>
  <c r="Z89" i="3"/>
  <c r="AA89" i="3"/>
  <c r="AB89" i="3"/>
  <c r="AC89" i="3"/>
  <c r="AD89" i="3"/>
  <c r="AE89" i="3"/>
  <c r="AF89" i="3"/>
  <c r="AG89" i="3"/>
  <c r="AH89" i="3"/>
  <c r="AI89" i="3"/>
  <c r="AJ89" i="3"/>
  <c r="AK89" i="3"/>
  <c r="AL89" i="3"/>
  <c r="AM89" i="3"/>
  <c r="AN89" i="3"/>
  <c r="AO89" i="3"/>
  <c r="AP89" i="3"/>
  <c r="AQ89" i="3"/>
  <c r="AR89" i="3"/>
  <c r="AS89" i="3"/>
  <c r="AT89" i="3"/>
  <c r="AU89" i="3"/>
  <c r="AV89" i="3"/>
  <c r="AW89" i="3"/>
  <c r="AX89" i="3"/>
  <c r="AY89" i="3"/>
  <c r="AZ89" i="3"/>
  <c r="BA89" i="3"/>
  <c r="BB89" i="3"/>
  <c r="BC89" i="3"/>
  <c r="BD89" i="3"/>
  <c r="BE89" i="3"/>
  <c r="BF89" i="3"/>
  <c r="BG89" i="3"/>
  <c r="E90" i="3"/>
  <c r="F90" i="3"/>
  <c r="G90" i="3"/>
  <c r="H90" i="3"/>
  <c r="I90" i="3"/>
  <c r="J90" i="3"/>
  <c r="K90" i="3"/>
  <c r="L90" i="3"/>
  <c r="M90" i="3"/>
  <c r="N90" i="3"/>
  <c r="O90" i="3"/>
  <c r="P90" i="3"/>
  <c r="Q90" i="3"/>
  <c r="R90" i="3"/>
  <c r="S90" i="3"/>
  <c r="T90" i="3"/>
  <c r="U90" i="3"/>
  <c r="V90" i="3"/>
  <c r="W90" i="3"/>
  <c r="X90" i="3"/>
  <c r="Y90" i="3"/>
  <c r="Z90" i="3"/>
  <c r="AA90" i="3"/>
  <c r="AB90" i="3"/>
  <c r="AC90" i="3"/>
  <c r="AD90" i="3"/>
  <c r="AE90" i="3"/>
  <c r="AF90" i="3"/>
  <c r="AG90" i="3"/>
  <c r="AH90" i="3"/>
  <c r="AI90" i="3"/>
  <c r="AJ90" i="3"/>
  <c r="AK90" i="3"/>
  <c r="AL90" i="3"/>
  <c r="AM90" i="3"/>
  <c r="AN90" i="3"/>
  <c r="AO90" i="3"/>
  <c r="AP90" i="3"/>
  <c r="AQ90" i="3"/>
  <c r="AR90" i="3"/>
  <c r="AS90" i="3"/>
  <c r="AT90" i="3"/>
  <c r="AU90" i="3"/>
  <c r="AV90" i="3"/>
  <c r="AW90" i="3"/>
  <c r="AX90" i="3"/>
  <c r="AY90" i="3"/>
  <c r="AZ90" i="3"/>
  <c r="BA90" i="3"/>
  <c r="BB90" i="3"/>
  <c r="BC90" i="3"/>
  <c r="BD90" i="3"/>
  <c r="BE90" i="3"/>
  <c r="BF90" i="3"/>
  <c r="BG90" i="3"/>
  <c r="E81" i="3"/>
  <c r="F81" i="3"/>
  <c r="G81" i="3"/>
  <c r="H81" i="3"/>
  <c r="I81" i="3"/>
  <c r="J81" i="3"/>
  <c r="K81" i="3"/>
  <c r="L81" i="3"/>
  <c r="M81" i="3"/>
  <c r="N81" i="3"/>
  <c r="O81" i="3"/>
  <c r="P81" i="3"/>
  <c r="Q81" i="3"/>
  <c r="R81" i="3"/>
  <c r="S81" i="3"/>
  <c r="T81" i="3"/>
  <c r="U81" i="3"/>
  <c r="V81" i="3"/>
  <c r="W81" i="3"/>
  <c r="X81" i="3"/>
  <c r="Y81" i="3"/>
  <c r="Z81" i="3"/>
  <c r="AA81" i="3"/>
  <c r="AB81" i="3"/>
  <c r="AC81" i="3"/>
  <c r="AD81" i="3"/>
  <c r="AE81" i="3"/>
  <c r="AF81" i="3"/>
  <c r="AG81" i="3"/>
  <c r="AH81" i="3"/>
  <c r="AI81" i="3"/>
  <c r="AJ81" i="3"/>
  <c r="AK81" i="3"/>
  <c r="AL81" i="3"/>
  <c r="AM81" i="3"/>
  <c r="AU81" i="3"/>
  <c r="AV81" i="3"/>
  <c r="AW81" i="3"/>
  <c r="AX81" i="3"/>
  <c r="AY81" i="3"/>
  <c r="AZ81" i="3"/>
  <c r="BA81" i="3"/>
  <c r="BB81" i="3"/>
  <c r="BC81" i="3"/>
  <c r="BD81" i="3"/>
  <c r="BE81" i="3"/>
  <c r="BF81" i="3"/>
  <c r="BG81" i="3"/>
  <c r="E82" i="3"/>
  <c r="F82" i="3"/>
  <c r="G82" i="3"/>
  <c r="H82" i="3"/>
  <c r="I82" i="3"/>
  <c r="J82" i="3"/>
  <c r="K82" i="3"/>
  <c r="L82" i="3"/>
  <c r="M82" i="3"/>
  <c r="N82" i="3"/>
  <c r="O82" i="3"/>
  <c r="P82" i="3"/>
  <c r="Q82" i="3"/>
  <c r="R82" i="3"/>
  <c r="S82" i="3"/>
  <c r="T82" i="3"/>
  <c r="U82" i="3"/>
  <c r="V82" i="3"/>
  <c r="W82" i="3"/>
  <c r="X82" i="3"/>
  <c r="Y82" i="3"/>
  <c r="Z82" i="3"/>
  <c r="AA82" i="3"/>
  <c r="AB82" i="3"/>
  <c r="AC82" i="3"/>
  <c r="AD82" i="3"/>
  <c r="AE82" i="3"/>
  <c r="AF82" i="3"/>
  <c r="AG82" i="3"/>
  <c r="AH82" i="3"/>
  <c r="AI82" i="3"/>
  <c r="AJ82" i="3"/>
  <c r="AK82" i="3"/>
  <c r="AL82" i="3"/>
  <c r="AM82" i="3"/>
  <c r="AU82" i="3"/>
  <c r="AV82" i="3"/>
  <c r="AW82" i="3"/>
  <c r="AX82" i="3"/>
  <c r="AY82" i="3"/>
  <c r="AZ82" i="3"/>
  <c r="BA82" i="3"/>
  <c r="BB82" i="3"/>
  <c r="BC82" i="3"/>
  <c r="BD82" i="3"/>
  <c r="BE82" i="3"/>
  <c r="BF82" i="3"/>
  <c r="BG82" i="3"/>
  <c r="E83" i="3"/>
  <c r="F83" i="3"/>
  <c r="G83" i="3"/>
  <c r="H83" i="3"/>
  <c r="I83" i="3"/>
  <c r="J83" i="3"/>
  <c r="K83" i="3"/>
  <c r="L83" i="3"/>
  <c r="M83" i="3"/>
  <c r="N83" i="3"/>
  <c r="O83" i="3"/>
  <c r="P83" i="3"/>
  <c r="Q83" i="3"/>
  <c r="R83" i="3"/>
  <c r="S83" i="3"/>
  <c r="T83" i="3"/>
  <c r="U83" i="3"/>
  <c r="V83" i="3"/>
  <c r="W83" i="3"/>
  <c r="X83" i="3"/>
  <c r="Y83" i="3"/>
  <c r="Z83" i="3"/>
  <c r="AA83" i="3"/>
  <c r="AB83" i="3"/>
  <c r="AC83" i="3"/>
  <c r="AD83" i="3"/>
  <c r="AE83" i="3"/>
  <c r="AF83" i="3"/>
  <c r="AG83" i="3"/>
  <c r="AH83" i="3"/>
  <c r="AI83" i="3"/>
  <c r="AJ83" i="3"/>
  <c r="AK83" i="3"/>
  <c r="AL83" i="3"/>
  <c r="AM83" i="3"/>
  <c r="AU83" i="3"/>
  <c r="AV83" i="3"/>
  <c r="AW83" i="3"/>
  <c r="AX83" i="3"/>
  <c r="AY83" i="3"/>
  <c r="AZ83" i="3"/>
  <c r="BA83" i="3"/>
  <c r="BB83" i="3"/>
  <c r="BC83" i="3"/>
  <c r="BD83" i="3"/>
  <c r="BE83" i="3"/>
  <c r="BF83" i="3"/>
  <c r="BG83" i="3"/>
  <c r="E84" i="3"/>
  <c r="F84" i="3"/>
  <c r="G84" i="3"/>
  <c r="H84" i="3"/>
  <c r="I84" i="3"/>
  <c r="J84" i="3"/>
  <c r="K84" i="3"/>
  <c r="L84" i="3"/>
  <c r="M84" i="3"/>
  <c r="N84" i="3"/>
  <c r="O84" i="3"/>
  <c r="P84" i="3"/>
  <c r="Q84" i="3"/>
  <c r="R84" i="3"/>
  <c r="S84" i="3"/>
  <c r="T84" i="3"/>
  <c r="U84" i="3"/>
  <c r="V84" i="3"/>
  <c r="W84" i="3"/>
  <c r="X84" i="3"/>
  <c r="Y84" i="3"/>
  <c r="Z84" i="3"/>
  <c r="AA84" i="3"/>
  <c r="AB84" i="3"/>
  <c r="AC84" i="3"/>
  <c r="AD84" i="3"/>
  <c r="AE84" i="3"/>
  <c r="AF84" i="3"/>
  <c r="AG84" i="3"/>
  <c r="AH84" i="3"/>
  <c r="AI84" i="3"/>
  <c r="AJ84" i="3"/>
  <c r="AK84" i="3"/>
  <c r="AL84" i="3"/>
  <c r="AM84" i="3"/>
  <c r="AU84" i="3"/>
  <c r="AV84" i="3"/>
  <c r="AW84" i="3"/>
  <c r="AX84" i="3"/>
  <c r="AY84" i="3"/>
  <c r="AZ84" i="3"/>
  <c r="BA84" i="3"/>
  <c r="BB84" i="3"/>
  <c r="BC84" i="3"/>
  <c r="BD84" i="3"/>
  <c r="BE84" i="3"/>
  <c r="BF84" i="3"/>
  <c r="BG84" i="3"/>
  <c r="E85" i="3"/>
  <c r="F85" i="3"/>
  <c r="G85" i="3"/>
  <c r="H85" i="3"/>
  <c r="I85" i="3"/>
  <c r="J85" i="3"/>
  <c r="K85" i="3"/>
  <c r="L85" i="3"/>
  <c r="M85" i="3"/>
  <c r="N85" i="3"/>
  <c r="O85" i="3"/>
  <c r="P85" i="3"/>
  <c r="Q85" i="3"/>
  <c r="R85" i="3"/>
  <c r="S85" i="3"/>
  <c r="T85" i="3"/>
  <c r="U85" i="3"/>
  <c r="V85" i="3"/>
  <c r="W85" i="3"/>
  <c r="X85" i="3"/>
  <c r="Y85" i="3"/>
  <c r="Z85" i="3"/>
  <c r="AA85" i="3"/>
  <c r="AB85" i="3"/>
  <c r="AC85" i="3"/>
  <c r="AD85" i="3"/>
  <c r="AE85" i="3"/>
  <c r="AF85" i="3"/>
  <c r="AG85" i="3"/>
  <c r="AH85" i="3"/>
  <c r="AI85" i="3"/>
  <c r="AJ85" i="3"/>
  <c r="AK85" i="3"/>
  <c r="AL85" i="3"/>
  <c r="AM85" i="3"/>
  <c r="AU85" i="3"/>
  <c r="AV85" i="3"/>
  <c r="AW85" i="3"/>
  <c r="AX85" i="3"/>
  <c r="AY85" i="3"/>
  <c r="AZ85" i="3"/>
  <c r="BA85" i="3"/>
  <c r="BB85" i="3"/>
  <c r="BC85" i="3"/>
  <c r="BD85" i="3"/>
  <c r="BE85" i="3"/>
  <c r="BF85" i="3"/>
  <c r="BG85" i="3"/>
  <c r="E86" i="3"/>
  <c r="F86" i="3"/>
  <c r="G86" i="3"/>
  <c r="H86" i="3"/>
  <c r="I86" i="3"/>
  <c r="J86" i="3"/>
  <c r="K86" i="3"/>
  <c r="L86" i="3"/>
  <c r="M86" i="3"/>
  <c r="N86" i="3"/>
  <c r="O86" i="3"/>
  <c r="P86" i="3"/>
  <c r="Q86" i="3"/>
  <c r="R86" i="3"/>
  <c r="S86" i="3"/>
  <c r="T86" i="3"/>
  <c r="U86" i="3"/>
  <c r="V86" i="3"/>
  <c r="W86" i="3"/>
  <c r="X86" i="3"/>
  <c r="Y86" i="3"/>
  <c r="Z86" i="3"/>
  <c r="AA86" i="3"/>
  <c r="AB86" i="3"/>
  <c r="AC86" i="3"/>
  <c r="AD86" i="3"/>
  <c r="AE86" i="3"/>
  <c r="AF86" i="3"/>
  <c r="AG86" i="3"/>
  <c r="AH86" i="3"/>
  <c r="AI86" i="3"/>
  <c r="AJ86" i="3"/>
  <c r="AK86" i="3"/>
  <c r="AL86" i="3"/>
  <c r="AM86" i="3"/>
  <c r="AU86" i="3"/>
  <c r="AV86" i="3"/>
  <c r="AW86" i="3"/>
  <c r="AX86" i="3"/>
  <c r="AY86" i="3"/>
  <c r="AZ86" i="3"/>
  <c r="BA86" i="3"/>
  <c r="BB86" i="3"/>
  <c r="BC86" i="3"/>
  <c r="BD86" i="3"/>
  <c r="BE86" i="3"/>
  <c r="BF86" i="3"/>
  <c r="BG86" i="3"/>
  <c r="D81" i="3"/>
  <c r="BK93" i="3"/>
  <c r="BK92" i="3"/>
  <c r="BK89" i="3"/>
  <c r="BK90" i="3"/>
  <c r="BK88" i="3"/>
  <c r="BK82" i="3"/>
  <c r="BK83" i="3"/>
  <c r="BK84" i="3"/>
  <c r="BK85" i="3"/>
  <c r="BK86" i="3"/>
  <c r="BK81" i="3"/>
  <c r="CQ5" i="68"/>
  <c r="CQ6" i="68"/>
  <c r="CQ7" i="68"/>
  <c r="CQ8" i="68"/>
  <c r="CQ9" i="68"/>
  <c r="CQ10" i="68"/>
  <c r="CQ11" i="68"/>
  <c r="CQ12" i="68"/>
  <c r="CQ13" i="68"/>
  <c r="CQ14" i="68"/>
  <c r="CQ15" i="68"/>
  <c r="CQ16" i="68"/>
  <c r="CQ17" i="68"/>
  <c r="CQ18" i="68"/>
  <c r="CQ19" i="68"/>
  <c r="CQ20" i="68"/>
  <c r="CQ21" i="68"/>
  <c r="CQ22" i="68"/>
  <c r="CQ23" i="68"/>
  <c r="CQ24" i="68"/>
  <c r="CQ25" i="68"/>
  <c r="CQ26" i="68"/>
  <c r="CQ27" i="68"/>
  <c r="CQ28" i="68"/>
  <c r="CQ29" i="68"/>
  <c r="CQ30" i="68"/>
  <c r="CQ31" i="68"/>
  <c r="CQ32" i="68"/>
  <c r="CQ33" i="68"/>
  <c r="CQ34" i="68"/>
  <c r="CQ35" i="68"/>
  <c r="CQ36" i="68"/>
  <c r="CQ37" i="68"/>
  <c r="CQ38" i="68"/>
  <c r="CQ39" i="68"/>
  <c r="CQ40" i="68"/>
  <c r="CQ41" i="68"/>
  <c r="CQ42" i="68"/>
  <c r="CQ43" i="68"/>
  <c r="CQ44" i="68"/>
  <c r="CQ45" i="68"/>
  <c r="CQ46" i="68"/>
  <c r="CQ47" i="68"/>
  <c r="CQ48" i="68"/>
  <c r="CQ49" i="68"/>
  <c r="CQ50" i="68"/>
  <c r="CQ51" i="68"/>
  <c r="CQ52" i="68"/>
  <c r="CQ53" i="68"/>
  <c r="CQ54" i="68"/>
  <c r="CQ55" i="68"/>
  <c r="CQ56" i="68"/>
  <c r="CQ57" i="68"/>
  <c r="CQ58" i="68"/>
  <c r="CQ59" i="68"/>
  <c r="CQ60" i="68"/>
  <c r="CQ61" i="68"/>
  <c r="CQ62" i="68"/>
  <c r="CQ63" i="68"/>
  <c r="CQ64" i="68"/>
  <c r="CQ65" i="68"/>
  <c r="CQ66" i="68"/>
  <c r="CQ67" i="68"/>
  <c r="CQ68" i="68"/>
  <c r="CQ69" i="68"/>
  <c r="CQ70" i="68"/>
  <c r="CQ71" i="68"/>
  <c r="CQ72" i="68"/>
  <c r="CQ73" i="68"/>
  <c r="CQ74" i="68"/>
  <c r="CQ75" i="68"/>
  <c r="CQ76" i="68"/>
  <c r="CQ77" i="68"/>
  <c r="CQ78" i="68"/>
  <c r="CQ79" i="68"/>
  <c r="CQ80" i="68"/>
  <c r="CQ81" i="68"/>
  <c r="CQ82" i="68"/>
  <c r="CQ83" i="68"/>
  <c r="CQ84" i="68"/>
  <c r="CQ85" i="68"/>
  <c r="CQ86" i="68"/>
  <c r="CQ87" i="68"/>
  <c r="CQ88" i="68"/>
  <c r="CQ4" i="68"/>
  <c r="BK5" i="3"/>
  <c r="BK6" i="3"/>
  <c r="BK7" i="3"/>
  <c r="BK4" i="3"/>
  <c r="BK9" i="3"/>
  <c r="BK11" i="3"/>
  <c r="BK12" i="3"/>
  <c r="BK13" i="3"/>
  <c r="BK14" i="3"/>
  <c r="BK15" i="3"/>
  <c r="BK16" i="3"/>
  <c r="BK17" i="3"/>
  <c r="BK18" i="3"/>
  <c r="BK19" i="3"/>
  <c r="BK20" i="3"/>
  <c r="BK21" i="3"/>
  <c r="BK22" i="3"/>
  <c r="BK23" i="3"/>
  <c r="BK24" i="3"/>
  <c r="BK25" i="3"/>
  <c r="BK26" i="3"/>
  <c r="BK27" i="3"/>
  <c r="BK28" i="3"/>
  <c r="BK29" i="3"/>
  <c r="BK30" i="3"/>
  <c r="BK31" i="3"/>
  <c r="BK32" i="3"/>
  <c r="BK33" i="3"/>
  <c r="BK34" i="3"/>
  <c r="BK35" i="3"/>
  <c r="BK36" i="3"/>
  <c r="BK37" i="3"/>
  <c r="BK38" i="3"/>
  <c r="BK39" i="3"/>
  <c r="BK40" i="3"/>
  <c r="BK41" i="3"/>
  <c r="BK42" i="3"/>
  <c r="BK43" i="3"/>
  <c r="BK44" i="3"/>
  <c r="BK45" i="3"/>
  <c r="BK46" i="3"/>
  <c r="BK47" i="3"/>
  <c r="BK48" i="3"/>
  <c r="BK49" i="3"/>
  <c r="BK50" i="3"/>
  <c r="BK51" i="3"/>
  <c r="BK53" i="3"/>
  <c r="BK54" i="3"/>
  <c r="BK55" i="3"/>
  <c r="BK56" i="3"/>
  <c r="BK57" i="3"/>
  <c r="BK58" i="3"/>
  <c r="BK59" i="3"/>
  <c r="BK60" i="3"/>
  <c r="BK61" i="3"/>
  <c r="BK62" i="3"/>
  <c r="BK63" i="3"/>
  <c r="BK64" i="3"/>
  <c r="BK65" i="3"/>
  <c r="BK66" i="3"/>
  <c r="BK67" i="3"/>
  <c r="BK68" i="3"/>
  <c r="BK69" i="3"/>
  <c r="BK70" i="3"/>
  <c r="BK71" i="3"/>
  <c r="BK72" i="3"/>
  <c r="BK73" i="3"/>
  <c r="BK74" i="3"/>
  <c r="BK75" i="3"/>
  <c r="BK76" i="3"/>
  <c r="BK77" i="3"/>
  <c r="BK78" i="3"/>
  <c r="BK79" i="3"/>
  <c r="BK10" i="3"/>
  <c r="CT5" i="69"/>
  <c r="CT6" i="69"/>
  <c r="CT7" i="69"/>
  <c r="CT8" i="69"/>
  <c r="CT9" i="69"/>
  <c r="CT10" i="69"/>
  <c r="CT11" i="69"/>
  <c r="CT12" i="69"/>
  <c r="CT13" i="69"/>
  <c r="CT14" i="69"/>
  <c r="CT15" i="69"/>
  <c r="CT16" i="69"/>
  <c r="CT17" i="69"/>
  <c r="CT18" i="69"/>
  <c r="CT19" i="69"/>
  <c r="CT20" i="69"/>
  <c r="CT21" i="69"/>
  <c r="CT22" i="69"/>
  <c r="CT23" i="69"/>
  <c r="CT24" i="69"/>
  <c r="CT25" i="69"/>
  <c r="CT26" i="69"/>
  <c r="CT27" i="69"/>
  <c r="CT28" i="69"/>
  <c r="CT29" i="69"/>
  <c r="CT30" i="69"/>
  <c r="CT31" i="69"/>
  <c r="CT32" i="69"/>
  <c r="CT33" i="69"/>
  <c r="CT34" i="69"/>
  <c r="CT35" i="69"/>
  <c r="CT36" i="69"/>
  <c r="CT37" i="69"/>
  <c r="CT38" i="69"/>
  <c r="CT39" i="69"/>
  <c r="CT40" i="69"/>
  <c r="CT41" i="69"/>
  <c r="CT42" i="69"/>
  <c r="CT43" i="69"/>
  <c r="CT44" i="69"/>
  <c r="CT45" i="69"/>
  <c r="CT46" i="69"/>
  <c r="CT47" i="69"/>
  <c r="CT48" i="69"/>
  <c r="CT49" i="69"/>
  <c r="CT50" i="69"/>
  <c r="CT51" i="69"/>
  <c r="CT52" i="69"/>
  <c r="CT53" i="69"/>
  <c r="CT54" i="69"/>
  <c r="CT55" i="69"/>
  <c r="CT56" i="69"/>
  <c r="CT57" i="69"/>
  <c r="CT58" i="69"/>
  <c r="CT59" i="69"/>
  <c r="CT60" i="69"/>
  <c r="CT61" i="69"/>
  <c r="CT62" i="69"/>
  <c r="CT63" i="69"/>
  <c r="CT64" i="69"/>
  <c r="CT65" i="69"/>
  <c r="CT66" i="69"/>
  <c r="CT67" i="69"/>
  <c r="CT68" i="69"/>
  <c r="CT69" i="69"/>
  <c r="CT70" i="69"/>
  <c r="CT71" i="69"/>
  <c r="CT72" i="69"/>
  <c r="CT73" i="69"/>
  <c r="CT74" i="69"/>
  <c r="CT75" i="69"/>
  <c r="CT76" i="69"/>
  <c r="CT77" i="69"/>
  <c r="CT78" i="69"/>
  <c r="CT79" i="69"/>
  <c r="CT80" i="69"/>
  <c r="CT81" i="69"/>
  <c r="CT82" i="69"/>
  <c r="CT83" i="69"/>
  <c r="CT84" i="69"/>
  <c r="CT85" i="69"/>
  <c r="CT86" i="69"/>
  <c r="CT87" i="69"/>
  <c r="CT4" i="69"/>
  <c r="AT98" i="3" l="1"/>
  <c r="BH52" i="3"/>
  <c r="BM96" i="3"/>
  <c r="BM94" i="3"/>
  <c r="AR98" i="3"/>
  <c r="BI52" i="3"/>
  <c r="AR100" i="3"/>
  <c r="D98" i="3"/>
  <c r="AS99" i="3"/>
  <c r="AP100" i="3"/>
  <c r="AO100" i="3"/>
  <c r="AP98" i="3"/>
  <c r="BN52" i="3"/>
  <c r="AR99" i="3"/>
  <c r="AT100" i="3"/>
  <c r="AO98" i="3"/>
  <c r="AQ99" i="3"/>
  <c r="AS100" i="3"/>
  <c r="AQ100" i="3"/>
  <c r="AS98" i="3"/>
  <c r="AP99" i="3"/>
  <c r="AO99" i="3"/>
  <c r="AQ98" i="3"/>
  <c r="AT99" i="3"/>
  <c r="BH81" i="3"/>
  <c r="BH86" i="3"/>
  <c r="BH83" i="3"/>
  <c r="BH82" i="3"/>
  <c r="BI81" i="3"/>
  <c r="BH85" i="3"/>
  <c r="BH84" i="3"/>
  <c r="BJ52" i="3" l="1"/>
  <c r="BL52" i="3" s="1"/>
  <c r="BJ81" i="3"/>
  <c r="E9" i="3"/>
  <c r="F9" i="3"/>
  <c r="G9" i="3"/>
  <c r="H9" i="3"/>
  <c r="I9" i="3"/>
  <c r="J9" i="3"/>
  <c r="K9" i="3"/>
  <c r="L9" i="3"/>
  <c r="M9" i="3"/>
  <c r="N9" i="3"/>
  <c r="O9" i="3"/>
  <c r="P9" i="3"/>
  <c r="Q9" i="3"/>
  <c r="R9" i="3"/>
  <c r="S9" i="3"/>
  <c r="T9" i="3"/>
  <c r="U9" i="3"/>
  <c r="V9" i="3"/>
  <c r="W9" i="3"/>
  <c r="X9" i="3"/>
  <c r="Y9" i="3"/>
  <c r="Z9" i="3"/>
  <c r="AA9" i="3"/>
  <c r="AB9" i="3"/>
  <c r="AC9" i="3"/>
  <c r="AD9" i="3"/>
  <c r="AE9" i="3"/>
  <c r="AF9" i="3"/>
  <c r="AG9" i="3"/>
  <c r="AH9" i="3"/>
  <c r="AI9" i="3"/>
  <c r="AJ9" i="3"/>
  <c r="AK9" i="3"/>
  <c r="AL9" i="3"/>
  <c r="AM9" i="3"/>
  <c r="AN9" i="3"/>
  <c r="AO9" i="3"/>
  <c r="AP9" i="3"/>
  <c r="AQ9" i="3"/>
  <c r="AR9" i="3"/>
  <c r="AS9" i="3"/>
  <c r="AT9" i="3"/>
  <c r="AU9" i="3"/>
  <c r="AV9" i="3"/>
  <c r="AW9" i="3"/>
  <c r="AX9" i="3"/>
  <c r="AY9" i="3"/>
  <c r="AZ9" i="3"/>
  <c r="BA9" i="3"/>
  <c r="BB9" i="3"/>
  <c r="BC9" i="3"/>
  <c r="BD9" i="3"/>
  <c r="BE9" i="3"/>
  <c r="BF9" i="3"/>
  <c r="BG9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V10" i="3"/>
  <c r="W10" i="3"/>
  <c r="X10" i="3"/>
  <c r="Y10" i="3"/>
  <c r="Z10" i="3"/>
  <c r="AA10" i="3"/>
  <c r="AB10" i="3"/>
  <c r="AC10" i="3"/>
  <c r="AD10" i="3"/>
  <c r="AE10" i="3"/>
  <c r="AF10" i="3"/>
  <c r="AG10" i="3"/>
  <c r="AH10" i="3"/>
  <c r="AI10" i="3"/>
  <c r="AJ10" i="3"/>
  <c r="AK10" i="3"/>
  <c r="AL10" i="3"/>
  <c r="AM10" i="3"/>
  <c r="AN10" i="3"/>
  <c r="AO10" i="3"/>
  <c r="AP10" i="3"/>
  <c r="AQ10" i="3"/>
  <c r="AR10" i="3"/>
  <c r="AS10" i="3"/>
  <c r="AT10" i="3"/>
  <c r="AU10" i="3"/>
  <c r="AV10" i="3"/>
  <c r="AW10" i="3"/>
  <c r="AX10" i="3"/>
  <c r="AY10" i="3"/>
  <c r="AZ10" i="3"/>
  <c r="BA10" i="3"/>
  <c r="BB10" i="3"/>
  <c r="BC10" i="3"/>
  <c r="BD10" i="3"/>
  <c r="BE10" i="3"/>
  <c r="BF10" i="3"/>
  <c r="BG10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AD11" i="3"/>
  <c r="AE11" i="3"/>
  <c r="AF11" i="3"/>
  <c r="AG11" i="3"/>
  <c r="AH11" i="3"/>
  <c r="AI11" i="3"/>
  <c r="AJ11" i="3"/>
  <c r="AK11" i="3"/>
  <c r="AL11" i="3"/>
  <c r="AM11" i="3"/>
  <c r="AN11" i="3"/>
  <c r="AO11" i="3"/>
  <c r="AP11" i="3"/>
  <c r="AQ11" i="3"/>
  <c r="AR11" i="3"/>
  <c r="AS11" i="3"/>
  <c r="AT11" i="3"/>
  <c r="AU11" i="3"/>
  <c r="AV11" i="3"/>
  <c r="AW11" i="3"/>
  <c r="AX11" i="3"/>
  <c r="AY11" i="3"/>
  <c r="AZ11" i="3"/>
  <c r="BA11" i="3"/>
  <c r="BB11" i="3"/>
  <c r="BC11" i="3"/>
  <c r="BD11" i="3"/>
  <c r="BE11" i="3"/>
  <c r="BF11" i="3"/>
  <c r="BG11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F12" i="3"/>
  <c r="AG12" i="3"/>
  <c r="AH12" i="3"/>
  <c r="AI12" i="3"/>
  <c r="AJ12" i="3"/>
  <c r="AK12" i="3"/>
  <c r="AL12" i="3"/>
  <c r="AM12" i="3"/>
  <c r="AN12" i="3"/>
  <c r="AO12" i="3"/>
  <c r="AP12" i="3"/>
  <c r="AQ12" i="3"/>
  <c r="AR12" i="3"/>
  <c r="AS12" i="3"/>
  <c r="AT12" i="3"/>
  <c r="AU12" i="3"/>
  <c r="AV12" i="3"/>
  <c r="AW12" i="3"/>
  <c r="AX12" i="3"/>
  <c r="AY12" i="3"/>
  <c r="AZ12" i="3"/>
  <c r="BA12" i="3"/>
  <c r="BB12" i="3"/>
  <c r="BC12" i="3"/>
  <c r="BD12" i="3"/>
  <c r="BE12" i="3"/>
  <c r="BF12" i="3"/>
  <c r="BG12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AF13" i="3"/>
  <c r="AG13" i="3"/>
  <c r="AH13" i="3"/>
  <c r="AI13" i="3"/>
  <c r="AJ13" i="3"/>
  <c r="AK13" i="3"/>
  <c r="AL13" i="3"/>
  <c r="AM13" i="3"/>
  <c r="AN13" i="3"/>
  <c r="AO13" i="3"/>
  <c r="AP13" i="3"/>
  <c r="AQ13" i="3"/>
  <c r="AR13" i="3"/>
  <c r="AS13" i="3"/>
  <c r="AT13" i="3"/>
  <c r="AU13" i="3"/>
  <c r="AV13" i="3"/>
  <c r="AW13" i="3"/>
  <c r="AX13" i="3"/>
  <c r="AY13" i="3"/>
  <c r="AZ13" i="3"/>
  <c r="BA13" i="3"/>
  <c r="BB13" i="3"/>
  <c r="BC13" i="3"/>
  <c r="BD13" i="3"/>
  <c r="BE13" i="3"/>
  <c r="BF13" i="3"/>
  <c r="BG13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AB14" i="3"/>
  <c r="AC14" i="3"/>
  <c r="AD14" i="3"/>
  <c r="AE14" i="3"/>
  <c r="AF14" i="3"/>
  <c r="AG14" i="3"/>
  <c r="AH14" i="3"/>
  <c r="AI14" i="3"/>
  <c r="AJ14" i="3"/>
  <c r="AK14" i="3"/>
  <c r="AL14" i="3"/>
  <c r="AM14" i="3"/>
  <c r="AN14" i="3"/>
  <c r="AO14" i="3"/>
  <c r="AP14" i="3"/>
  <c r="AQ14" i="3"/>
  <c r="AR14" i="3"/>
  <c r="AS14" i="3"/>
  <c r="AT14" i="3"/>
  <c r="AU14" i="3"/>
  <c r="AV14" i="3"/>
  <c r="AW14" i="3"/>
  <c r="AX14" i="3"/>
  <c r="AY14" i="3"/>
  <c r="AZ14" i="3"/>
  <c r="BA14" i="3"/>
  <c r="BB14" i="3"/>
  <c r="BC14" i="3"/>
  <c r="BD14" i="3"/>
  <c r="BE14" i="3"/>
  <c r="BF14" i="3"/>
  <c r="BG14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AO15" i="3"/>
  <c r="AP15" i="3"/>
  <c r="AQ15" i="3"/>
  <c r="AR15" i="3"/>
  <c r="AS15" i="3"/>
  <c r="AT15" i="3"/>
  <c r="AU15" i="3"/>
  <c r="AV15" i="3"/>
  <c r="AW15" i="3"/>
  <c r="AX15" i="3"/>
  <c r="AY15" i="3"/>
  <c r="AZ15" i="3"/>
  <c r="BA15" i="3"/>
  <c r="BB15" i="3"/>
  <c r="BC15" i="3"/>
  <c r="BD15" i="3"/>
  <c r="BE15" i="3"/>
  <c r="BF15" i="3"/>
  <c r="BG15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AO16" i="3"/>
  <c r="AP16" i="3"/>
  <c r="AQ16" i="3"/>
  <c r="AR16" i="3"/>
  <c r="AS16" i="3"/>
  <c r="AT16" i="3"/>
  <c r="AU16" i="3"/>
  <c r="AV16" i="3"/>
  <c r="AW16" i="3"/>
  <c r="AX16" i="3"/>
  <c r="AY16" i="3"/>
  <c r="AZ16" i="3"/>
  <c r="BA16" i="3"/>
  <c r="BB16" i="3"/>
  <c r="BC16" i="3"/>
  <c r="BD16" i="3"/>
  <c r="BE16" i="3"/>
  <c r="BF16" i="3"/>
  <c r="BG16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AO17" i="3"/>
  <c r="AP17" i="3"/>
  <c r="AQ17" i="3"/>
  <c r="AR17" i="3"/>
  <c r="AS17" i="3"/>
  <c r="AT17" i="3"/>
  <c r="AU17" i="3"/>
  <c r="AV17" i="3"/>
  <c r="AW17" i="3"/>
  <c r="AX17" i="3"/>
  <c r="AY17" i="3"/>
  <c r="AZ17" i="3"/>
  <c r="BA17" i="3"/>
  <c r="BB17" i="3"/>
  <c r="BC17" i="3"/>
  <c r="BD17" i="3"/>
  <c r="BE17" i="3"/>
  <c r="BF17" i="3"/>
  <c r="BG17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AO18" i="3"/>
  <c r="AP18" i="3"/>
  <c r="AQ18" i="3"/>
  <c r="AR18" i="3"/>
  <c r="AS18" i="3"/>
  <c r="AT18" i="3"/>
  <c r="AU18" i="3"/>
  <c r="AV18" i="3"/>
  <c r="AW18" i="3"/>
  <c r="AX18" i="3"/>
  <c r="AY18" i="3"/>
  <c r="AZ18" i="3"/>
  <c r="BA18" i="3"/>
  <c r="BB18" i="3"/>
  <c r="BC18" i="3"/>
  <c r="BD18" i="3"/>
  <c r="BE18" i="3"/>
  <c r="BF18" i="3"/>
  <c r="BG18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AO19" i="3"/>
  <c r="AP19" i="3"/>
  <c r="AQ19" i="3"/>
  <c r="AR19" i="3"/>
  <c r="AS19" i="3"/>
  <c r="AT19" i="3"/>
  <c r="AU19" i="3"/>
  <c r="AV19" i="3"/>
  <c r="AW19" i="3"/>
  <c r="AX19" i="3"/>
  <c r="AY19" i="3"/>
  <c r="AZ19" i="3"/>
  <c r="BA19" i="3"/>
  <c r="BB19" i="3"/>
  <c r="BC19" i="3"/>
  <c r="BD19" i="3"/>
  <c r="BE19" i="3"/>
  <c r="BF19" i="3"/>
  <c r="BG19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AO20" i="3"/>
  <c r="AP20" i="3"/>
  <c r="AQ20" i="3"/>
  <c r="AR20" i="3"/>
  <c r="AS20" i="3"/>
  <c r="AT20" i="3"/>
  <c r="AU20" i="3"/>
  <c r="AV20" i="3"/>
  <c r="AW20" i="3"/>
  <c r="AX20" i="3"/>
  <c r="AY20" i="3"/>
  <c r="AZ20" i="3"/>
  <c r="BA20" i="3"/>
  <c r="BB20" i="3"/>
  <c r="BC20" i="3"/>
  <c r="BD20" i="3"/>
  <c r="BE20" i="3"/>
  <c r="BF20" i="3"/>
  <c r="BG20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AO21" i="3"/>
  <c r="AP21" i="3"/>
  <c r="AQ21" i="3"/>
  <c r="AR21" i="3"/>
  <c r="AS21" i="3"/>
  <c r="AT21" i="3"/>
  <c r="AU21" i="3"/>
  <c r="AV21" i="3"/>
  <c r="AW21" i="3"/>
  <c r="AX21" i="3"/>
  <c r="AY21" i="3"/>
  <c r="AZ21" i="3"/>
  <c r="BA21" i="3"/>
  <c r="BB21" i="3"/>
  <c r="BC21" i="3"/>
  <c r="BD21" i="3"/>
  <c r="BE21" i="3"/>
  <c r="BF21" i="3"/>
  <c r="BG21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N22" i="3"/>
  <c r="AO22" i="3"/>
  <c r="AP22" i="3"/>
  <c r="AQ22" i="3"/>
  <c r="AR22" i="3"/>
  <c r="AS22" i="3"/>
  <c r="AT22" i="3"/>
  <c r="AU22" i="3"/>
  <c r="AV22" i="3"/>
  <c r="AW22" i="3"/>
  <c r="AX22" i="3"/>
  <c r="AY22" i="3"/>
  <c r="AZ22" i="3"/>
  <c r="BA22" i="3"/>
  <c r="BB22" i="3"/>
  <c r="BC22" i="3"/>
  <c r="BD22" i="3"/>
  <c r="BE22" i="3"/>
  <c r="BF22" i="3"/>
  <c r="BG22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F23" i="3"/>
  <c r="AG23" i="3"/>
  <c r="AH23" i="3"/>
  <c r="AI23" i="3"/>
  <c r="AJ23" i="3"/>
  <c r="AK23" i="3"/>
  <c r="AL23" i="3"/>
  <c r="AM23" i="3"/>
  <c r="AN23" i="3"/>
  <c r="AO23" i="3"/>
  <c r="AP23" i="3"/>
  <c r="AQ23" i="3"/>
  <c r="AR23" i="3"/>
  <c r="AS23" i="3"/>
  <c r="AT23" i="3"/>
  <c r="AU23" i="3"/>
  <c r="AV23" i="3"/>
  <c r="AW23" i="3"/>
  <c r="AX23" i="3"/>
  <c r="AY23" i="3"/>
  <c r="AZ23" i="3"/>
  <c r="BA23" i="3"/>
  <c r="BB23" i="3"/>
  <c r="BC23" i="3"/>
  <c r="BD23" i="3"/>
  <c r="BE23" i="3"/>
  <c r="BF23" i="3"/>
  <c r="BG23" i="3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F24" i="3"/>
  <c r="AG24" i="3"/>
  <c r="AH24" i="3"/>
  <c r="AI24" i="3"/>
  <c r="AJ24" i="3"/>
  <c r="AK24" i="3"/>
  <c r="AL24" i="3"/>
  <c r="AM24" i="3"/>
  <c r="AN24" i="3"/>
  <c r="AO24" i="3"/>
  <c r="AP24" i="3"/>
  <c r="AQ24" i="3"/>
  <c r="AR24" i="3"/>
  <c r="AS24" i="3"/>
  <c r="AT24" i="3"/>
  <c r="AU24" i="3"/>
  <c r="AV24" i="3"/>
  <c r="AW24" i="3"/>
  <c r="AX24" i="3"/>
  <c r="AY24" i="3"/>
  <c r="AZ24" i="3"/>
  <c r="BA24" i="3"/>
  <c r="BB24" i="3"/>
  <c r="BC24" i="3"/>
  <c r="BD24" i="3"/>
  <c r="BE24" i="3"/>
  <c r="BF24" i="3"/>
  <c r="BG24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Y25" i="3"/>
  <c r="Z25" i="3"/>
  <c r="AA25" i="3"/>
  <c r="AB25" i="3"/>
  <c r="AC25" i="3"/>
  <c r="AD25" i="3"/>
  <c r="AE25" i="3"/>
  <c r="AF25" i="3"/>
  <c r="AG25" i="3"/>
  <c r="AH25" i="3"/>
  <c r="AI25" i="3"/>
  <c r="AJ25" i="3"/>
  <c r="AK25" i="3"/>
  <c r="AL25" i="3"/>
  <c r="AM25" i="3"/>
  <c r="AN25" i="3"/>
  <c r="AO25" i="3"/>
  <c r="AP25" i="3"/>
  <c r="AQ25" i="3"/>
  <c r="AR25" i="3"/>
  <c r="AS25" i="3"/>
  <c r="AT25" i="3"/>
  <c r="AU25" i="3"/>
  <c r="AV25" i="3"/>
  <c r="AW25" i="3"/>
  <c r="AX25" i="3"/>
  <c r="AY25" i="3"/>
  <c r="AZ25" i="3"/>
  <c r="BA25" i="3"/>
  <c r="BB25" i="3"/>
  <c r="BC25" i="3"/>
  <c r="BD25" i="3"/>
  <c r="BE25" i="3"/>
  <c r="BF25" i="3"/>
  <c r="BG25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V26" i="3"/>
  <c r="W26" i="3"/>
  <c r="X26" i="3"/>
  <c r="Y26" i="3"/>
  <c r="Z26" i="3"/>
  <c r="AA26" i="3"/>
  <c r="AB26" i="3"/>
  <c r="AC26" i="3"/>
  <c r="AD26" i="3"/>
  <c r="AE26" i="3"/>
  <c r="AF26" i="3"/>
  <c r="AG26" i="3"/>
  <c r="AH26" i="3"/>
  <c r="AI26" i="3"/>
  <c r="AJ26" i="3"/>
  <c r="AK26" i="3"/>
  <c r="AL26" i="3"/>
  <c r="AM26" i="3"/>
  <c r="AN26" i="3"/>
  <c r="AO26" i="3"/>
  <c r="AP26" i="3"/>
  <c r="AQ26" i="3"/>
  <c r="AR26" i="3"/>
  <c r="AS26" i="3"/>
  <c r="AT26" i="3"/>
  <c r="AU26" i="3"/>
  <c r="AV26" i="3"/>
  <c r="AW26" i="3"/>
  <c r="AX26" i="3"/>
  <c r="AY26" i="3"/>
  <c r="AZ26" i="3"/>
  <c r="BA26" i="3"/>
  <c r="BB26" i="3"/>
  <c r="BC26" i="3"/>
  <c r="BD26" i="3"/>
  <c r="BE26" i="3"/>
  <c r="BF26" i="3"/>
  <c r="BG26" i="3"/>
  <c r="E27" i="3"/>
  <c r="F27" i="3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T27" i="3"/>
  <c r="U27" i="3"/>
  <c r="V27" i="3"/>
  <c r="W27" i="3"/>
  <c r="X27" i="3"/>
  <c r="Y27" i="3"/>
  <c r="Z27" i="3"/>
  <c r="AA27" i="3"/>
  <c r="AB27" i="3"/>
  <c r="AC27" i="3"/>
  <c r="AD27" i="3"/>
  <c r="AE27" i="3"/>
  <c r="AF27" i="3"/>
  <c r="AG27" i="3"/>
  <c r="AH27" i="3"/>
  <c r="AI27" i="3"/>
  <c r="AJ27" i="3"/>
  <c r="AK27" i="3"/>
  <c r="AL27" i="3"/>
  <c r="AM27" i="3"/>
  <c r="AN27" i="3"/>
  <c r="AO27" i="3"/>
  <c r="AP27" i="3"/>
  <c r="AQ27" i="3"/>
  <c r="AR27" i="3"/>
  <c r="AS27" i="3"/>
  <c r="AT27" i="3"/>
  <c r="AU27" i="3"/>
  <c r="AV27" i="3"/>
  <c r="AW27" i="3"/>
  <c r="AX27" i="3"/>
  <c r="AY27" i="3"/>
  <c r="AZ27" i="3"/>
  <c r="BA27" i="3"/>
  <c r="BB27" i="3"/>
  <c r="BC27" i="3"/>
  <c r="BD27" i="3"/>
  <c r="BE27" i="3"/>
  <c r="BF27" i="3"/>
  <c r="BG27" i="3"/>
  <c r="E28" i="3"/>
  <c r="F28" i="3"/>
  <c r="G28" i="3"/>
  <c r="H28" i="3"/>
  <c r="I28" i="3"/>
  <c r="J28" i="3"/>
  <c r="K28" i="3"/>
  <c r="L28" i="3"/>
  <c r="M28" i="3"/>
  <c r="N28" i="3"/>
  <c r="O28" i="3"/>
  <c r="P28" i="3"/>
  <c r="Q28" i="3"/>
  <c r="R28" i="3"/>
  <c r="S28" i="3"/>
  <c r="T28" i="3"/>
  <c r="U28" i="3"/>
  <c r="V28" i="3"/>
  <c r="W28" i="3"/>
  <c r="X28" i="3"/>
  <c r="Y28" i="3"/>
  <c r="Z28" i="3"/>
  <c r="AA28" i="3"/>
  <c r="AB28" i="3"/>
  <c r="AC28" i="3"/>
  <c r="AD28" i="3"/>
  <c r="AE28" i="3"/>
  <c r="AF28" i="3"/>
  <c r="AG28" i="3"/>
  <c r="AH28" i="3"/>
  <c r="AI28" i="3"/>
  <c r="AJ28" i="3"/>
  <c r="AK28" i="3"/>
  <c r="AL28" i="3"/>
  <c r="AM28" i="3"/>
  <c r="AN28" i="3"/>
  <c r="AO28" i="3"/>
  <c r="AP28" i="3"/>
  <c r="AQ28" i="3"/>
  <c r="AR28" i="3"/>
  <c r="AS28" i="3"/>
  <c r="AT28" i="3"/>
  <c r="AU28" i="3"/>
  <c r="AV28" i="3"/>
  <c r="AW28" i="3"/>
  <c r="AX28" i="3"/>
  <c r="AY28" i="3"/>
  <c r="AZ28" i="3"/>
  <c r="BA28" i="3"/>
  <c r="BB28" i="3"/>
  <c r="BC28" i="3"/>
  <c r="BD28" i="3"/>
  <c r="BE28" i="3"/>
  <c r="BF28" i="3"/>
  <c r="BG28" i="3"/>
  <c r="E29" i="3"/>
  <c r="F29" i="3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Y29" i="3"/>
  <c r="Z29" i="3"/>
  <c r="AA29" i="3"/>
  <c r="AB29" i="3"/>
  <c r="AC29" i="3"/>
  <c r="AD29" i="3"/>
  <c r="AE29" i="3"/>
  <c r="AF29" i="3"/>
  <c r="AG29" i="3"/>
  <c r="AH29" i="3"/>
  <c r="AI29" i="3"/>
  <c r="AJ29" i="3"/>
  <c r="AK29" i="3"/>
  <c r="AL29" i="3"/>
  <c r="AM29" i="3"/>
  <c r="AN29" i="3"/>
  <c r="AO29" i="3"/>
  <c r="AP29" i="3"/>
  <c r="AQ29" i="3"/>
  <c r="AR29" i="3"/>
  <c r="AS29" i="3"/>
  <c r="AT29" i="3"/>
  <c r="AU29" i="3"/>
  <c r="AV29" i="3"/>
  <c r="AW29" i="3"/>
  <c r="AX29" i="3"/>
  <c r="AY29" i="3"/>
  <c r="AZ29" i="3"/>
  <c r="BA29" i="3"/>
  <c r="BB29" i="3"/>
  <c r="BC29" i="3"/>
  <c r="BD29" i="3"/>
  <c r="BE29" i="3"/>
  <c r="BF29" i="3"/>
  <c r="BG29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AD30" i="3"/>
  <c r="AE30" i="3"/>
  <c r="AF30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AS30" i="3"/>
  <c r="AT30" i="3"/>
  <c r="AU30" i="3"/>
  <c r="AV30" i="3"/>
  <c r="AW30" i="3"/>
  <c r="AX30" i="3"/>
  <c r="AY30" i="3"/>
  <c r="AZ30" i="3"/>
  <c r="BA30" i="3"/>
  <c r="BB30" i="3"/>
  <c r="BC30" i="3"/>
  <c r="BD30" i="3"/>
  <c r="BE30" i="3"/>
  <c r="BF30" i="3"/>
  <c r="BG30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AV31" i="3"/>
  <c r="AW31" i="3"/>
  <c r="AX31" i="3"/>
  <c r="AY31" i="3"/>
  <c r="AZ31" i="3"/>
  <c r="BA31" i="3"/>
  <c r="BB31" i="3"/>
  <c r="BC31" i="3"/>
  <c r="BD31" i="3"/>
  <c r="BE31" i="3"/>
  <c r="BF31" i="3"/>
  <c r="BG31" i="3"/>
  <c r="E32" i="3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AG32" i="3"/>
  <c r="AH32" i="3"/>
  <c r="AI32" i="3"/>
  <c r="AJ32" i="3"/>
  <c r="AK32" i="3"/>
  <c r="AL32" i="3"/>
  <c r="AM32" i="3"/>
  <c r="AN32" i="3"/>
  <c r="AO32" i="3"/>
  <c r="AP32" i="3"/>
  <c r="AQ32" i="3"/>
  <c r="AR32" i="3"/>
  <c r="AS32" i="3"/>
  <c r="AT32" i="3"/>
  <c r="AU32" i="3"/>
  <c r="AV32" i="3"/>
  <c r="AW32" i="3"/>
  <c r="AX32" i="3"/>
  <c r="AY32" i="3"/>
  <c r="AZ32" i="3"/>
  <c r="BA32" i="3"/>
  <c r="BB32" i="3"/>
  <c r="BC32" i="3"/>
  <c r="BD32" i="3"/>
  <c r="BE32" i="3"/>
  <c r="BF32" i="3"/>
  <c r="BG32" i="3"/>
  <c r="E33" i="3"/>
  <c r="F33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X33" i="3"/>
  <c r="Y33" i="3"/>
  <c r="Z33" i="3"/>
  <c r="AA33" i="3"/>
  <c r="AB33" i="3"/>
  <c r="AC33" i="3"/>
  <c r="AD33" i="3"/>
  <c r="AE33" i="3"/>
  <c r="AF33" i="3"/>
  <c r="AG33" i="3"/>
  <c r="AH33" i="3"/>
  <c r="AI33" i="3"/>
  <c r="AJ33" i="3"/>
  <c r="AK33" i="3"/>
  <c r="AL33" i="3"/>
  <c r="AM33" i="3"/>
  <c r="AN33" i="3"/>
  <c r="AO33" i="3"/>
  <c r="AP33" i="3"/>
  <c r="AQ33" i="3"/>
  <c r="AR33" i="3"/>
  <c r="AS33" i="3"/>
  <c r="AT33" i="3"/>
  <c r="AU33" i="3"/>
  <c r="AV33" i="3"/>
  <c r="AW33" i="3"/>
  <c r="AX33" i="3"/>
  <c r="AY33" i="3"/>
  <c r="AZ33" i="3"/>
  <c r="BA33" i="3"/>
  <c r="BB33" i="3"/>
  <c r="BC33" i="3"/>
  <c r="BD33" i="3"/>
  <c r="BE33" i="3"/>
  <c r="BF33" i="3"/>
  <c r="BG33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AV34" i="3"/>
  <c r="AW34" i="3"/>
  <c r="AX34" i="3"/>
  <c r="AY34" i="3"/>
  <c r="AZ34" i="3"/>
  <c r="BA34" i="3"/>
  <c r="BB34" i="3"/>
  <c r="BC34" i="3"/>
  <c r="BD34" i="3"/>
  <c r="BE34" i="3"/>
  <c r="BF34" i="3"/>
  <c r="BG34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B35" i="3"/>
  <c r="AC35" i="3"/>
  <c r="AD35" i="3"/>
  <c r="AE35" i="3"/>
  <c r="AF35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AS35" i="3"/>
  <c r="AT35" i="3"/>
  <c r="AU35" i="3"/>
  <c r="AV35" i="3"/>
  <c r="AW35" i="3"/>
  <c r="AX35" i="3"/>
  <c r="AY35" i="3"/>
  <c r="AZ35" i="3"/>
  <c r="BA35" i="3"/>
  <c r="BB35" i="3"/>
  <c r="BC35" i="3"/>
  <c r="BD35" i="3"/>
  <c r="BE35" i="3"/>
  <c r="BF35" i="3"/>
  <c r="BG35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Z36" i="3"/>
  <c r="AA36" i="3"/>
  <c r="AB36" i="3"/>
  <c r="AC36" i="3"/>
  <c r="AD36" i="3"/>
  <c r="AE36" i="3"/>
  <c r="AF36" i="3"/>
  <c r="AG36" i="3"/>
  <c r="AH36" i="3"/>
  <c r="AI36" i="3"/>
  <c r="AJ36" i="3"/>
  <c r="AK36" i="3"/>
  <c r="AL36" i="3"/>
  <c r="AM36" i="3"/>
  <c r="AN36" i="3"/>
  <c r="AO36" i="3"/>
  <c r="AP36" i="3"/>
  <c r="AQ36" i="3"/>
  <c r="AR36" i="3"/>
  <c r="AS36" i="3"/>
  <c r="AT36" i="3"/>
  <c r="AU36" i="3"/>
  <c r="AV36" i="3"/>
  <c r="AW36" i="3"/>
  <c r="AX36" i="3"/>
  <c r="AY36" i="3"/>
  <c r="AZ36" i="3"/>
  <c r="BA36" i="3"/>
  <c r="BB36" i="3"/>
  <c r="BC36" i="3"/>
  <c r="BD36" i="3"/>
  <c r="BE36" i="3"/>
  <c r="BF36" i="3"/>
  <c r="BG36" i="3"/>
  <c r="E37" i="3"/>
  <c r="F37" i="3"/>
  <c r="G37" i="3"/>
  <c r="H37" i="3"/>
  <c r="I37" i="3"/>
  <c r="J37" i="3"/>
  <c r="K37" i="3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Y37" i="3"/>
  <c r="Z37" i="3"/>
  <c r="AA37" i="3"/>
  <c r="AB37" i="3"/>
  <c r="AC37" i="3"/>
  <c r="AD37" i="3"/>
  <c r="AE37" i="3"/>
  <c r="AF37" i="3"/>
  <c r="AG37" i="3"/>
  <c r="AH37" i="3"/>
  <c r="AI37" i="3"/>
  <c r="AJ37" i="3"/>
  <c r="AK37" i="3"/>
  <c r="AL37" i="3"/>
  <c r="AM37" i="3"/>
  <c r="AN37" i="3"/>
  <c r="AO37" i="3"/>
  <c r="AP37" i="3"/>
  <c r="AQ37" i="3"/>
  <c r="AR37" i="3"/>
  <c r="AS37" i="3"/>
  <c r="AT37" i="3"/>
  <c r="AU37" i="3"/>
  <c r="AV37" i="3"/>
  <c r="AW37" i="3"/>
  <c r="AX37" i="3"/>
  <c r="AY37" i="3"/>
  <c r="AZ37" i="3"/>
  <c r="BA37" i="3"/>
  <c r="BB37" i="3"/>
  <c r="BC37" i="3"/>
  <c r="BD37" i="3"/>
  <c r="BE37" i="3"/>
  <c r="BF37" i="3"/>
  <c r="BG37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Z38" i="3"/>
  <c r="AA38" i="3"/>
  <c r="AB38" i="3"/>
  <c r="AC38" i="3"/>
  <c r="AD38" i="3"/>
  <c r="AE38" i="3"/>
  <c r="AF38" i="3"/>
  <c r="AG38" i="3"/>
  <c r="AH38" i="3"/>
  <c r="AI38" i="3"/>
  <c r="AJ38" i="3"/>
  <c r="AK38" i="3"/>
  <c r="AL38" i="3"/>
  <c r="AM38" i="3"/>
  <c r="AN38" i="3"/>
  <c r="AO38" i="3"/>
  <c r="AP38" i="3"/>
  <c r="AQ38" i="3"/>
  <c r="AR38" i="3"/>
  <c r="AS38" i="3"/>
  <c r="AT38" i="3"/>
  <c r="AU38" i="3"/>
  <c r="AV38" i="3"/>
  <c r="AW38" i="3"/>
  <c r="AX38" i="3"/>
  <c r="AY38" i="3"/>
  <c r="AZ38" i="3"/>
  <c r="BA38" i="3"/>
  <c r="BB38" i="3"/>
  <c r="BC38" i="3"/>
  <c r="BD38" i="3"/>
  <c r="BE38" i="3"/>
  <c r="BF38" i="3"/>
  <c r="BG38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E41" i="3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Y41" i="3"/>
  <c r="Z41" i="3"/>
  <c r="AA41" i="3"/>
  <c r="AB41" i="3"/>
  <c r="AC41" i="3"/>
  <c r="AD41" i="3"/>
  <c r="AE41" i="3"/>
  <c r="AF41" i="3"/>
  <c r="AG41" i="3"/>
  <c r="AH41" i="3"/>
  <c r="AI41" i="3"/>
  <c r="AJ41" i="3"/>
  <c r="AK41" i="3"/>
  <c r="AL41" i="3"/>
  <c r="AM41" i="3"/>
  <c r="AN41" i="3"/>
  <c r="AO41" i="3"/>
  <c r="AP41" i="3"/>
  <c r="AQ41" i="3"/>
  <c r="AR41" i="3"/>
  <c r="AS41" i="3"/>
  <c r="AT41" i="3"/>
  <c r="AU41" i="3"/>
  <c r="AV41" i="3"/>
  <c r="AW41" i="3"/>
  <c r="AX41" i="3"/>
  <c r="AY41" i="3"/>
  <c r="AZ41" i="3"/>
  <c r="BA41" i="3"/>
  <c r="BB41" i="3"/>
  <c r="BC41" i="3"/>
  <c r="BD41" i="3"/>
  <c r="BE41" i="3"/>
  <c r="BF41" i="3"/>
  <c r="BG41" i="3"/>
  <c r="E42" i="3"/>
  <c r="F42" i="3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Y42" i="3"/>
  <c r="Z42" i="3"/>
  <c r="AA42" i="3"/>
  <c r="AB42" i="3"/>
  <c r="AC42" i="3"/>
  <c r="AD42" i="3"/>
  <c r="AE42" i="3"/>
  <c r="AF42" i="3"/>
  <c r="AG42" i="3"/>
  <c r="AH42" i="3"/>
  <c r="AI42" i="3"/>
  <c r="AJ42" i="3"/>
  <c r="AK42" i="3"/>
  <c r="AL42" i="3"/>
  <c r="AM42" i="3"/>
  <c r="AN42" i="3"/>
  <c r="AO42" i="3"/>
  <c r="AP42" i="3"/>
  <c r="AQ42" i="3"/>
  <c r="AR42" i="3"/>
  <c r="AS42" i="3"/>
  <c r="AT42" i="3"/>
  <c r="AU42" i="3"/>
  <c r="AV42" i="3"/>
  <c r="AW42" i="3"/>
  <c r="AX42" i="3"/>
  <c r="AY42" i="3"/>
  <c r="AZ42" i="3"/>
  <c r="BA42" i="3"/>
  <c r="BB42" i="3"/>
  <c r="BC42" i="3"/>
  <c r="BD42" i="3"/>
  <c r="BE42" i="3"/>
  <c r="BF42" i="3"/>
  <c r="BG42" i="3"/>
  <c r="E43" i="3"/>
  <c r="F43" i="3"/>
  <c r="G43" i="3"/>
  <c r="H43" i="3"/>
  <c r="I43" i="3"/>
  <c r="J43" i="3"/>
  <c r="K43" i="3"/>
  <c r="L43" i="3"/>
  <c r="M43" i="3"/>
  <c r="N43" i="3"/>
  <c r="O43" i="3"/>
  <c r="P43" i="3"/>
  <c r="Q43" i="3"/>
  <c r="R43" i="3"/>
  <c r="S43" i="3"/>
  <c r="T43" i="3"/>
  <c r="U43" i="3"/>
  <c r="V43" i="3"/>
  <c r="W43" i="3"/>
  <c r="X43" i="3"/>
  <c r="Y43" i="3"/>
  <c r="Z43" i="3"/>
  <c r="AA43" i="3"/>
  <c r="AB43" i="3"/>
  <c r="AC43" i="3"/>
  <c r="AD43" i="3"/>
  <c r="AE43" i="3"/>
  <c r="AF43" i="3"/>
  <c r="AG43" i="3"/>
  <c r="AH43" i="3"/>
  <c r="AI43" i="3"/>
  <c r="AJ43" i="3"/>
  <c r="AK43" i="3"/>
  <c r="AL43" i="3"/>
  <c r="AM43" i="3"/>
  <c r="AN43" i="3"/>
  <c r="AO43" i="3"/>
  <c r="AP43" i="3"/>
  <c r="AQ43" i="3"/>
  <c r="AR43" i="3"/>
  <c r="AS43" i="3"/>
  <c r="AT43" i="3"/>
  <c r="AU43" i="3"/>
  <c r="AV43" i="3"/>
  <c r="AW43" i="3"/>
  <c r="AX43" i="3"/>
  <c r="AY43" i="3"/>
  <c r="AZ43" i="3"/>
  <c r="BA43" i="3"/>
  <c r="BB43" i="3"/>
  <c r="BC43" i="3"/>
  <c r="BD43" i="3"/>
  <c r="BE43" i="3"/>
  <c r="BF43" i="3"/>
  <c r="BG43" i="3"/>
  <c r="E44" i="3"/>
  <c r="F44" i="3"/>
  <c r="G44" i="3"/>
  <c r="H44" i="3"/>
  <c r="I44" i="3"/>
  <c r="J44" i="3"/>
  <c r="K44" i="3"/>
  <c r="L44" i="3"/>
  <c r="M44" i="3"/>
  <c r="N44" i="3"/>
  <c r="O44" i="3"/>
  <c r="P44" i="3"/>
  <c r="Q44" i="3"/>
  <c r="R44" i="3"/>
  <c r="S44" i="3"/>
  <c r="T44" i="3"/>
  <c r="U44" i="3"/>
  <c r="V44" i="3"/>
  <c r="W44" i="3"/>
  <c r="X44" i="3"/>
  <c r="Y44" i="3"/>
  <c r="Z44" i="3"/>
  <c r="AA44" i="3"/>
  <c r="AB44" i="3"/>
  <c r="AC44" i="3"/>
  <c r="AD44" i="3"/>
  <c r="AE44" i="3"/>
  <c r="AF44" i="3"/>
  <c r="AG44" i="3"/>
  <c r="AH44" i="3"/>
  <c r="AI44" i="3"/>
  <c r="AJ44" i="3"/>
  <c r="AK44" i="3"/>
  <c r="AL44" i="3"/>
  <c r="AM44" i="3"/>
  <c r="AN44" i="3"/>
  <c r="AO44" i="3"/>
  <c r="AP44" i="3"/>
  <c r="AQ44" i="3"/>
  <c r="AR44" i="3"/>
  <c r="AS44" i="3"/>
  <c r="AT44" i="3"/>
  <c r="AU44" i="3"/>
  <c r="AV44" i="3"/>
  <c r="AW44" i="3"/>
  <c r="AX44" i="3"/>
  <c r="AY44" i="3"/>
  <c r="AZ44" i="3"/>
  <c r="BA44" i="3"/>
  <c r="BB44" i="3"/>
  <c r="BC44" i="3"/>
  <c r="BD44" i="3"/>
  <c r="BE44" i="3"/>
  <c r="BF44" i="3"/>
  <c r="BG44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U45" i="3"/>
  <c r="V45" i="3"/>
  <c r="W45" i="3"/>
  <c r="X45" i="3"/>
  <c r="Y45" i="3"/>
  <c r="Z45" i="3"/>
  <c r="AA45" i="3"/>
  <c r="AB45" i="3"/>
  <c r="AC45" i="3"/>
  <c r="AD45" i="3"/>
  <c r="AE45" i="3"/>
  <c r="AF45" i="3"/>
  <c r="AG45" i="3"/>
  <c r="AH45" i="3"/>
  <c r="AI45" i="3"/>
  <c r="AJ45" i="3"/>
  <c r="AK45" i="3"/>
  <c r="AL45" i="3"/>
  <c r="AM45" i="3"/>
  <c r="AN45" i="3"/>
  <c r="AO45" i="3"/>
  <c r="AP45" i="3"/>
  <c r="AQ45" i="3"/>
  <c r="AR45" i="3"/>
  <c r="AS45" i="3"/>
  <c r="AT45" i="3"/>
  <c r="AU45" i="3"/>
  <c r="AV45" i="3"/>
  <c r="AW45" i="3"/>
  <c r="AX45" i="3"/>
  <c r="AY45" i="3"/>
  <c r="AZ45" i="3"/>
  <c r="BA45" i="3"/>
  <c r="BB45" i="3"/>
  <c r="BC45" i="3"/>
  <c r="BD45" i="3"/>
  <c r="BE45" i="3"/>
  <c r="BF45" i="3"/>
  <c r="BG45" i="3"/>
  <c r="E46" i="3"/>
  <c r="F46" i="3"/>
  <c r="G46" i="3"/>
  <c r="H46" i="3"/>
  <c r="I46" i="3"/>
  <c r="J46" i="3"/>
  <c r="K46" i="3"/>
  <c r="L46" i="3"/>
  <c r="M46" i="3"/>
  <c r="N46" i="3"/>
  <c r="O46" i="3"/>
  <c r="P46" i="3"/>
  <c r="Q46" i="3"/>
  <c r="R46" i="3"/>
  <c r="S46" i="3"/>
  <c r="T46" i="3"/>
  <c r="U46" i="3"/>
  <c r="V46" i="3"/>
  <c r="W46" i="3"/>
  <c r="X46" i="3"/>
  <c r="Y46" i="3"/>
  <c r="Z46" i="3"/>
  <c r="AA46" i="3"/>
  <c r="AB46" i="3"/>
  <c r="AC46" i="3"/>
  <c r="AD46" i="3"/>
  <c r="AE46" i="3"/>
  <c r="AF46" i="3"/>
  <c r="AG46" i="3"/>
  <c r="AH46" i="3"/>
  <c r="AI46" i="3"/>
  <c r="AJ46" i="3"/>
  <c r="AK46" i="3"/>
  <c r="AL46" i="3"/>
  <c r="AM46" i="3"/>
  <c r="AN46" i="3"/>
  <c r="AO46" i="3"/>
  <c r="AP46" i="3"/>
  <c r="AQ46" i="3"/>
  <c r="AR46" i="3"/>
  <c r="AS46" i="3"/>
  <c r="AT46" i="3"/>
  <c r="AU46" i="3"/>
  <c r="AV46" i="3"/>
  <c r="AW46" i="3"/>
  <c r="AX46" i="3"/>
  <c r="AY46" i="3"/>
  <c r="AZ46" i="3"/>
  <c r="BA46" i="3"/>
  <c r="BB46" i="3"/>
  <c r="BC46" i="3"/>
  <c r="BD46" i="3"/>
  <c r="BE46" i="3"/>
  <c r="BF46" i="3"/>
  <c r="BG46" i="3"/>
  <c r="E47" i="3"/>
  <c r="F47" i="3"/>
  <c r="G47" i="3"/>
  <c r="H47" i="3"/>
  <c r="I47" i="3"/>
  <c r="J47" i="3"/>
  <c r="K47" i="3"/>
  <c r="L47" i="3"/>
  <c r="M47" i="3"/>
  <c r="N47" i="3"/>
  <c r="O47" i="3"/>
  <c r="P47" i="3"/>
  <c r="Q47" i="3"/>
  <c r="R47" i="3"/>
  <c r="S47" i="3"/>
  <c r="T47" i="3"/>
  <c r="U47" i="3"/>
  <c r="V47" i="3"/>
  <c r="W47" i="3"/>
  <c r="X47" i="3"/>
  <c r="Y47" i="3"/>
  <c r="Z47" i="3"/>
  <c r="AA47" i="3"/>
  <c r="AB47" i="3"/>
  <c r="AC47" i="3"/>
  <c r="AD47" i="3"/>
  <c r="AE47" i="3"/>
  <c r="AF47" i="3"/>
  <c r="AG47" i="3"/>
  <c r="AH47" i="3"/>
  <c r="AI47" i="3"/>
  <c r="AJ47" i="3"/>
  <c r="AK47" i="3"/>
  <c r="AL47" i="3"/>
  <c r="AM47" i="3"/>
  <c r="AN47" i="3"/>
  <c r="AO47" i="3"/>
  <c r="AP47" i="3"/>
  <c r="AQ47" i="3"/>
  <c r="AR47" i="3"/>
  <c r="AS47" i="3"/>
  <c r="AT47" i="3"/>
  <c r="AU47" i="3"/>
  <c r="AV47" i="3"/>
  <c r="AW47" i="3"/>
  <c r="AX47" i="3"/>
  <c r="AY47" i="3"/>
  <c r="AZ47" i="3"/>
  <c r="BA47" i="3"/>
  <c r="BB47" i="3"/>
  <c r="BC47" i="3"/>
  <c r="BD47" i="3"/>
  <c r="BE47" i="3"/>
  <c r="BF47" i="3"/>
  <c r="BG47" i="3"/>
  <c r="E48" i="3"/>
  <c r="F48" i="3"/>
  <c r="G48" i="3"/>
  <c r="H48" i="3"/>
  <c r="I48" i="3"/>
  <c r="J48" i="3"/>
  <c r="K48" i="3"/>
  <c r="L48" i="3"/>
  <c r="M48" i="3"/>
  <c r="N48" i="3"/>
  <c r="O48" i="3"/>
  <c r="P48" i="3"/>
  <c r="Q48" i="3"/>
  <c r="R48" i="3"/>
  <c r="S48" i="3"/>
  <c r="T48" i="3"/>
  <c r="U48" i="3"/>
  <c r="V48" i="3"/>
  <c r="W48" i="3"/>
  <c r="X48" i="3"/>
  <c r="Y48" i="3"/>
  <c r="Z48" i="3"/>
  <c r="AA48" i="3"/>
  <c r="AB48" i="3"/>
  <c r="AC48" i="3"/>
  <c r="AD48" i="3"/>
  <c r="AE48" i="3"/>
  <c r="AF48" i="3"/>
  <c r="AG48" i="3"/>
  <c r="AH48" i="3"/>
  <c r="AI48" i="3"/>
  <c r="AJ48" i="3"/>
  <c r="AK48" i="3"/>
  <c r="AL48" i="3"/>
  <c r="AM48" i="3"/>
  <c r="AN48" i="3"/>
  <c r="AO48" i="3"/>
  <c r="AP48" i="3"/>
  <c r="AQ48" i="3"/>
  <c r="AR48" i="3"/>
  <c r="AS48" i="3"/>
  <c r="AT48" i="3"/>
  <c r="AU48" i="3"/>
  <c r="AV48" i="3"/>
  <c r="AW48" i="3"/>
  <c r="AX48" i="3"/>
  <c r="AY48" i="3"/>
  <c r="AZ48" i="3"/>
  <c r="BA48" i="3"/>
  <c r="BB48" i="3"/>
  <c r="BC48" i="3"/>
  <c r="BD48" i="3"/>
  <c r="BE48" i="3"/>
  <c r="BF48" i="3"/>
  <c r="BG48" i="3"/>
  <c r="E49" i="3"/>
  <c r="F49" i="3"/>
  <c r="G49" i="3"/>
  <c r="H49" i="3"/>
  <c r="I49" i="3"/>
  <c r="J49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Z49" i="3"/>
  <c r="AA49" i="3"/>
  <c r="AB49" i="3"/>
  <c r="AC49" i="3"/>
  <c r="AD49" i="3"/>
  <c r="AE49" i="3"/>
  <c r="AF49" i="3"/>
  <c r="AG49" i="3"/>
  <c r="AH49" i="3"/>
  <c r="AI49" i="3"/>
  <c r="AJ49" i="3"/>
  <c r="AK49" i="3"/>
  <c r="AL49" i="3"/>
  <c r="AM49" i="3"/>
  <c r="AN49" i="3"/>
  <c r="AO49" i="3"/>
  <c r="AP49" i="3"/>
  <c r="AQ49" i="3"/>
  <c r="AR49" i="3"/>
  <c r="AS49" i="3"/>
  <c r="AT49" i="3"/>
  <c r="AU49" i="3"/>
  <c r="AV49" i="3"/>
  <c r="AW49" i="3"/>
  <c r="AX49" i="3"/>
  <c r="AY49" i="3"/>
  <c r="AZ49" i="3"/>
  <c r="BA49" i="3"/>
  <c r="BB49" i="3"/>
  <c r="BC49" i="3"/>
  <c r="BD49" i="3"/>
  <c r="BE49" i="3"/>
  <c r="BF49" i="3"/>
  <c r="BG49" i="3"/>
  <c r="E50" i="3"/>
  <c r="F50" i="3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Y50" i="3"/>
  <c r="Z50" i="3"/>
  <c r="AA50" i="3"/>
  <c r="AB50" i="3"/>
  <c r="AC50" i="3"/>
  <c r="AD50" i="3"/>
  <c r="AE50" i="3"/>
  <c r="AF50" i="3"/>
  <c r="AG50" i="3"/>
  <c r="AH50" i="3"/>
  <c r="AI50" i="3"/>
  <c r="AJ50" i="3"/>
  <c r="AK50" i="3"/>
  <c r="AL50" i="3"/>
  <c r="AM50" i="3"/>
  <c r="AN50" i="3"/>
  <c r="AO50" i="3"/>
  <c r="AP50" i="3"/>
  <c r="AQ50" i="3"/>
  <c r="AR50" i="3"/>
  <c r="AS50" i="3"/>
  <c r="AT50" i="3"/>
  <c r="AU50" i="3"/>
  <c r="AV50" i="3"/>
  <c r="AW50" i="3"/>
  <c r="AX50" i="3"/>
  <c r="AY50" i="3"/>
  <c r="AZ50" i="3"/>
  <c r="BA50" i="3"/>
  <c r="BB50" i="3"/>
  <c r="BC50" i="3"/>
  <c r="BD50" i="3"/>
  <c r="BE50" i="3"/>
  <c r="BF50" i="3"/>
  <c r="BG50" i="3"/>
  <c r="E51" i="3"/>
  <c r="F51" i="3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U51" i="3"/>
  <c r="V51" i="3"/>
  <c r="W51" i="3"/>
  <c r="X51" i="3"/>
  <c r="Y51" i="3"/>
  <c r="Z51" i="3"/>
  <c r="AA51" i="3"/>
  <c r="AB51" i="3"/>
  <c r="AC51" i="3"/>
  <c r="AD51" i="3"/>
  <c r="AE51" i="3"/>
  <c r="AF51" i="3"/>
  <c r="AG51" i="3"/>
  <c r="AH51" i="3"/>
  <c r="AI51" i="3"/>
  <c r="AJ51" i="3"/>
  <c r="AK51" i="3"/>
  <c r="AL51" i="3"/>
  <c r="AM51" i="3"/>
  <c r="AN51" i="3"/>
  <c r="AO51" i="3"/>
  <c r="AP51" i="3"/>
  <c r="AQ51" i="3"/>
  <c r="AR51" i="3"/>
  <c r="AS51" i="3"/>
  <c r="AT51" i="3"/>
  <c r="AU51" i="3"/>
  <c r="AV51" i="3"/>
  <c r="AW51" i="3"/>
  <c r="AX51" i="3"/>
  <c r="AY51" i="3"/>
  <c r="AZ51" i="3"/>
  <c r="BA51" i="3"/>
  <c r="BB51" i="3"/>
  <c r="BC51" i="3"/>
  <c r="BD51" i="3"/>
  <c r="BE51" i="3"/>
  <c r="BF51" i="3"/>
  <c r="BG51" i="3"/>
  <c r="E53" i="3"/>
  <c r="F53" i="3"/>
  <c r="G53" i="3"/>
  <c r="H53" i="3"/>
  <c r="I53" i="3"/>
  <c r="J53" i="3"/>
  <c r="K53" i="3"/>
  <c r="L53" i="3"/>
  <c r="M53" i="3"/>
  <c r="N53" i="3"/>
  <c r="O53" i="3"/>
  <c r="P53" i="3"/>
  <c r="Q53" i="3"/>
  <c r="R53" i="3"/>
  <c r="S53" i="3"/>
  <c r="T53" i="3"/>
  <c r="U53" i="3"/>
  <c r="V53" i="3"/>
  <c r="W53" i="3"/>
  <c r="X53" i="3"/>
  <c r="Y53" i="3"/>
  <c r="Z53" i="3"/>
  <c r="AA53" i="3"/>
  <c r="AB53" i="3"/>
  <c r="AC53" i="3"/>
  <c r="AD53" i="3"/>
  <c r="AE53" i="3"/>
  <c r="AF53" i="3"/>
  <c r="AG53" i="3"/>
  <c r="AH53" i="3"/>
  <c r="AI53" i="3"/>
  <c r="AJ53" i="3"/>
  <c r="AK53" i="3"/>
  <c r="AL53" i="3"/>
  <c r="AM53" i="3"/>
  <c r="AN53" i="3"/>
  <c r="AO53" i="3"/>
  <c r="AP53" i="3"/>
  <c r="AQ53" i="3"/>
  <c r="AR53" i="3"/>
  <c r="AS53" i="3"/>
  <c r="AT53" i="3"/>
  <c r="AU53" i="3"/>
  <c r="AV53" i="3"/>
  <c r="AW53" i="3"/>
  <c r="AX53" i="3"/>
  <c r="AY53" i="3"/>
  <c r="AZ53" i="3"/>
  <c r="BA53" i="3"/>
  <c r="BB53" i="3"/>
  <c r="BC53" i="3"/>
  <c r="BD53" i="3"/>
  <c r="BE53" i="3"/>
  <c r="BF53" i="3"/>
  <c r="BG53" i="3"/>
  <c r="E54" i="3"/>
  <c r="F54" i="3"/>
  <c r="G54" i="3"/>
  <c r="H54" i="3"/>
  <c r="I54" i="3"/>
  <c r="J54" i="3"/>
  <c r="K54" i="3"/>
  <c r="L54" i="3"/>
  <c r="M54" i="3"/>
  <c r="N54" i="3"/>
  <c r="O54" i="3"/>
  <c r="P54" i="3"/>
  <c r="Q54" i="3"/>
  <c r="R54" i="3"/>
  <c r="S54" i="3"/>
  <c r="T54" i="3"/>
  <c r="U54" i="3"/>
  <c r="V54" i="3"/>
  <c r="W54" i="3"/>
  <c r="X54" i="3"/>
  <c r="Y54" i="3"/>
  <c r="Z54" i="3"/>
  <c r="AA54" i="3"/>
  <c r="AB54" i="3"/>
  <c r="AC54" i="3"/>
  <c r="AD54" i="3"/>
  <c r="AE54" i="3"/>
  <c r="AF54" i="3"/>
  <c r="AG54" i="3"/>
  <c r="AH54" i="3"/>
  <c r="AI54" i="3"/>
  <c r="AJ54" i="3"/>
  <c r="AK54" i="3"/>
  <c r="AL54" i="3"/>
  <c r="AM54" i="3"/>
  <c r="AN54" i="3"/>
  <c r="AO54" i="3"/>
  <c r="AP54" i="3"/>
  <c r="AQ54" i="3"/>
  <c r="AR54" i="3"/>
  <c r="AS54" i="3"/>
  <c r="AT54" i="3"/>
  <c r="AU54" i="3"/>
  <c r="AV54" i="3"/>
  <c r="AW54" i="3"/>
  <c r="AX54" i="3"/>
  <c r="AY54" i="3"/>
  <c r="AZ54" i="3"/>
  <c r="BA54" i="3"/>
  <c r="BB54" i="3"/>
  <c r="BC54" i="3"/>
  <c r="BD54" i="3"/>
  <c r="BE54" i="3"/>
  <c r="BF54" i="3"/>
  <c r="BG54" i="3"/>
  <c r="E55" i="3"/>
  <c r="F55" i="3"/>
  <c r="G55" i="3"/>
  <c r="H55" i="3"/>
  <c r="I55" i="3"/>
  <c r="J55" i="3"/>
  <c r="K55" i="3"/>
  <c r="L55" i="3"/>
  <c r="M55" i="3"/>
  <c r="N55" i="3"/>
  <c r="O55" i="3"/>
  <c r="P55" i="3"/>
  <c r="Q55" i="3"/>
  <c r="R55" i="3"/>
  <c r="S55" i="3"/>
  <c r="T55" i="3"/>
  <c r="U55" i="3"/>
  <c r="V55" i="3"/>
  <c r="W55" i="3"/>
  <c r="X55" i="3"/>
  <c r="Y55" i="3"/>
  <c r="Z55" i="3"/>
  <c r="AA55" i="3"/>
  <c r="AB55" i="3"/>
  <c r="AC55" i="3"/>
  <c r="AD55" i="3"/>
  <c r="AE55" i="3"/>
  <c r="AF55" i="3"/>
  <c r="AG55" i="3"/>
  <c r="AH55" i="3"/>
  <c r="AI55" i="3"/>
  <c r="AJ55" i="3"/>
  <c r="AK55" i="3"/>
  <c r="AL55" i="3"/>
  <c r="AM55" i="3"/>
  <c r="AN55" i="3"/>
  <c r="AO55" i="3"/>
  <c r="AP55" i="3"/>
  <c r="AQ55" i="3"/>
  <c r="AR55" i="3"/>
  <c r="AS55" i="3"/>
  <c r="AT55" i="3"/>
  <c r="AU55" i="3"/>
  <c r="AV55" i="3"/>
  <c r="AW55" i="3"/>
  <c r="AX55" i="3"/>
  <c r="AY55" i="3"/>
  <c r="AZ55" i="3"/>
  <c r="BA55" i="3"/>
  <c r="BB55" i="3"/>
  <c r="BC55" i="3"/>
  <c r="BD55" i="3"/>
  <c r="BE55" i="3"/>
  <c r="BF55" i="3"/>
  <c r="BG55" i="3"/>
  <c r="E56" i="3"/>
  <c r="F56" i="3"/>
  <c r="G56" i="3"/>
  <c r="H56" i="3"/>
  <c r="I56" i="3"/>
  <c r="J56" i="3"/>
  <c r="K56" i="3"/>
  <c r="L56" i="3"/>
  <c r="M56" i="3"/>
  <c r="N56" i="3"/>
  <c r="O56" i="3"/>
  <c r="P56" i="3"/>
  <c r="Q56" i="3"/>
  <c r="R56" i="3"/>
  <c r="S56" i="3"/>
  <c r="T56" i="3"/>
  <c r="U56" i="3"/>
  <c r="V56" i="3"/>
  <c r="W56" i="3"/>
  <c r="X56" i="3"/>
  <c r="Y56" i="3"/>
  <c r="Z56" i="3"/>
  <c r="AA56" i="3"/>
  <c r="AB56" i="3"/>
  <c r="AC56" i="3"/>
  <c r="AD56" i="3"/>
  <c r="AE56" i="3"/>
  <c r="AF56" i="3"/>
  <c r="AG56" i="3"/>
  <c r="AH56" i="3"/>
  <c r="AI56" i="3"/>
  <c r="AJ56" i="3"/>
  <c r="AK56" i="3"/>
  <c r="AL56" i="3"/>
  <c r="AM56" i="3"/>
  <c r="AN56" i="3"/>
  <c r="AO56" i="3"/>
  <c r="AP56" i="3"/>
  <c r="AQ56" i="3"/>
  <c r="AR56" i="3"/>
  <c r="AS56" i="3"/>
  <c r="AT56" i="3"/>
  <c r="AU56" i="3"/>
  <c r="AV56" i="3"/>
  <c r="AW56" i="3"/>
  <c r="AX56" i="3"/>
  <c r="AY56" i="3"/>
  <c r="AZ56" i="3"/>
  <c r="BA56" i="3"/>
  <c r="BB56" i="3"/>
  <c r="BC56" i="3"/>
  <c r="BD56" i="3"/>
  <c r="BE56" i="3"/>
  <c r="BF56" i="3"/>
  <c r="BG56" i="3"/>
  <c r="E57" i="3"/>
  <c r="F57" i="3"/>
  <c r="G57" i="3"/>
  <c r="H57" i="3"/>
  <c r="I57" i="3"/>
  <c r="J57" i="3"/>
  <c r="K57" i="3"/>
  <c r="L57" i="3"/>
  <c r="M57" i="3"/>
  <c r="N57" i="3"/>
  <c r="O57" i="3"/>
  <c r="P57" i="3"/>
  <c r="Q57" i="3"/>
  <c r="R57" i="3"/>
  <c r="S57" i="3"/>
  <c r="T57" i="3"/>
  <c r="U57" i="3"/>
  <c r="V57" i="3"/>
  <c r="W57" i="3"/>
  <c r="X57" i="3"/>
  <c r="Y57" i="3"/>
  <c r="Z57" i="3"/>
  <c r="AA57" i="3"/>
  <c r="AB57" i="3"/>
  <c r="AC57" i="3"/>
  <c r="AD57" i="3"/>
  <c r="AE57" i="3"/>
  <c r="AF57" i="3"/>
  <c r="AG57" i="3"/>
  <c r="AH57" i="3"/>
  <c r="AI57" i="3"/>
  <c r="AJ57" i="3"/>
  <c r="AK57" i="3"/>
  <c r="AL57" i="3"/>
  <c r="AM57" i="3"/>
  <c r="AN57" i="3"/>
  <c r="AO57" i="3"/>
  <c r="AP57" i="3"/>
  <c r="AQ57" i="3"/>
  <c r="AR57" i="3"/>
  <c r="AS57" i="3"/>
  <c r="AT57" i="3"/>
  <c r="AU57" i="3"/>
  <c r="AV57" i="3"/>
  <c r="AW57" i="3"/>
  <c r="AX57" i="3"/>
  <c r="AY57" i="3"/>
  <c r="AZ57" i="3"/>
  <c r="BA57" i="3"/>
  <c r="BB57" i="3"/>
  <c r="BC57" i="3"/>
  <c r="BD57" i="3"/>
  <c r="BE57" i="3"/>
  <c r="BF57" i="3"/>
  <c r="BG57" i="3"/>
  <c r="E58" i="3"/>
  <c r="F58" i="3"/>
  <c r="G58" i="3"/>
  <c r="H58" i="3"/>
  <c r="I58" i="3"/>
  <c r="J58" i="3"/>
  <c r="K58" i="3"/>
  <c r="L58" i="3"/>
  <c r="M58" i="3"/>
  <c r="N58" i="3"/>
  <c r="O58" i="3"/>
  <c r="P58" i="3"/>
  <c r="Q58" i="3"/>
  <c r="R58" i="3"/>
  <c r="S58" i="3"/>
  <c r="T58" i="3"/>
  <c r="U58" i="3"/>
  <c r="V58" i="3"/>
  <c r="W58" i="3"/>
  <c r="X58" i="3"/>
  <c r="Y58" i="3"/>
  <c r="Z58" i="3"/>
  <c r="AA58" i="3"/>
  <c r="AB58" i="3"/>
  <c r="AC58" i="3"/>
  <c r="AD58" i="3"/>
  <c r="AE58" i="3"/>
  <c r="AF58" i="3"/>
  <c r="AG58" i="3"/>
  <c r="AH58" i="3"/>
  <c r="AI58" i="3"/>
  <c r="AJ58" i="3"/>
  <c r="AK58" i="3"/>
  <c r="AL58" i="3"/>
  <c r="AM58" i="3"/>
  <c r="AN58" i="3"/>
  <c r="AO58" i="3"/>
  <c r="AP58" i="3"/>
  <c r="AQ58" i="3"/>
  <c r="AR58" i="3"/>
  <c r="AS58" i="3"/>
  <c r="AT58" i="3"/>
  <c r="AU58" i="3"/>
  <c r="AV58" i="3"/>
  <c r="AW58" i="3"/>
  <c r="AX58" i="3"/>
  <c r="AY58" i="3"/>
  <c r="AZ58" i="3"/>
  <c r="BA58" i="3"/>
  <c r="BB58" i="3"/>
  <c r="BC58" i="3"/>
  <c r="BD58" i="3"/>
  <c r="BE58" i="3"/>
  <c r="BF58" i="3"/>
  <c r="BG58" i="3"/>
  <c r="E59" i="3"/>
  <c r="F59" i="3"/>
  <c r="G59" i="3"/>
  <c r="H59" i="3"/>
  <c r="I59" i="3"/>
  <c r="J59" i="3"/>
  <c r="K59" i="3"/>
  <c r="L59" i="3"/>
  <c r="M59" i="3"/>
  <c r="N59" i="3"/>
  <c r="O59" i="3"/>
  <c r="P59" i="3"/>
  <c r="Q59" i="3"/>
  <c r="R59" i="3"/>
  <c r="S59" i="3"/>
  <c r="T59" i="3"/>
  <c r="U59" i="3"/>
  <c r="V59" i="3"/>
  <c r="W59" i="3"/>
  <c r="X59" i="3"/>
  <c r="Y59" i="3"/>
  <c r="Z59" i="3"/>
  <c r="AA59" i="3"/>
  <c r="AB59" i="3"/>
  <c r="AC59" i="3"/>
  <c r="AD59" i="3"/>
  <c r="AE59" i="3"/>
  <c r="AF59" i="3"/>
  <c r="AG59" i="3"/>
  <c r="AH59" i="3"/>
  <c r="AI59" i="3"/>
  <c r="AJ59" i="3"/>
  <c r="AK59" i="3"/>
  <c r="AL59" i="3"/>
  <c r="AM59" i="3"/>
  <c r="AN59" i="3"/>
  <c r="AO59" i="3"/>
  <c r="AP59" i="3"/>
  <c r="AQ59" i="3"/>
  <c r="AR59" i="3"/>
  <c r="AS59" i="3"/>
  <c r="AT59" i="3"/>
  <c r="AU59" i="3"/>
  <c r="AV59" i="3"/>
  <c r="AW59" i="3"/>
  <c r="AX59" i="3"/>
  <c r="AY59" i="3"/>
  <c r="AZ59" i="3"/>
  <c r="BA59" i="3"/>
  <c r="BB59" i="3"/>
  <c r="BC59" i="3"/>
  <c r="BD59" i="3"/>
  <c r="BE59" i="3"/>
  <c r="BF59" i="3"/>
  <c r="BG59" i="3"/>
  <c r="E60" i="3"/>
  <c r="F60" i="3"/>
  <c r="G60" i="3"/>
  <c r="H60" i="3"/>
  <c r="I60" i="3"/>
  <c r="J60" i="3"/>
  <c r="K60" i="3"/>
  <c r="L60" i="3"/>
  <c r="M60" i="3"/>
  <c r="N60" i="3"/>
  <c r="O60" i="3"/>
  <c r="P60" i="3"/>
  <c r="Q60" i="3"/>
  <c r="R60" i="3"/>
  <c r="S60" i="3"/>
  <c r="T60" i="3"/>
  <c r="U60" i="3"/>
  <c r="V60" i="3"/>
  <c r="W60" i="3"/>
  <c r="X60" i="3"/>
  <c r="Y60" i="3"/>
  <c r="Z60" i="3"/>
  <c r="AA60" i="3"/>
  <c r="AB60" i="3"/>
  <c r="AC60" i="3"/>
  <c r="AD60" i="3"/>
  <c r="AE60" i="3"/>
  <c r="AF60" i="3"/>
  <c r="AG60" i="3"/>
  <c r="AH60" i="3"/>
  <c r="AI60" i="3"/>
  <c r="AJ60" i="3"/>
  <c r="AK60" i="3"/>
  <c r="AL60" i="3"/>
  <c r="AM60" i="3"/>
  <c r="AN60" i="3"/>
  <c r="AO60" i="3"/>
  <c r="AP60" i="3"/>
  <c r="AQ60" i="3"/>
  <c r="AR60" i="3"/>
  <c r="AS60" i="3"/>
  <c r="AT60" i="3"/>
  <c r="AU60" i="3"/>
  <c r="AV60" i="3"/>
  <c r="AW60" i="3"/>
  <c r="AX60" i="3"/>
  <c r="AY60" i="3"/>
  <c r="AZ60" i="3"/>
  <c r="BA60" i="3"/>
  <c r="BB60" i="3"/>
  <c r="BC60" i="3"/>
  <c r="BD60" i="3"/>
  <c r="BE60" i="3"/>
  <c r="BF60" i="3"/>
  <c r="BG60" i="3"/>
  <c r="E61" i="3"/>
  <c r="F61" i="3"/>
  <c r="G61" i="3"/>
  <c r="H61" i="3"/>
  <c r="I61" i="3"/>
  <c r="J61" i="3"/>
  <c r="K61" i="3"/>
  <c r="L61" i="3"/>
  <c r="M61" i="3"/>
  <c r="N61" i="3"/>
  <c r="O61" i="3"/>
  <c r="P61" i="3"/>
  <c r="Q61" i="3"/>
  <c r="R61" i="3"/>
  <c r="S61" i="3"/>
  <c r="T61" i="3"/>
  <c r="U61" i="3"/>
  <c r="V61" i="3"/>
  <c r="W61" i="3"/>
  <c r="X61" i="3"/>
  <c r="Y61" i="3"/>
  <c r="Z61" i="3"/>
  <c r="AA61" i="3"/>
  <c r="AB61" i="3"/>
  <c r="AC61" i="3"/>
  <c r="AD61" i="3"/>
  <c r="AE61" i="3"/>
  <c r="AF61" i="3"/>
  <c r="AG61" i="3"/>
  <c r="AH61" i="3"/>
  <c r="AI61" i="3"/>
  <c r="AJ61" i="3"/>
  <c r="AK61" i="3"/>
  <c r="AL61" i="3"/>
  <c r="AM61" i="3"/>
  <c r="AN61" i="3"/>
  <c r="AO61" i="3"/>
  <c r="AP61" i="3"/>
  <c r="AQ61" i="3"/>
  <c r="AR61" i="3"/>
  <c r="AS61" i="3"/>
  <c r="AT61" i="3"/>
  <c r="AU61" i="3"/>
  <c r="AV61" i="3"/>
  <c r="AW61" i="3"/>
  <c r="AX61" i="3"/>
  <c r="AY61" i="3"/>
  <c r="AZ61" i="3"/>
  <c r="BA61" i="3"/>
  <c r="BB61" i="3"/>
  <c r="BC61" i="3"/>
  <c r="BD61" i="3"/>
  <c r="BE61" i="3"/>
  <c r="BF61" i="3"/>
  <c r="BG61" i="3"/>
  <c r="E62" i="3"/>
  <c r="F62" i="3"/>
  <c r="G62" i="3"/>
  <c r="H62" i="3"/>
  <c r="I62" i="3"/>
  <c r="J62" i="3"/>
  <c r="K62" i="3"/>
  <c r="L62" i="3"/>
  <c r="M62" i="3"/>
  <c r="N62" i="3"/>
  <c r="O62" i="3"/>
  <c r="P62" i="3"/>
  <c r="Q62" i="3"/>
  <c r="R62" i="3"/>
  <c r="S62" i="3"/>
  <c r="T62" i="3"/>
  <c r="U62" i="3"/>
  <c r="V62" i="3"/>
  <c r="W62" i="3"/>
  <c r="X62" i="3"/>
  <c r="Y62" i="3"/>
  <c r="Z62" i="3"/>
  <c r="AA62" i="3"/>
  <c r="AB62" i="3"/>
  <c r="AC62" i="3"/>
  <c r="AD62" i="3"/>
  <c r="AE62" i="3"/>
  <c r="AF62" i="3"/>
  <c r="AG62" i="3"/>
  <c r="AH62" i="3"/>
  <c r="AI62" i="3"/>
  <c r="AJ62" i="3"/>
  <c r="AK62" i="3"/>
  <c r="AL62" i="3"/>
  <c r="AM62" i="3"/>
  <c r="AN62" i="3"/>
  <c r="AO62" i="3"/>
  <c r="AP62" i="3"/>
  <c r="AQ62" i="3"/>
  <c r="AR62" i="3"/>
  <c r="AS62" i="3"/>
  <c r="AT62" i="3"/>
  <c r="AU62" i="3"/>
  <c r="AV62" i="3"/>
  <c r="AW62" i="3"/>
  <c r="AX62" i="3"/>
  <c r="AY62" i="3"/>
  <c r="AZ62" i="3"/>
  <c r="BA62" i="3"/>
  <c r="BB62" i="3"/>
  <c r="BC62" i="3"/>
  <c r="BD62" i="3"/>
  <c r="BE62" i="3"/>
  <c r="BF62" i="3"/>
  <c r="BG62" i="3"/>
  <c r="E63" i="3"/>
  <c r="F63" i="3"/>
  <c r="G63" i="3"/>
  <c r="H63" i="3"/>
  <c r="I63" i="3"/>
  <c r="J63" i="3"/>
  <c r="K63" i="3"/>
  <c r="L63" i="3"/>
  <c r="M63" i="3"/>
  <c r="N63" i="3"/>
  <c r="O63" i="3"/>
  <c r="P63" i="3"/>
  <c r="Q63" i="3"/>
  <c r="R63" i="3"/>
  <c r="S63" i="3"/>
  <c r="T63" i="3"/>
  <c r="U63" i="3"/>
  <c r="V63" i="3"/>
  <c r="W63" i="3"/>
  <c r="X63" i="3"/>
  <c r="Y63" i="3"/>
  <c r="Z63" i="3"/>
  <c r="AA63" i="3"/>
  <c r="AB63" i="3"/>
  <c r="AC63" i="3"/>
  <c r="AD63" i="3"/>
  <c r="AE63" i="3"/>
  <c r="AF63" i="3"/>
  <c r="AG63" i="3"/>
  <c r="AH63" i="3"/>
  <c r="AI63" i="3"/>
  <c r="AJ63" i="3"/>
  <c r="AK63" i="3"/>
  <c r="AL63" i="3"/>
  <c r="AM63" i="3"/>
  <c r="AN63" i="3"/>
  <c r="AO63" i="3"/>
  <c r="AP63" i="3"/>
  <c r="AQ63" i="3"/>
  <c r="AR63" i="3"/>
  <c r="AS63" i="3"/>
  <c r="AT63" i="3"/>
  <c r="AU63" i="3"/>
  <c r="AV63" i="3"/>
  <c r="AW63" i="3"/>
  <c r="AX63" i="3"/>
  <c r="AY63" i="3"/>
  <c r="AZ63" i="3"/>
  <c r="BA63" i="3"/>
  <c r="BB63" i="3"/>
  <c r="BC63" i="3"/>
  <c r="BD63" i="3"/>
  <c r="BE63" i="3"/>
  <c r="BF63" i="3"/>
  <c r="BG63" i="3"/>
  <c r="E64" i="3"/>
  <c r="F64" i="3"/>
  <c r="G64" i="3"/>
  <c r="H64" i="3"/>
  <c r="I64" i="3"/>
  <c r="J64" i="3"/>
  <c r="K64" i="3"/>
  <c r="L64" i="3"/>
  <c r="M64" i="3"/>
  <c r="N64" i="3"/>
  <c r="O64" i="3"/>
  <c r="P64" i="3"/>
  <c r="Q64" i="3"/>
  <c r="R64" i="3"/>
  <c r="S64" i="3"/>
  <c r="T64" i="3"/>
  <c r="U64" i="3"/>
  <c r="V64" i="3"/>
  <c r="W64" i="3"/>
  <c r="X64" i="3"/>
  <c r="Y64" i="3"/>
  <c r="Z64" i="3"/>
  <c r="AA64" i="3"/>
  <c r="AB64" i="3"/>
  <c r="AC64" i="3"/>
  <c r="AD64" i="3"/>
  <c r="AE64" i="3"/>
  <c r="AF64" i="3"/>
  <c r="AG64" i="3"/>
  <c r="AH64" i="3"/>
  <c r="AI64" i="3"/>
  <c r="AJ64" i="3"/>
  <c r="AK64" i="3"/>
  <c r="AL64" i="3"/>
  <c r="AM64" i="3"/>
  <c r="AN64" i="3"/>
  <c r="AO64" i="3"/>
  <c r="AP64" i="3"/>
  <c r="AQ64" i="3"/>
  <c r="AR64" i="3"/>
  <c r="AS64" i="3"/>
  <c r="AT64" i="3"/>
  <c r="AU64" i="3"/>
  <c r="AV64" i="3"/>
  <c r="AW64" i="3"/>
  <c r="AX64" i="3"/>
  <c r="AY64" i="3"/>
  <c r="AZ64" i="3"/>
  <c r="BA64" i="3"/>
  <c r="BB64" i="3"/>
  <c r="BC64" i="3"/>
  <c r="BD64" i="3"/>
  <c r="BE64" i="3"/>
  <c r="BF64" i="3"/>
  <c r="BG64" i="3"/>
  <c r="E65" i="3"/>
  <c r="F65" i="3"/>
  <c r="G65" i="3"/>
  <c r="H65" i="3"/>
  <c r="I65" i="3"/>
  <c r="J65" i="3"/>
  <c r="K65" i="3"/>
  <c r="L65" i="3"/>
  <c r="M65" i="3"/>
  <c r="N65" i="3"/>
  <c r="O65" i="3"/>
  <c r="P65" i="3"/>
  <c r="Q65" i="3"/>
  <c r="R65" i="3"/>
  <c r="S65" i="3"/>
  <c r="T65" i="3"/>
  <c r="U65" i="3"/>
  <c r="V65" i="3"/>
  <c r="W65" i="3"/>
  <c r="X65" i="3"/>
  <c r="Y65" i="3"/>
  <c r="Z65" i="3"/>
  <c r="AA65" i="3"/>
  <c r="AB65" i="3"/>
  <c r="AC65" i="3"/>
  <c r="AD65" i="3"/>
  <c r="AE65" i="3"/>
  <c r="AF65" i="3"/>
  <c r="AG65" i="3"/>
  <c r="AH65" i="3"/>
  <c r="AI65" i="3"/>
  <c r="AJ65" i="3"/>
  <c r="AK65" i="3"/>
  <c r="AL65" i="3"/>
  <c r="AM65" i="3"/>
  <c r="AN65" i="3"/>
  <c r="AO65" i="3"/>
  <c r="AP65" i="3"/>
  <c r="AQ65" i="3"/>
  <c r="AR65" i="3"/>
  <c r="AS65" i="3"/>
  <c r="AT65" i="3"/>
  <c r="AU65" i="3"/>
  <c r="AV65" i="3"/>
  <c r="AW65" i="3"/>
  <c r="AX65" i="3"/>
  <c r="AY65" i="3"/>
  <c r="AZ65" i="3"/>
  <c r="BA65" i="3"/>
  <c r="BB65" i="3"/>
  <c r="BC65" i="3"/>
  <c r="BD65" i="3"/>
  <c r="BE65" i="3"/>
  <c r="BF65" i="3"/>
  <c r="BG65" i="3"/>
  <c r="E66" i="3"/>
  <c r="F66" i="3"/>
  <c r="G66" i="3"/>
  <c r="H66" i="3"/>
  <c r="I66" i="3"/>
  <c r="J66" i="3"/>
  <c r="K66" i="3"/>
  <c r="L66" i="3"/>
  <c r="M66" i="3"/>
  <c r="N66" i="3"/>
  <c r="O66" i="3"/>
  <c r="P66" i="3"/>
  <c r="Q66" i="3"/>
  <c r="R66" i="3"/>
  <c r="S66" i="3"/>
  <c r="T66" i="3"/>
  <c r="U66" i="3"/>
  <c r="V66" i="3"/>
  <c r="W66" i="3"/>
  <c r="X66" i="3"/>
  <c r="Y66" i="3"/>
  <c r="Z66" i="3"/>
  <c r="AA66" i="3"/>
  <c r="AB66" i="3"/>
  <c r="AC66" i="3"/>
  <c r="AD66" i="3"/>
  <c r="AE66" i="3"/>
  <c r="AF66" i="3"/>
  <c r="AG66" i="3"/>
  <c r="AH66" i="3"/>
  <c r="AI66" i="3"/>
  <c r="AJ66" i="3"/>
  <c r="AK66" i="3"/>
  <c r="AL66" i="3"/>
  <c r="AM66" i="3"/>
  <c r="AN66" i="3"/>
  <c r="AO66" i="3"/>
  <c r="AP66" i="3"/>
  <c r="AQ66" i="3"/>
  <c r="AR66" i="3"/>
  <c r="AS66" i="3"/>
  <c r="AT66" i="3"/>
  <c r="AU66" i="3"/>
  <c r="AV66" i="3"/>
  <c r="AW66" i="3"/>
  <c r="AX66" i="3"/>
  <c r="AY66" i="3"/>
  <c r="AZ66" i="3"/>
  <c r="BA66" i="3"/>
  <c r="BB66" i="3"/>
  <c r="BC66" i="3"/>
  <c r="BD66" i="3"/>
  <c r="BE66" i="3"/>
  <c r="BF66" i="3"/>
  <c r="BG66" i="3"/>
  <c r="E67" i="3"/>
  <c r="F67" i="3"/>
  <c r="G67" i="3"/>
  <c r="H67" i="3"/>
  <c r="I67" i="3"/>
  <c r="J67" i="3"/>
  <c r="K67" i="3"/>
  <c r="L67" i="3"/>
  <c r="M67" i="3"/>
  <c r="N67" i="3"/>
  <c r="O67" i="3"/>
  <c r="P67" i="3"/>
  <c r="Q67" i="3"/>
  <c r="R67" i="3"/>
  <c r="S67" i="3"/>
  <c r="T67" i="3"/>
  <c r="U67" i="3"/>
  <c r="V67" i="3"/>
  <c r="W67" i="3"/>
  <c r="X67" i="3"/>
  <c r="Y67" i="3"/>
  <c r="Z67" i="3"/>
  <c r="AA67" i="3"/>
  <c r="AB67" i="3"/>
  <c r="AC67" i="3"/>
  <c r="AD67" i="3"/>
  <c r="AE67" i="3"/>
  <c r="AF67" i="3"/>
  <c r="AG67" i="3"/>
  <c r="AH67" i="3"/>
  <c r="AI67" i="3"/>
  <c r="AJ67" i="3"/>
  <c r="AK67" i="3"/>
  <c r="AL67" i="3"/>
  <c r="AM67" i="3"/>
  <c r="AN67" i="3"/>
  <c r="AO67" i="3"/>
  <c r="AP67" i="3"/>
  <c r="AQ67" i="3"/>
  <c r="AR67" i="3"/>
  <c r="AS67" i="3"/>
  <c r="AT67" i="3"/>
  <c r="AU67" i="3"/>
  <c r="AV67" i="3"/>
  <c r="AW67" i="3"/>
  <c r="AX67" i="3"/>
  <c r="AY67" i="3"/>
  <c r="AZ67" i="3"/>
  <c r="BA67" i="3"/>
  <c r="BB67" i="3"/>
  <c r="BC67" i="3"/>
  <c r="BD67" i="3"/>
  <c r="BE67" i="3"/>
  <c r="BF67" i="3"/>
  <c r="BG67" i="3"/>
  <c r="E68" i="3"/>
  <c r="F68" i="3"/>
  <c r="G68" i="3"/>
  <c r="H68" i="3"/>
  <c r="I68" i="3"/>
  <c r="J68" i="3"/>
  <c r="K68" i="3"/>
  <c r="L68" i="3"/>
  <c r="M68" i="3"/>
  <c r="N68" i="3"/>
  <c r="O68" i="3"/>
  <c r="P68" i="3"/>
  <c r="Q68" i="3"/>
  <c r="R68" i="3"/>
  <c r="S68" i="3"/>
  <c r="T68" i="3"/>
  <c r="U68" i="3"/>
  <c r="V68" i="3"/>
  <c r="W68" i="3"/>
  <c r="X68" i="3"/>
  <c r="Y68" i="3"/>
  <c r="Z68" i="3"/>
  <c r="AA68" i="3"/>
  <c r="AB68" i="3"/>
  <c r="AC68" i="3"/>
  <c r="AD68" i="3"/>
  <c r="AE68" i="3"/>
  <c r="AF68" i="3"/>
  <c r="AG68" i="3"/>
  <c r="AH68" i="3"/>
  <c r="AI68" i="3"/>
  <c r="AJ68" i="3"/>
  <c r="AK68" i="3"/>
  <c r="AL68" i="3"/>
  <c r="AM68" i="3"/>
  <c r="AN68" i="3"/>
  <c r="AO68" i="3"/>
  <c r="AP68" i="3"/>
  <c r="AQ68" i="3"/>
  <c r="AR68" i="3"/>
  <c r="AS68" i="3"/>
  <c r="AT68" i="3"/>
  <c r="AU68" i="3"/>
  <c r="AV68" i="3"/>
  <c r="AW68" i="3"/>
  <c r="AX68" i="3"/>
  <c r="AY68" i="3"/>
  <c r="AZ68" i="3"/>
  <c r="BA68" i="3"/>
  <c r="BB68" i="3"/>
  <c r="BC68" i="3"/>
  <c r="BD68" i="3"/>
  <c r="BE68" i="3"/>
  <c r="BF68" i="3"/>
  <c r="BG68" i="3"/>
  <c r="E69" i="3"/>
  <c r="F69" i="3"/>
  <c r="G69" i="3"/>
  <c r="H69" i="3"/>
  <c r="I69" i="3"/>
  <c r="J69" i="3"/>
  <c r="K69" i="3"/>
  <c r="L69" i="3"/>
  <c r="M69" i="3"/>
  <c r="N69" i="3"/>
  <c r="O69" i="3"/>
  <c r="P69" i="3"/>
  <c r="Q69" i="3"/>
  <c r="R69" i="3"/>
  <c r="S69" i="3"/>
  <c r="T69" i="3"/>
  <c r="U69" i="3"/>
  <c r="V69" i="3"/>
  <c r="W69" i="3"/>
  <c r="X69" i="3"/>
  <c r="Y69" i="3"/>
  <c r="Z69" i="3"/>
  <c r="AA69" i="3"/>
  <c r="AB69" i="3"/>
  <c r="AC69" i="3"/>
  <c r="AD69" i="3"/>
  <c r="AE69" i="3"/>
  <c r="AF69" i="3"/>
  <c r="AG69" i="3"/>
  <c r="AH69" i="3"/>
  <c r="AI69" i="3"/>
  <c r="AJ69" i="3"/>
  <c r="AK69" i="3"/>
  <c r="AL69" i="3"/>
  <c r="AM69" i="3"/>
  <c r="AN69" i="3"/>
  <c r="AO69" i="3"/>
  <c r="AP69" i="3"/>
  <c r="AQ69" i="3"/>
  <c r="AR69" i="3"/>
  <c r="AS69" i="3"/>
  <c r="AT69" i="3"/>
  <c r="AU69" i="3"/>
  <c r="AV69" i="3"/>
  <c r="AW69" i="3"/>
  <c r="AX69" i="3"/>
  <c r="AY69" i="3"/>
  <c r="AZ69" i="3"/>
  <c r="BA69" i="3"/>
  <c r="BB69" i="3"/>
  <c r="BC69" i="3"/>
  <c r="BD69" i="3"/>
  <c r="BE69" i="3"/>
  <c r="BF69" i="3"/>
  <c r="BG69" i="3"/>
  <c r="E70" i="3"/>
  <c r="F70" i="3"/>
  <c r="G70" i="3"/>
  <c r="H70" i="3"/>
  <c r="I70" i="3"/>
  <c r="J70" i="3"/>
  <c r="K70" i="3"/>
  <c r="L70" i="3"/>
  <c r="M70" i="3"/>
  <c r="N70" i="3"/>
  <c r="O70" i="3"/>
  <c r="P70" i="3"/>
  <c r="Q70" i="3"/>
  <c r="R70" i="3"/>
  <c r="S70" i="3"/>
  <c r="T70" i="3"/>
  <c r="U70" i="3"/>
  <c r="V70" i="3"/>
  <c r="W70" i="3"/>
  <c r="X70" i="3"/>
  <c r="Y70" i="3"/>
  <c r="Z70" i="3"/>
  <c r="AA70" i="3"/>
  <c r="AB70" i="3"/>
  <c r="AC70" i="3"/>
  <c r="AD70" i="3"/>
  <c r="AE70" i="3"/>
  <c r="AF70" i="3"/>
  <c r="AG70" i="3"/>
  <c r="AH70" i="3"/>
  <c r="AI70" i="3"/>
  <c r="AJ70" i="3"/>
  <c r="AK70" i="3"/>
  <c r="AL70" i="3"/>
  <c r="AM70" i="3"/>
  <c r="AN70" i="3"/>
  <c r="AO70" i="3"/>
  <c r="AP70" i="3"/>
  <c r="AQ70" i="3"/>
  <c r="AR70" i="3"/>
  <c r="AS70" i="3"/>
  <c r="AT70" i="3"/>
  <c r="AU70" i="3"/>
  <c r="AV70" i="3"/>
  <c r="AW70" i="3"/>
  <c r="AX70" i="3"/>
  <c r="AY70" i="3"/>
  <c r="AZ70" i="3"/>
  <c r="BA70" i="3"/>
  <c r="BB70" i="3"/>
  <c r="BC70" i="3"/>
  <c r="BD70" i="3"/>
  <c r="BE70" i="3"/>
  <c r="BF70" i="3"/>
  <c r="BG70" i="3"/>
  <c r="E71" i="3"/>
  <c r="F71" i="3"/>
  <c r="G71" i="3"/>
  <c r="H71" i="3"/>
  <c r="I71" i="3"/>
  <c r="J71" i="3"/>
  <c r="K71" i="3"/>
  <c r="L71" i="3"/>
  <c r="M71" i="3"/>
  <c r="N71" i="3"/>
  <c r="O71" i="3"/>
  <c r="P71" i="3"/>
  <c r="Q71" i="3"/>
  <c r="R71" i="3"/>
  <c r="S71" i="3"/>
  <c r="T71" i="3"/>
  <c r="U71" i="3"/>
  <c r="V71" i="3"/>
  <c r="W71" i="3"/>
  <c r="X71" i="3"/>
  <c r="Y71" i="3"/>
  <c r="Z71" i="3"/>
  <c r="AA71" i="3"/>
  <c r="AB71" i="3"/>
  <c r="AC71" i="3"/>
  <c r="AD71" i="3"/>
  <c r="AE71" i="3"/>
  <c r="AF71" i="3"/>
  <c r="AG71" i="3"/>
  <c r="AH71" i="3"/>
  <c r="AI71" i="3"/>
  <c r="AJ71" i="3"/>
  <c r="AK71" i="3"/>
  <c r="AL71" i="3"/>
  <c r="AM71" i="3"/>
  <c r="AN71" i="3"/>
  <c r="AO71" i="3"/>
  <c r="AP71" i="3"/>
  <c r="AQ71" i="3"/>
  <c r="AR71" i="3"/>
  <c r="AS71" i="3"/>
  <c r="AT71" i="3"/>
  <c r="AU71" i="3"/>
  <c r="AV71" i="3"/>
  <c r="AW71" i="3"/>
  <c r="AX71" i="3"/>
  <c r="AY71" i="3"/>
  <c r="AZ71" i="3"/>
  <c r="BA71" i="3"/>
  <c r="BB71" i="3"/>
  <c r="BC71" i="3"/>
  <c r="BD71" i="3"/>
  <c r="BE71" i="3"/>
  <c r="BF71" i="3"/>
  <c r="BG71" i="3"/>
  <c r="E72" i="3"/>
  <c r="F72" i="3"/>
  <c r="G72" i="3"/>
  <c r="H72" i="3"/>
  <c r="I72" i="3"/>
  <c r="J72" i="3"/>
  <c r="K72" i="3"/>
  <c r="L72" i="3"/>
  <c r="M72" i="3"/>
  <c r="N72" i="3"/>
  <c r="O72" i="3"/>
  <c r="P72" i="3"/>
  <c r="Q72" i="3"/>
  <c r="R72" i="3"/>
  <c r="S72" i="3"/>
  <c r="T72" i="3"/>
  <c r="U72" i="3"/>
  <c r="V72" i="3"/>
  <c r="W72" i="3"/>
  <c r="X72" i="3"/>
  <c r="Y72" i="3"/>
  <c r="Z72" i="3"/>
  <c r="AA72" i="3"/>
  <c r="AB72" i="3"/>
  <c r="AC72" i="3"/>
  <c r="AD72" i="3"/>
  <c r="AE72" i="3"/>
  <c r="AF72" i="3"/>
  <c r="AG72" i="3"/>
  <c r="AH72" i="3"/>
  <c r="AI72" i="3"/>
  <c r="AJ72" i="3"/>
  <c r="AK72" i="3"/>
  <c r="AL72" i="3"/>
  <c r="AM72" i="3"/>
  <c r="AN72" i="3"/>
  <c r="AO72" i="3"/>
  <c r="AP72" i="3"/>
  <c r="AQ72" i="3"/>
  <c r="AR72" i="3"/>
  <c r="AS72" i="3"/>
  <c r="AT72" i="3"/>
  <c r="AU72" i="3"/>
  <c r="AV72" i="3"/>
  <c r="AW72" i="3"/>
  <c r="AX72" i="3"/>
  <c r="AY72" i="3"/>
  <c r="AZ72" i="3"/>
  <c r="BA72" i="3"/>
  <c r="BB72" i="3"/>
  <c r="BC72" i="3"/>
  <c r="BD72" i="3"/>
  <c r="BE72" i="3"/>
  <c r="BF72" i="3"/>
  <c r="BG72" i="3"/>
  <c r="E73" i="3"/>
  <c r="F73" i="3"/>
  <c r="G73" i="3"/>
  <c r="H73" i="3"/>
  <c r="I73" i="3"/>
  <c r="J73" i="3"/>
  <c r="K73" i="3"/>
  <c r="L73" i="3"/>
  <c r="M73" i="3"/>
  <c r="N73" i="3"/>
  <c r="O73" i="3"/>
  <c r="P73" i="3"/>
  <c r="Q73" i="3"/>
  <c r="R73" i="3"/>
  <c r="S73" i="3"/>
  <c r="T73" i="3"/>
  <c r="U73" i="3"/>
  <c r="V73" i="3"/>
  <c r="W73" i="3"/>
  <c r="X73" i="3"/>
  <c r="Y73" i="3"/>
  <c r="Z73" i="3"/>
  <c r="AA73" i="3"/>
  <c r="AB73" i="3"/>
  <c r="AC73" i="3"/>
  <c r="AD73" i="3"/>
  <c r="AE73" i="3"/>
  <c r="AF73" i="3"/>
  <c r="AG73" i="3"/>
  <c r="AH73" i="3"/>
  <c r="AI73" i="3"/>
  <c r="AJ73" i="3"/>
  <c r="AK73" i="3"/>
  <c r="AL73" i="3"/>
  <c r="AM73" i="3"/>
  <c r="AN73" i="3"/>
  <c r="AO73" i="3"/>
  <c r="AP73" i="3"/>
  <c r="AQ73" i="3"/>
  <c r="AR73" i="3"/>
  <c r="AS73" i="3"/>
  <c r="AT73" i="3"/>
  <c r="AU73" i="3"/>
  <c r="AV73" i="3"/>
  <c r="AW73" i="3"/>
  <c r="AX73" i="3"/>
  <c r="AY73" i="3"/>
  <c r="AZ73" i="3"/>
  <c r="BA73" i="3"/>
  <c r="BB73" i="3"/>
  <c r="BC73" i="3"/>
  <c r="BD73" i="3"/>
  <c r="BE73" i="3"/>
  <c r="BF73" i="3"/>
  <c r="BG73" i="3"/>
  <c r="E74" i="3"/>
  <c r="F74" i="3"/>
  <c r="G74" i="3"/>
  <c r="H74" i="3"/>
  <c r="I74" i="3"/>
  <c r="J74" i="3"/>
  <c r="K74" i="3"/>
  <c r="L74" i="3"/>
  <c r="M74" i="3"/>
  <c r="N74" i="3"/>
  <c r="O74" i="3"/>
  <c r="P74" i="3"/>
  <c r="Q74" i="3"/>
  <c r="R74" i="3"/>
  <c r="S74" i="3"/>
  <c r="T74" i="3"/>
  <c r="U74" i="3"/>
  <c r="V74" i="3"/>
  <c r="W74" i="3"/>
  <c r="X74" i="3"/>
  <c r="Y74" i="3"/>
  <c r="Z74" i="3"/>
  <c r="AA74" i="3"/>
  <c r="AB74" i="3"/>
  <c r="AC74" i="3"/>
  <c r="AD74" i="3"/>
  <c r="AE74" i="3"/>
  <c r="AF74" i="3"/>
  <c r="AG74" i="3"/>
  <c r="AH74" i="3"/>
  <c r="AI74" i="3"/>
  <c r="AJ74" i="3"/>
  <c r="AK74" i="3"/>
  <c r="AL74" i="3"/>
  <c r="AM74" i="3"/>
  <c r="AN74" i="3"/>
  <c r="AO74" i="3"/>
  <c r="AP74" i="3"/>
  <c r="AQ74" i="3"/>
  <c r="AR74" i="3"/>
  <c r="AS74" i="3"/>
  <c r="AT74" i="3"/>
  <c r="AU74" i="3"/>
  <c r="AV74" i="3"/>
  <c r="AW74" i="3"/>
  <c r="AX74" i="3"/>
  <c r="AY74" i="3"/>
  <c r="AZ74" i="3"/>
  <c r="BA74" i="3"/>
  <c r="BB74" i="3"/>
  <c r="BC74" i="3"/>
  <c r="BD74" i="3"/>
  <c r="BE74" i="3"/>
  <c r="BF74" i="3"/>
  <c r="BG74" i="3"/>
  <c r="E75" i="3"/>
  <c r="F75" i="3"/>
  <c r="G75" i="3"/>
  <c r="H75" i="3"/>
  <c r="I75" i="3"/>
  <c r="J75" i="3"/>
  <c r="K75" i="3"/>
  <c r="L75" i="3"/>
  <c r="M75" i="3"/>
  <c r="N75" i="3"/>
  <c r="O75" i="3"/>
  <c r="P75" i="3"/>
  <c r="Q75" i="3"/>
  <c r="R75" i="3"/>
  <c r="S75" i="3"/>
  <c r="T75" i="3"/>
  <c r="U75" i="3"/>
  <c r="V75" i="3"/>
  <c r="W75" i="3"/>
  <c r="X75" i="3"/>
  <c r="Y75" i="3"/>
  <c r="Z75" i="3"/>
  <c r="AA75" i="3"/>
  <c r="AB75" i="3"/>
  <c r="AC75" i="3"/>
  <c r="AD75" i="3"/>
  <c r="AE75" i="3"/>
  <c r="AF75" i="3"/>
  <c r="AG75" i="3"/>
  <c r="AH75" i="3"/>
  <c r="AI75" i="3"/>
  <c r="AJ75" i="3"/>
  <c r="AK75" i="3"/>
  <c r="AL75" i="3"/>
  <c r="AM75" i="3"/>
  <c r="AN75" i="3"/>
  <c r="AO75" i="3"/>
  <c r="AP75" i="3"/>
  <c r="AQ75" i="3"/>
  <c r="AR75" i="3"/>
  <c r="AS75" i="3"/>
  <c r="AT75" i="3"/>
  <c r="AU75" i="3"/>
  <c r="AV75" i="3"/>
  <c r="AW75" i="3"/>
  <c r="AX75" i="3"/>
  <c r="AY75" i="3"/>
  <c r="AZ75" i="3"/>
  <c r="BA75" i="3"/>
  <c r="BB75" i="3"/>
  <c r="BC75" i="3"/>
  <c r="BD75" i="3"/>
  <c r="BE75" i="3"/>
  <c r="BF75" i="3"/>
  <c r="BG75" i="3"/>
  <c r="E76" i="3"/>
  <c r="F76" i="3"/>
  <c r="G76" i="3"/>
  <c r="H76" i="3"/>
  <c r="I76" i="3"/>
  <c r="J76" i="3"/>
  <c r="K76" i="3"/>
  <c r="L76" i="3"/>
  <c r="M76" i="3"/>
  <c r="N76" i="3"/>
  <c r="O76" i="3"/>
  <c r="P76" i="3"/>
  <c r="Q76" i="3"/>
  <c r="R76" i="3"/>
  <c r="S76" i="3"/>
  <c r="T76" i="3"/>
  <c r="U76" i="3"/>
  <c r="V76" i="3"/>
  <c r="W76" i="3"/>
  <c r="X76" i="3"/>
  <c r="Y76" i="3"/>
  <c r="Z76" i="3"/>
  <c r="AA76" i="3"/>
  <c r="AB76" i="3"/>
  <c r="AC76" i="3"/>
  <c r="AD76" i="3"/>
  <c r="AE76" i="3"/>
  <c r="AF76" i="3"/>
  <c r="AG76" i="3"/>
  <c r="AH76" i="3"/>
  <c r="AI76" i="3"/>
  <c r="AJ76" i="3"/>
  <c r="AK76" i="3"/>
  <c r="AL76" i="3"/>
  <c r="AM76" i="3"/>
  <c r="AN76" i="3"/>
  <c r="AO76" i="3"/>
  <c r="AP76" i="3"/>
  <c r="AQ76" i="3"/>
  <c r="AR76" i="3"/>
  <c r="AS76" i="3"/>
  <c r="AT76" i="3"/>
  <c r="AU76" i="3"/>
  <c r="AV76" i="3"/>
  <c r="AW76" i="3"/>
  <c r="AX76" i="3"/>
  <c r="AY76" i="3"/>
  <c r="AZ76" i="3"/>
  <c r="BA76" i="3"/>
  <c r="BB76" i="3"/>
  <c r="BC76" i="3"/>
  <c r="BD76" i="3"/>
  <c r="BE76" i="3"/>
  <c r="BF76" i="3"/>
  <c r="BG76" i="3"/>
  <c r="E77" i="3"/>
  <c r="F77" i="3"/>
  <c r="G77" i="3"/>
  <c r="H77" i="3"/>
  <c r="I77" i="3"/>
  <c r="J77" i="3"/>
  <c r="K77" i="3"/>
  <c r="L77" i="3"/>
  <c r="M77" i="3"/>
  <c r="N77" i="3"/>
  <c r="O77" i="3"/>
  <c r="P77" i="3"/>
  <c r="Q77" i="3"/>
  <c r="R77" i="3"/>
  <c r="S77" i="3"/>
  <c r="T77" i="3"/>
  <c r="U77" i="3"/>
  <c r="V77" i="3"/>
  <c r="W77" i="3"/>
  <c r="X77" i="3"/>
  <c r="Y77" i="3"/>
  <c r="Z77" i="3"/>
  <c r="AA77" i="3"/>
  <c r="AB77" i="3"/>
  <c r="AC77" i="3"/>
  <c r="AD77" i="3"/>
  <c r="AE77" i="3"/>
  <c r="AF77" i="3"/>
  <c r="AG77" i="3"/>
  <c r="AH77" i="3"/>
  <c r="AI77" i="3"/>
  <c r="AJ77" i="3"/>
  <c r="AK77" i="3"/>
  <c r="AL77" i="3"/>
  <c r="AM77" i="3"/>
  <c r="AN77" i="3"/>
  <c r="AO77" i="3"/>
  <c r="AP77" i="3"/>
  <c r="AQ77" i="3"/>
  <c r="AR77" i="3"/>
  <c r="AS77" i="3"/>
  <c r="AT77" i="3"/>
  <c r="AU77" i="3"/>
  <c r="AV77" i="3"/>
  <c r="AW77" i="3"/>
  <c r="AX77" i="3"/>
  <c r="AY77" i="3"/>
  <c r="AZ77" i="3"/>
  <c r="BA77" i="3"/>
  <c r="BB77" i="3"/>
  <c r="BC77" i="3"/>
  <c r="BD77" i="3"/>
  <c r="BE77" i="3"/>
  <c r="BF77" i="3"/>
  <c r="BG77" i="3"/>
  <c r="E78" i="3"/>
  <c r="F78" i="3"/>
  <c r="G78" i="3"/>
  <c r="H78" i="3"/>
  <c r="I78" i="3"/>
  <c r="J78" i="3"/>
  <c r="K78" i="3"/>
  <c r="L78" i="3"/>
  <c r="M78" i="3"/>
  <c r="N78" i="3"/>
  <c r="O78" i="3"/>
  <c r="P78" i="3"/>
  <c r="Q78" i="3"/>
  <c r="R78" i="3"/>
  <c r="S78" i="3"/>
  <c r="T78" i="3"/>
  <c r="U78" i="3"/>
  <c r="V78" i="3"/>
  <c r="W78" i="3"/>
  <c r="X78" i="3"/>
  <c r="Y78" i="3"/>
  <c r="Z78" i="3"/>
  <c r="AA78" i="3"/>
  <c r="AB78" i="3"/>
  <c r="AC78" i="3"/>
  <c r="AD78" i="3"/>
  <c r="AE78" i="3"/>
  <c r="AF78" i="3"/>
  <c r="AG78" i="3"/>
  <c r="AH78" i="3"/>
  <c r="AI78" i="3"/>
  <c r="AJ78" i="3"/>
  <c r="AK78" i="3"/>
  <c r="AL78" i="3"/>
  <c r="AM78" i="3"/>
  <c r="AN78" i="3"/>
  <c r="AO78" i="3"/>
  <c r="AP78" i="3"/>
  <c r="AQ78" i="3"/>
  <c r="AR78" i="3"/>
  <c r="AS78" i="3"/>
  <c r="AT78" i="3"/>
  <c r="AU78" i="3"/>
  <c r="AV78" i="3"/>
  <c r="AW78" i="3"/>
  <c r="AX78" i="3"/>
  <c r="AY78" i="3"/>
  <c r="AZ78" i="3"/>
  <c r="BA78" i="3"/>
  <c r="BB78" i="3"/>
  <c r="BC78" i="3"/>
  <c r="BD78" i="3"/>
  <c r="BE78" i="3"/>
  <c r="BF78" i="3"/>
  <c r="BG78" i="3"/>
  <c r="E79" i="3"/>
  <c r="F79" i="3"/>
  <c r="G79" i="3"/>
  <c r="H79" i="3"/>
  <c r="I79" i="3"/>
  <c r="J79" i="3"/>
  <c r="K79" i="3"/>
  <c r="L79" i="3"/>
  <c r="M79" i="3"/>
  <c r="N79" i="3"/>
  <c r="O79" i="3"/>
  <c r="P79" i="3"/>
  <c r="Q79" i="3"/>
  <c r="R79" i="3"/>
  <c r="S79" i="3"/>
  <c r="T79" i="3"/>
  <c r="U79" i="3"/>
  <c r="V79" i="3"/>
  <c r="W79" i="3"/>
  <c r="X79" i="3"/>
  <c r="Y79" i="3"/>
  <c r="Z79" i="3"/>
  <c r="AA79" i="3"/>
  <c r="AB79" i="3"/>
  <c r="AC79" i="3"/>
  <c r="AD79" i="3"/>
  <c r="AE79" i="3"/>
  <c r="AF79" i="3"/>
  <c r="AG79" i="3"/>
  <c r="AH79" i="3"/>
  <c r="AI79" i="3"/>
  <c r="AJ79" i="3"/>
  <c r="AK79" i="3"/>
  <c r="AL79" i="3"/>
  <c r="AM79" i="3"/>
  <c r="AN79" i="3"/>
  <c r="AO79" i="3"/>
  <c r="AP79" i="3"/>
  <c r="AQ79" i="3"/>
  <c r="AR79" i="3"/>
  <c r="AS79" i="3"/>
  <c r="AT79" i="3"/>
  <c r="AU79" i="3"/>
  <c r="AV79" i="3"/>
  <c r="AW79" i="3"/>
  <c r="AX79" i="3"/>
  <c r="AY79" i="3"/>
  <c r="AZ79" i="3"/>
  <c r="BA79" i="3"/>
  <c r="BB79" i="3"/>
  <c r="BC79" i="3"/>
  <c r="BD79" i="3"/>
  <c r="BE79" i="3"/>
  <c r="BF79" i="3"/>
  <c r="BG79" i="3"/>
  <c r="E4" i="3"/>
  <c r="F4" i="3"/>
  <c r="G4" i="3"/>
  <c r="H4" i="3"/>
  <c r="I4" i="3"/>
  <c r="J4" i="3"/>
  <c r="K4" i="3"/>
  <c r="L4" i="3"/>
  <c r="M4" i="3"/>
  <c r="N4" i="3"/>
  <c r="O4" i="3"/>
  <c r="P4" i="3"/>
  <c r="Q4" i="3"/>
  <c r="R4" i="3"/>
  <c r="S4" i="3"/>
  <c r="T4" i="3"/>
  <c r="U4" i="3"/>
  <c r="V4" i="3"/>
  <c r="W4" i="3"/>
  <c r="X4" i="3"/>
  <c r="Y4" i="3"/>
  <c r="Z4" i="3"/>
  <c r="AA4" i="3"/>
  <c r="AB4" i="3"/>
  <c r="AC4" i="3"/>
  <c r="AD4" i="3"/>
  <c r="AE4" i="3"/>
  <c r="AF4" i="3"/>
  <c r="AG4" i="3"/>
  <c r="AH4" i="3"/>
  <c r="AI4" i="3"/>
  <c r="AJ4" i="3"/>
  <c r="AK4" i="3"/>
  <c r="AL4" i="3"/>
  <c r="DN4" i="3" s="1"/>
  <c r="AM4" i="3"/>
  <c r="AN4" i="3"/>
  <c r="AO4" i="3"/>
  <c r="AP4" i="3"/>
  <c r="AQ4" i="3"/>
  <c r="AR4" i="3"/>
  <c r="AS4" i="3"/>
  <c r="AT4" i="3"/>
  <c r="AU4" i="3"/>
  <c r="AV4" i="3"/>
  <c r="AW4" i="3"/>
  <c r="AX4" i="3"/>
  <c r="AY4" i="3"/>
  <c r="AZ4" i="3"/>
  <c r="BA4" i="3"/>
  <c r="BB4" i="3"/>
  <c r="BC4" i="3"/>
  <c r="BD4" i="3"/>
  <c r="BE4" i="3"/>
  <c r="BF4" i="3"/>
  <c r="BG4" i="3"/>
  <c r="E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AG5" i="3"/>
  <c r="AH5" i="3"/>
  <c r="AI5" i="3"/>
  <c r="AJ5" i="3"/>
  <c r="AK5" i="3"/>
  <c r="AL5" i="3"/>
  <c r="DN5" i="3" s="1"/>
  <c r="AM5" i="3"/>
  <c r="AN5" i="3"/>
  <c r="AO5" i="3"/>
  <c r="AP5" i="3"/>
  <c r="AQ5" i="3"/>
  <c r="AR5" i="3"/>
  <c r="AS5" i="3"/>
  <c r="AT5" i="3"/>
  <c r="AU5" i="3"/>
  <c r="AV5" i="3"/>
  <c r="AW5" i="3"/>
  <c r="AX5" i="3"/>
  <c r="AY5" i="3"/>
  <c r="AZ5" i="3"/>
  <c r="BA5" i="3"/>
  <c r="BB5" i="3"/>
  <c r="BC5" i="3"/>
  <c r="BD5" i="3"/>
  <c r="BE5" i="3"/>
  <c r="BF5" i="3"/>
  <c r="BG5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AG6" i="3"/>
  <c r="AH6" i="3"/>
  <c r="AI6" i="3"/>
  <c r="AJ6" i="3"/>
  <c r="AK6" i="3"/>
  <c r="AL6" i="3"/>
  <c r="DN6" i="3" s="1"/>
  <c r="AM6" i="3"/>
  <c r="AN6" i="3"/>
  <c r="AO6" i="3"/>
  <c r="AP6" i="3"/>
  <c r="AQ6" i="3"/>
  <c r="AR6" i="3"/>
  <c r="AS6" i="3"/>
  <c r="AT6" i="3"/>
  <c r="AU6" i="3"/>
  <c r="AV6" i="3"/>
  <c r="AW6" i="3"/>
  <c r="AX6" i="3"/>
  <c r="AY6" i="3"/>
  <c r="AZ6" i="3"/>
  <c r="BA6" i="3"/>
  <c r="BB6" i="3"/>
  <c r="BC6" i="3"/>
  <c r="BD6" i="3"/>
  <c r="BE6" i="3"/>
  <c r="BF6" i="3"/>
  <c r="BG6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DN7" i="3" s="1"/>
  <c r="AM7" i="3"/>
  <c r="AN7" i="3"/>
  <c r="AO7" i="3"/>
  <c r="AP7" i="3"/>
  <c r="AQ7" i="3"/>
  <c r="AR7" i="3"/>
  <c r="AS7" i="3"/>
  <c r="AT7" i="3"/>
  <c r="AU7" i="3"/>
  <c r="AV7" i="3"/>
  <c r="AW7" i="3"/>
  <c r="AX7" i="3"/>
  <c r="AY7" i="3"/>
  <c r="AZ7" i="3"/>
  <c r="BA7" i="3"/>
  <c r="BB7" i="3"/>
  <c r="BC7" i="3"/>
  <c r="BD7" i="3"/>
  <c r="BE7" i="3"/>
  <c r="BF7" i="3"/>
  <c r="BG7" i="3"/>
  <c r="D93" i="3"/>
  <c r="BH93" i="3" s="1"/>
  <c r="D92" i="3"/>
  <c r="D89" i="3"/>
  <c r="BH89" i="3" s="1"/>
  <c r="D90" i="3"/>
  <c r="BH90" i="3" s="1"/>
  <c r="D88" i="3"/>
  <c r="BH10" i="3"/>
  <c r="BH11" i="3"/>
  <c r="BH12" i="3"/>
  <c r="BH13" i="3"/>
  <c r="BH14" i="3"/>
  <c r="BH15" i="3"/>
  <c r="BH16" i="3"/>
  <c r="BH17" i="3"/>
  <c r="BH18" i="3"/>
  <c r="BH19" i="3"/>
  <c r="BH20" i="3"/>
  <c r="BH21" i="3"/>
  <c r="BH22" i="3"/>
  <c r="BH23" i="3"/>
  <c r="BH24" i="3"/>
  <c r="BH25" i="3"/>
  <c r="BH26" i="3"/>
  <c r="BH27" i="3"/>
  <c r="BH28" i="3"/>
  <c r="BH29" i="3"/>
  <c r="BH30" i="3"/>
  <c r="BH31" i="3"/>
  <c r="BH32" i="3"/>
  <c r="BH33" i="3"/>
  <c r="BH34" i="3"/>
  <c r="BH35" i="3"/>
  <c r="BH36" i="3"/>
  <c r="BH37" i="3"/>
  <c r="BH38" i="3"/>
  <c r="BH39" i="3"/>
  <c r="BH40" i="3"/>
  <c r="BH41" i="3"/>
  <c r="BH42" i="3"/>
  <c r="BH43" i="3"/>
  <c r="BH44" i="3"/>
  <c r="BH45" i="3"/>
  <c r="BH46" i="3"/>
  <c r="BH47" i="3"/>
  <c r="BH48" i="3"/>
  <c r="BH49" i="3"/>
  <c r="BH50" i="3"/>
  <c r="BH51" i="3"/>
  <c r="BH53" i="3"/>
  <c r="BH54" i="3"/>
  <c r="BH55" i="3"/>
  <c r="BH56" i="3"/>
  <c r="BH57" i="3"/>
  <c r="BH58" i="3"/>
  <c r="BH59" i="3"/>
  <c r="BH60" i="3"/>
  <c r="BH61" i="3"/>
  <c r="BH62" i="3"/>
  <c r="BH63" i="3"/>
  <c r="BH64" i="3"/>
  <c r="BH65" i="3"/>
  <c r="BH66" i="3"/>
  <c r="BH67" i="3"/>
  <c r="BH68" i="3"/>
  <c r="BH69" i="3"/>
  <c r="BH70" i="3"/>
  <c r="BH71" i="3"/>
  <c r="BH72" i="3"/>
  <c r="BH73" i="3"/>
  <c r="BH74" i="3"/>
  <c r="BH75" i="3"/>
  <c r="BH76" i="3"/>
  <c r="BH77" i="3"/>
  <c r="BH78" i="3"/>
  <c r="BH79" i="3"/>
  <c r="D9" i="3"/>
  <c r="D4" i="3"/>
  <c r="D96" i="3" s="1"/>
  <c r="CE6" i="3" l="1"/>
  <c r="AO96" i="3"/>
  <c r="AT97" i="3"/>
  <c r="AS97" i="3"/>
  <c r="BH88" i="3"/>
  <c r="D99" i="3"/>
  <c r="BH9" i="3"/>
  <c r="D97" i="3"/>
  <c r="BH92" i="3"/>
  <c r="D100" i="3"/>
  <c r="AT96" i="3"/>
  <c r="AR97" i="3"/>
  <c r="AS96" i="3"/>
  <c r="AQ97" i="3"/>
  <c r="AR96" i="3"/>
  <c r="AP97" i="3"/>
  <c r="AQ96" i="3"/>
  <c r="AQ101" i="3" s="1"/>
  <c r="AQ105" i="3" s="1"/>
  <c r="AO97" i="3"/>
  <c r="AP96" i="3"/>
  <c r="BH7" i="3"/>
  <c r="BN6" i="3"/>
  <c r="BI6" i="3"/>
  <c r="BH4" i="3"/>
  <c r="BH5" i="3"/>
  <c r="BH6" i="3"/>
  <c r="CD9" i="3" l="1"/>
  <c r="AP101" i="3"/>
  <c r="AP105" i="3" s="1"/>
  <c r="AS101" i="3"/>
  <c r="AS105" i="3" s="1"/>
  <c r="AT101" i="3"/>
  <c r="AT105" i="3" s="1"/>
  <c r="AR101" i="3"/>
  <c r="AR105" i="3" s="1"/>
  <c r="AO101" i="3"/>
  <c r="AO105" i="3" s="1"/>
  <c r="EB73" i="3" l="1"/>
  <c r="CQ5" i="3"/>
  <c r="CU5" i="3"/>
  <c r="CY5" i="3"/>
  <c r="DF5" i="3"/>
  <c r="EB5" i="3"/>
  <c r="DH5" i="3"/>
  <c r="DK5" i="3"/>
  <c r="DR5" i="3"/>
  <c r="DU5" i="3"/>
  <c r="DZ5" i="3"/>
  <c r="DX5" i="3"/>
  <c r="CQ6" i="3"/>
  <c r="CU6" i="3"/>
  <c r="CY6" i="3"/>
  <c r="DF6" i="3"/>
  <c r="EB6" i="3"/>
  <c r="DH6" i="3"/>
  <c r="DK6" i="3"/>
  <c r="DR6" i="3"/>
  <c r="DU6" i="3"/>
  <c r="DZ6" i="3"/>
  <c r="DX6" i="3"/>
  <c r="CQ7" i="3"/>
  <c r="CU7" i="3"/>
  <c r="CY7" i="3"/>
  <c r="DF7" i="3"/>
  <c r="EB7" i="3"/>
  <c r="DH7" i="3"/>
  <c r="DK7" i="3"/>
  <c r="DR7" i="3"/>
  <c r="DU7" i="3"/>
  <c r="DZ7" i="3"/>
  <c r="DX7" i="3"/>
  <c r="BS5" i="3"/>
  <c r="BU5" i="3"/>
  <c r="BW5" i="3"/>
  <c r="BY5" i="3"/>
  <c r="CA5" i="3"/>
  <c r="CC5" i="3"/>
  <c r="CG5" i="3"/>
  <c r="CI5" i="3"/>
  <c r="BS6" i="3"/>
  <c r="BU6" i="3"/>
  <c r="BW6" i="3"/>
  <c r="BY6" i="3"/>
  <c r="CA6" i="3"/>
  <c r="CC6" i="3"/>
  <c r="CG6" i="3"/>
  <c r="CI6" i="3"/>
  <c r="BS7" i="3"/>
  <c r="BU7" i="3"/>
  <c r="BW7" i="3"/>
  <c r="BY7" i="3"/>
  <c r="CA7" i="3"/>
  <c r="CC7" i="3"/>
  <c r="CG7" i="3"/>
  <c r="CI7" i="3"/>
  <c r="BQ5" i="3"/>
  <c r="BQ7" i="3"/>
  <c r="BN10" i="3" l="1"/>
  <c r="D87" i="3"/>
  <c r="BI9" i="3"/>
  <c r="BI23" i="3"/>
  <c r="DC6" i="3"/>
  <c r="CM6" i="3"/>
  <c r="CE7" i="3"/>
  <c r="BQ6" i="3"/>
  <c r="CE5" i="3"/>
  <c r="DC7" i="3"/>
  <c r="CM7" i="3"/>
  <c r="DC5" i="3"/>
  <c r="CM5" i="3"/>
  <c r="CJ10" i="3" l="1"/>
  <c r="E96" i="3"/>
  <c r="E97" i="3"/>
  <c r="E99" i="3"/>
  <c r="E94" i="3"/>
  <c r="E100" i="3"/>
  <c r="E98" i="3"/>
  <c r="E91" i="3"/>
  <c r="E87" i="3"/>
  <c r="E101" i="3" l="1"/>
  <c r="E105" i="3" s="1"/>
  <c r="G80" i="3" l="1"/>
  <c r="BW9" i="3"/>
  <c r="BN9" i="3"/>
  <c r="CN9" i="3" l="1"/>
  <c r="CJ9" i="3"/>
  <c r="DO9" i="3"/>
  <c r="DL9" i="3"/>
  <c r="DI9" i="3"/>
  <c r="DD9" i="3"/>
  <c r="CZ9" i="3"/>
  <c r="CV9" i="3"/>
  <c r="DV9" i="3"/>
  <c r="CR9" i="3"/>
  <c r="DS9" i="3"/>
  <c r="EA9" i="3"/>
  <c r="DB9" i="3"/>
  <c r="DT9" i="3"/>
  <c r="CL9" i="3"/>
  <c r="DJ9" i="3"/>
  <c r="DE9" i="3"/>
  <c r="DM9" i="3"/>
  <c r="CT9" i="3"/>
  <c r="CP9" i="3"/>
  <c r="CX9" i="3"/>
  <c r="DW9" i="3"/>
  <c r="DQ9" i="3"/>
  <c r="DY9" i="3"/>
  <c r="CC9" i="3"/>
  <c r="BU9" i="3"/>
  <c r="DX9" i="3"/>
  <c r="DH9" i="3"/>
  <c r="DG9" i="3"/>
  <c r="CY9" i="3"/>
  <c r="CQ9" i="3"/>
  <c r="CI9" i="3"/>
  <c r="CA9" i="3"/>
  <c r="BS9" i="3"/>
  <c r="DN9" i="3"/>
  <c r="DF9" i="3"/>
  <c r="DZ9" i="3"/>
  <c r="DR9" i="3"/>
  <c r="CG9" i="3"/>
  <c r="BY9" i="3"/>
  <c r="BQ9" i="3"/>
  <c r="DK9" i="3"/>
  <c r="DC9" i="3"/>
  <c r="CU9" i="3"/>
  <c r="CM9" i="3"/>
  <c r="CE9" i="3"/>
  <c r="EB9" i="3"/>
  <c r="EB93" i="3"/>
  <c r="EB92" i="3"/>
  <c r="EB89" i="3"/>
  <c r="EB90" i="3"/>
  <c r="EB88" i="3"/>
  <c r="EB82" i="3"/>
  <c r="EB83" i="3"/>
  <c r="EB84" i="3"/>
  <c r="EB85" i="3"/>
  <c r="EB86" i="3"/>
  <c r="EB81" i="3"/>
  <c r="EB32" i="3"/>
  <c r="EB33" i="3"/>
  <c r="EB34" i="3"/>
  <c r="EB35" i="3"/>
  <c r="EB36" i="3"/>
  <c r="EB37" i="3"/>
  <c r="EB38" i="3"/>
  <c r="EB39" i="3"/>
  <c r="EB40" i="3"/>
  <c r="EB41" i="3"/>
  <c r="EB42" i="3"/>
  <c r="EB43" i="3"/>
  <c r="EB44" i="3"/>
  <c r="EB45" i="3"/>
  <c r="EB46" i="3"/>
  <c r="EB47" i="3"/>
  <c r="EB48" i="3"/>
  <c r="EB49" i="3"/>
  <c r="EB50" i="3"/>
  <c r="EB51" i="3"/>
  <c r="EB53" i="3"/>
  <c r="EB54" i="3"/>
  <c r="EB55" i="3"/>
  <c r="EB56" i="3"/>
  <c r="EB57" i="3"/>
  <c r="EB58" i="3"/>
  <c r="EB59" i="3"/>
  <c r="EB60" i="3"/>
  <c r="EB61" i="3"/>
  <c r="EB62" i="3"/>
  <c r="EB63" i="3"/>
  <c r="EB64" i="3"/>
  <c r="EB65" i="3"/>
  <c r="EB66" i="3"/>
  <c r="EB67" i="3"/>
  <c r="EB68" i="3"/>
  <c r="EB69" i="3"/>
  <c r="EB70" i="3"/>
  <c r="EB71" i="3"/>
  <c r="EB72" i="3"/>
  <c r="EB74" i="3"/>
  <c r="EB75" i="3"/>
  <c r="EB76" i="3"/>
  <c r="EB77" i="3"/>
  <c r="EB78" i="3"/>
  <c r="EB79" i="3"/>
  <c r="EB25" i="3"/>
  <c r="EB26" i="3"/>
  <c r="EB27" i="3"/>
  <c r="EB28" i="3"/>
  <c r="EB29" i="3"/>
  <c r="EB30" i="3"/>
  <c r="EB31" i="3"/>
  <c r="EB10" i="3"/>
  <c r="EB11" i="3"/>
  <c r="EB12" i="3"/>
  <c r="EB13" i="3"/>
  <c r="EB14" i="3"/>
  <c r="EB15" i="3"/>
  <c r="EB16" i="3"/>
  <c r="EB17" i="3"/>
  <c r="EB18" i="3"/>
  <c r="EB19" i="3"/>
  <c r="EB20" i="3"/>
  <c r="EB21" i="3"/>
  <c r="EB22" i="3"/>
  <c r="EB23" i="3"/>
  <c r="EB24" i="3"/>
  <c r="DZ4" i="3" l="1"/>
  <c r="DU4" i="3"/>
  <c r="DR4" i="3"/>
  <c r="DK4" i="3"/>
  <c r="DH4" i="3"/>
  <c r="DF4" i="3"/>
  <c r="CU4" i="3"/>
  <c r="CQ4" i="3"/>
  <c r="CI4" i="3"/>
  <c r="EB4" i="3" l="1"/>
  <c r="EB8" i="3" s="1"/>
  <c r="G74" i="14" s="1"/>
  <c r="BN59" i="3"/>
  <c r="BN35" i="3"/>
  <c r="BN20" i="3"/>
  <c r="EB80" i="3"/>
  <c r="H74" i="14" s="1"/>
  <c r="EB94" i="3"/>
  <c r="K74" i="14" s="1"/>
  <c r="BN81" i="3"/>
  <c r="BN77" i="3"/>
  <c r="BN69" i="3"/>
  <c r="BN61" i="3"/>
  <c r="BN54" i="3"/>
  <c r="BN45" i="3"/>
  <c r="BN37" i="3"/>
  <c r="BN22" i="3"/>
  <c r="BN15" i="3"/>
  <c r="BN86" i="3"/>
  <c r="BN92" i="3"/>
  <c r="BN51" i="3"/>
  <c r="BN84" i="3"/>
  <c r="EB87" i="3"/>
  <c r="I74" i="14" s="1"/>
  <c r="BN75" i="3"/>
  <c r="BN43" i="3"/>
  <c r="BN13" i="3"/>
  <c r="BN67" i="3"/>
  <c r="BN28" i="3"/>
  <c r="BN73" i="3"/>
  <c r="BN65" i="3"/>
  <c r="BN57" i="3"/>
  <c r="BN49" i="3"/>
  <c r="BN41" i="3"/>
  <c r="BN33" i="3"/>
  <c r="BN26" i="3"/>
  <c r="BN18" i="3"/>
  <c r="BN11" i="3"/>
  <c r="BN82" i="3"/>
  <c r="DS6" i="3"/>
  <c r="DC4" i="3"/>
  <c r="EB91" i="3"/>
  <c r="J74" i="14" s="1"/>
  <c r="CM4" i="3"/>
  <c r="BN4" i="3"/>
  <c r="BN74" i="3"/>
  <c r="BN66" i="3"/>
  <c r="BN58" i="3"/>
  <c r="BN50" i="3"/>
  <c r="BN42" i="3"/>
  <c r="BN34" i="3"/>
  <c r="BN27" i="3"/>
  <c r="BN19" i="3"/>
  <c r="BN12" i="3"/>
  <c r="BN83" i="3"/>
  <c r="BN5" i="3"/>
  <c r="BN64" i="3"/>
  <c r="BN48" i="3"/>
  <c r="BN25" i="3"/>
  <c r="BN56" i="3"/>
  <c r="BN40" i="3"/>
  <c r="BN32" i="3"/>
  <c r="BN17" i="3"/>
  <c r="BN88" i="3"/>
  <c r="BN79" i="3"/>
  <c r="BN71" i="3"/>
  <c r="BN63" i="3"/>
  <c r="BN55" i="3"/>
  <c r="BN47" i="3"/>
  <c r="BN39" i="3"/>
  <c r="BN31" i="3"/>
  <c r="BN24" i="3"/>
  <c r="BN90" i="3"/>
  <c r="BN72" i="3"/>
  <c r="BN78" i="3"/>
  <c r="BN70" i="3"/>
  <c r="BN62" i="3"/>
  <c r="BN46" i="3"/>
  <c r="BN38" i="3"/>
  <c r="BN30" i="3"/>
  <c r="BN23" i="3"/>
  <c r="BN16" i="3"/>
  <c r="BN89" i="3"/>
  <c r="CB5" i="3"/>
  <c r="BN7" i="3"/>
  <c r="BN76" i="3"/>
  <c r="BN68" i="3"/>
  <c r="BN60" i="3"/>
  <c r="BN53" i="3"/>
  <c r="BN44" i="3"/>
  <c r="BN36" i="3"/>
  <c r="BN29" i="3"/>
  <c r="BN21" i="3"/>
  <c r="BN14" i="3"/>
  <c r="BN85" i="3"/>
  <c r="BN93" i="3"/>
  <c r="BI5" i="3"/>
  <c r="BP6" i="3"/>
  <c r="EA5" i="3" l="1"/>
  <c r="DD5" i="3"/>
  <c r="CJ6" i="3"/>
  <c r="CR5" i="3"/>
  <c r="CJ5" i="3"/>
  <c r="DV5" i="3"/>
  <c r="CV5" i="3"/>
  <c r="EB100" i="3"/>
  <c r="EB99" i="3"/>
  <c r="EB98" i="3"/>
  <c r="EB97" i="3"/>
  <c r="EB96" i="3"/>
  <c r="DQ6" i="3"/>
  <c r="EA6" i="3"/>
  <c r="DP6" i="3"/>
  <c r="BV6" i="3"/>
  <c r="CH6" i="3"/>
  <c r="CB6" i="3"/>
  <c r="CS6" i="3"/>
  <c r="CH5" i="3"/>
  <c r="BV5" i="3"/>
  <c r="DA5" i="3"/>
  <c r="BX6" i="3"/>
  <c r="CD6" i="3"/>
  <c r="CS5" i="3"/>
  <c r="CZ6" i="3"/>
  <c r="DD6" i="3"/>
  <c r="CR6" i="3"/>
  <c r="CO6" i="3"/>
  <c r="CN6" i="3"/>
  <c r="CV6" i="3"/>
  <c r="DV6" i="3"/>
  <c r="DI6" i="3"/>
  <c r="DO6" i="3"/>
  <c r="DL6" i="3"/>
  <c r="CK5" i="3"/>
  <c r="BR5" i="3"/>
  <c r="BJ5" i="3"/>
  <c r="BL5" i="3" s="1"/>
  <c r="BX5" i="3"/>
  <c r="BT5" i="3"/>
  <c r="CD5" i="3"/>
  <c r="BZ5" i="3"/>
  <c r="BP5" i="3"/>
  <c r="DP5" i="3"/>
  <c r="CW5" i="3"/>
  <c r="CF5" i="3"/>
  <c r="DL5" i="3"/>
  <c r="DS5" i="3"/>
  <c r="CN5" i="3"/>
  <c r="CF6" i="3"/>
  <c r="DI5" i="3"/>
  <c r="CZ5" i="3"/>
  <c r="CO5" i="3"/>
  <c r="DO5" i="3"/>
  <c r="CL5" i="3"/>
  <c r="DB5" i="3"/>
  <c r="DQ5" i="3"/>
  <c r="CX5" i="3"/>
  <c r="DJ5" i="3"/>
  <c r="DE5" i="3"/>
  <c r="CK6" i="3"/>
  <c r="CT5" i="3"/>
  <c r="DY5" i="3"/>
  <c r="DM5" i="3"/>
  <c r="CP5" i="3"/>
  <c r="DG5" i="3"/>
  <c r="BR6" i="3"/>
  <c r="CW6" i="3"/>
  <c r="BZ6" i="3"/>
  <c r="DW5" i="3"/>
  <c r="DT5" i="3"/>
  <c r="DA6" i="3"/>
  <c r="BT6" i="3"/>
  <c r="CX6" i="3"/>
  <c r="DT6" i="3"/>
  <c r="DJ6" i="3"/>
  <c r="DB6" i="3"/>
  <c r="BJ6" i="3"/>
  <c r="BL6" i="3" s="1"/>
  <c r="CT6" i="3"/>
  <c r="CL6" i="3"/>
  <c r="DW6" i="3"/>
  <c r="DM6" i="3"/>
  <c r="DG6" i="3"/>
  <c r="DE6" i="3"/>
  <c r="DY6" i="3"/>
  <c r="CP6" i="3"/>
  <c r="D2" i="14" l="1"/>
  <c r="D96" i="14" s="1"/>
  <c r="E2" i="14"/>
  <c r="E96" i="14" s="1"/>
  <c r="F2" i="14"/>
  <c r="F96" i="14" s="1"/>
  <c r="BU84" i="3"/>
  <c r="BU20" i="3"/>
  <c r="BY28" i="3"/>
  <c r="BQ35" i="3"/>
  <c r="CC43" i="3"/>
  <c r="CA58" i="3"/>
  <c r="CI66" i="3"/>
  <c r="BY74" i="3"/>
  <c r="DV59" i="3"/>
  <c r="CJ84" i="3"/>
  <c r="BK98" i="3"/>
  <c r="BG98" i="3"/>
  <c r="BG80" i="3"/>
  <c r="BF98" i="3"/>
  <c r="BE87" i="3"/>
  <c r="BD98" i="3"/>
  <c r="BC98" i="3"/>
  <c r="BB94" i="3"/>
  <c r="BB98" i="3"/>
  <c r="BA94" i="3"/>
  <c r="DX90" i="3"/>
  <c r="DV86" i="3"/>
  <c r="DX15" i="3"/>
  <c r="DX22" i="3"/>
  <c r="DV23" i="3"/>
  <c r="DV24" i="3"/>
  <c r="DV30" i="3"/>
  <c r="DV37" i="3"/>
  <c r="DX38" i="3"/>
  <c r="DX39" i="3"/>
  <c r="DX45" i="3"/>
  <c r="DV47" i="3"/>
  <c r="DV54" i="3"/>
  <c r="DX55" i="3"/>
  <c r="DV58" i="3"/>
  <c r="DV60" i="3"/>
  <c r="DX62" i="3"/>
  <c r="DX68" i="3"/>
  <c r="DX76" i="3"/>
  <c r="DX77" i="3"/>
  <c r="DX78" i="3"/>
  <c r="AZ98" i="3"/>
  <c r="DZ90" i="3"/>
  <c r="DZ10" i="3"/>
  <c r="DZ17" i="3"/>
  <c r="DZ19" i="3"/>
  <c r="DZ23" i="3"/>
  <c r="DZ24" i="3"/>
  <c r="DZ30" i="3"/>
  <c r="DZ31" i="3"/>
  <c r="DZ38" i="3"/>
  <c r="DZ39" i="3"/>
  <c r="DZ40" i="3"/>
  <c r="DZ46" i="3"/>
  <c r="DZ47" i="3"/>
  <c r="DZ48" i="3"/>
  <c r="DZ55" i="3"/>
  <c r="DZ56" i="3"/>
  <c r="DZ61" i="3"/>
  <c r="DZ62" i="3"/>
  <c r="DZ69" i="3"/>
  <c r="DZ70" i="3"/>
  <c r="DZ71" i="3"/>
  <c r="DZ73" i="3"/>
  <c r="DZ77" i="3"/>
  <c r="DZ78" i="3"/>
  <c r="DZ79" i="3"/>
  <c r="AX100" i="3"/>
  <c r="AX99" i="3"/>
  <c r="DS83" i="3"/>
  <c r="DS81" i="3"/>
  <c r="DS12" i="3"/>
  <c r="DS19" i="3"/>
  <c r="DS20" i="3"/>
  <c r="DS24" i="3"/>
  <c r="DU27" i="3"/>
  <c r="DS31" i="3"/>
  <c r="DU34" i="3"/>
  <c r="DS35" i="3"/>
  <c r="DS37" i="3"/>
  <c r="DU41" i="3"/>
  <c r="DS42" i="3"/>
  <c r="DS49" i="3"/>
  <c r="DS50" i="3"/>
  <c r="DS51" i="3"/>
  <c r="DU57" i="3"/>
  <c r="DU64" i="3"/>
  <c r="DS65" i="3"/>
  <c r="DS66" i="3"/>
  <c r="DU72" i="3"/>
  <c r="DU73" i="3"/>
  <c r="DS7" i="3"/>
  <c r="AU8" i="3"/>
  <c r="AN98" i="3"/>
  <c r="AM94" i="3"/>
  <c r="DR86" i="3"/>
  <c r="DO81" i="3"/>
  <c r="DR15" i="3"/>
  <c r="DO22" i="3"/>
  <c r="DO23" i="3"/>
  <c r="DO27" i="3"/>
  <c r="DO30" i="3"/>
  <c r="DO37" i="3"/>
  <c r="DO38" i="3"/>
  <c r="DO45" i="3"/>
  <c r="DO46" i="3"/>
  <c r="DO54" i="3"/>
  <c r="DO60" i="3"/>
  <c r="DR68" i="3"/>
  <c r="DO69" i="3"/>
  <c r="DO76" i="3"/>
  <c r="DO77" i="3"/>
  <c r="DO4" i="3"/>
  <c r="DN89" i="3"/>
  <c r="DL81" i="3"/>
  <c r="F79" i="14" s="1"/>
  <c r="DN11" i="3"/>
  <c r="DL16" i="3"/>
  <c r="DN17" i="3"/>
  <c r="DN21" i="3"/>
  <c r="DN23" i="3"/>
  <c r="DN30" i="3"/>
  <c r="DN32" i="3"/>
  <c r="DN38" i="3"/>
  <c r="DN46" i="3"/>
  <c r="DN48" i="3"/>
  <c r="DL54" i="3"/>
  <c r="DN56" i="3"/>
  <c r="DL60" i="3"/>
  <c r="DL61" i="3"/>
  <c r="DL68" i="3"/>
  <c r="DN69" i="3"/>
  <c r="DN70" i="3"/>
  <c r="DL77" i="3"/>
  <c r="DN78" i="3"/>
  <c r="DI88" i="3"/>
  <c r="DI82" i="3"/>
  <c r="DK10" i="3"/>
  <c r="DK11" i="3"/>
  <c r="DI15" i="3"/>
  <c r="DI17" i="3"/>
  <c r="DK25" i="3"/>
  <c r="DK26" i="3"/>
  <c r="DK27" i="3"/>
  <c r="DI31" i="3"/>
  <c r="DI32" i="3"/>
  <c r="DK40" i="3"/>
  <c r="DI42" i="3"/>
  <c r="DK48" i="3"/>
  <c r="DI50" i="3"/>
  <c r="DI56" i="3"/>
  <c r="DK63" i="3"/>
  <c r="DK68" i="3"/>
  <c r="DI71" i="3"/>
  <c r="DI72" i="3"/>
  <c r="DK79" i="3"/>
  <c r="DH83" i="3"/>
  <c r="DH11" i="3"/>
  <c r="DH12" i="3"/>
  <c r="DH18" i="3"/>
  <c r="DH19" i="3"/>
  <c r="DH27" i="3"/>
  <c r="DH33" i="3"/>
  <c r="DH34" i="3"/>
  <c r="DH36" i="3"/>
  <c r="DH42" i="3"/>
  <c r="DH49" i="3"/>
  <c r="DH57" i="3"/>
  <c r="DH64" i="3"/>
  <c r="DH65" i="3"/>
  <c r="DH72" i="3"/>
  <c r="DH73" i="3"/>
  <c r="AG8" i="3"/>
  <c r="DF93" i="3"/>
  <c r="DF85" i="3"/>
  <c r="DF86" i="3"/>
  <c r="DF81" i="3"/>
  <c r="DF15" i="3"/>
  <c r="DF18" i="3"/>
  <c r="DD21" i="3"/>
  <c r="DF26" i="3"/>
  <c r="DD29" i="3"/>
  <c r="DD31" i="3"/>
  <c r="DD36" i="3"/>
  <c r="DD39" i="3"/>
  <c r="DD43" i="3"/>
  <c r="DF44" i="3"/>
  <c r="DF45" i="3"/>
  <c r="DF48" i="3"/>
  <c r="DD51" i="3"/>
  <c r="DD53" i="3"/>
  <c r="DD56" i="3"/>
  <c r="DD58" i="3"/>
  <c r="DD59" i="3"/>
  <c r="DF67" i="3"/>
  <c r="DF75" i="3"/>
  <c r="DD7" i="3"/>
  <c r="AE94" i="3"/>
  <c r="CZ18" i="3"/>
  <c r="BI64" i="3"/>
  <c r="DC12" i="3"/>
  <c r="CV82" i="3"/>
  <c r="CY84" i="3"/>
  <c r="CY13" i="3"/>
  <c r="CV15" i="3"/>
  <c r="CV20" i="3"/>
  <c r="CV21" i="3"/>
  <c r="CV24" i="3"/>
  <c r="CY27" i="3"/>
  <c r="CY30" i="3"/>
  <c r="CV31" i="3"/>
  <c r="CV34" i="3"/>
  <c r="CV35" i="3"/>
  <c r="CV38" i="3"/>
  <c r="CV42" i="3"/>
  <c r="CV43" i="3"/>
  <c r="CV45" i="3"/>
  <c r="CV54" i="3"/>
  <c r="CY58" i="3"/>
  <c r="CV63" i="3"/>
  <c r="CY64" i="3"/>
  <c r="CV67" i="3"/>
  <c r="CV68" i="3"/>
  <c r="CV74" i="3"/>
  <c r="CV75" i="3"/>
  <c r="CY79" i="3"/>
  <c r="CY4" i="3"/>
  <c r="CU93" i="3"/>
  <c r="CR85" i="3"/>
  <c r="CR13" i="3"/>
  <c r="CR18" i="3"/>
  <c r="CR20" i="3"/>
  <c r="CR23" i="3"/>
  <c r="CR24" i="3"/>
  <c r="CR30" i="3"/>
  <c r="CR34" i="3"/>
  <c r="CR38" i="3"/>
  <c r="CR42" i="3"/>
  <c r="CR44" i="3"/>
  <c r="CR46" i="3"/>
  <c r="CR50" i="3"/>
  <c r="CR51" i="3"/>
  <c r="DC53" i="3"/>
  <c r="CR57" i="3"/>
  <c r="CU59" i="3"/>
  <c r="CR61" i="3"/>
  <c r="CR65" i="3"/>
  <c r="CU67" i="3"/>
  <c r="CU68" i="3"/>
  <c r="CR74" i="3"/>
  <c r="CR4" i="3"/>
  <c r="CQ92" i="3"/>
  <c r="W98" i="3"/>
  <c r="CQ14" i="3"/>
  <c r="CN15" i="3"/>
  <c r="CN18" i="3"/>
  <c r="CN22" i="3"/>
  <c r="CN24" i="3"/>
  <c r="CQ29" i="3"/>
  <c r="CN32" i="3"/>
  <c r="CQ36" i="3"/>
  <c r="CN37" i="3"/>
  <c r="CQ60" i="3"/>
  <c r="DC68" i="3"/>
  <c r="CQ69" i="3"/>
  <c r="DC76" i="3"/>
  <c r="CN4" i="3"/>
  <c r="CZ81" i="3"/>
  <c r="CJ16" i="3"/>
  <c r="DC30" i="3"/>
  <c r="CM46" i="3"/>
  <c r="CJ61" i="3"/>
  <c r="CM77" i="3"/>
  <c r="CM93" i="3"/>
  <c r="CJ90" i="3"/>
  <c r="CJ39" i="3"/>
  <c r="CJ47" i="3"/>
  <c r="CM53" i="3"/>
  <c r="CJ70" i="3"/>
  <c r="CM78" i="3"/>
  <c r="T96" i="3"/>
  <c r="CI89" i="3"/>
  <c r="CI12" i="3"/>
  <c r="CI14" i="3"/>
  <c r="CI16" i="3"/>
  <c r="CI19" i="3"/>
  <c r="CI23" i="3"/>
  <c r="CI25" i="3"/>
  <c r="CI27" i="3"/>
  <c r="CI30" i="3"/>
  <c r="CI32" i="3"/>
  <c r="CI33" i="3"/>
  <c r="CI34" i="3"/>
  <c r="CI35" i="3"/>
  <c r="CI38" i="3"/>
  <c r="CI39" i="3"/>
  <c r="CI40" i="3"/>
  <c r="CI42" i="3"/>
  <c r="CI46" i="3"/>
  <c r="CI47" i="3"/>
  <c r="CI48" i="3"/>
  <c r="CI50" i="3"/>
  <c r="CI54" i="3"/>
  <c r="CI56" i="3"/>
  <c r="CI57" i="3"/>
  <c r="CI60" i="3"/>
  <c r="CI61" i="3"/>
  <c r="CI64" i="3"/>
  <c r="CI65" i="3"/>
  <c r="CI68" i="3"/>
  <c r="CI69" i="3"/>
  <c r="CI72" i="3"/>
  <c r="CI73" i="3"/>
  <c r="CI76" i="3"/>
  <c r="P94" i="3"/>
  <c r="CG82" i="3"/>
  <c r="CG11" i="3"/>
  <c r="CG12" i="3"/>
  <c r="CG16" i="3"/>
  <c r="CG18" i="3"/>
  <c r="CG19" i="3"/>
  <c r="CG21" i="3"/>
  <c r="CG24" i="3"/>
  <c r="CG26" i="3"/>
  <c r="CG27" i="3"/>
  <c r="CG29" i="3"/>
  <c r="CG30" i="3"/>
  <c r="CG31" i="3"/>
  <c r="CG32" i="3"/>
  <c r="CG33" i="3"/>
  <c r="CG37" i="3"/>
  <c r="CG39" i="3"/>
  <c r="CG40" i="3"/>
  <c r="CG41" i="3"/>
  <c r="CG44" i="3"/>
  <c r="CG46" i="3"/>
  <c r="CG47" i="3"/>
  <c r="CG59" i="3"/>
  <c r="CG60" i="3"/>
  <c r="CG62" i="3"/>
  <c r="CG63" i="3"/>
  <c r="CG64" i="3"/>
  <c r="CG67" i="3"/>
  <c r="CG68" i="3"/>
  <c r="CG70" i="3"/>
  <c r="CG71" i="3"/>
  <c r="CG72" i="3"/>
  <c r="CG73" i="3"/>
  <c r="CG76" i="3"/>
  <c r="CG78" i="3"/>
  <c r="CG79" i="3"/>
  <c r="O99" i="3"/>
  <c r="N80" i="3"/>
  <c r="M87" i="3"/>
  <c r="M96" i="3"/>
  <c r="L80" i="3"/>
  <c r="CE17" i="3"/>
  <c r="K94" i="3"/>
  <c r="CE18" i="3"/>
  <c r="CE26" i="3"/>
  <c r="CE27" i="3"/>
  <c r="CE41" i="3"/>
  <c r="CE67" i="3"/>
  <c r="CE73" i="3"/>
  <c r="CC93" i="3"/>
  <c r="CC82" i="3"/>
  <c r="CC83" i="3"/>
  <c r="CC85" i="3"/>
  <c r="CC86" i="3"/>
  <c r="CC10" i="3"/>
  <c r="CC12" i="3"/>
  <c r="CC14" i="3"/>
  <c r="CC15" i="3"/>
  <c r="CC17" i="3"/>
  <c r="CC18" i="3"/>
  <c r="CC19" i="3"/>
  <c r="CC21" i="3"/>
  <c r="CC22" i="3"/>
  <c r="CC27" i="3"/>
  <c r="CC29" i="3"/>
  <c r="CC30" i="3"/>
  <c r="CC31" i="3"/>
  <c r="CC33" i="3"/>
  <c r="CC36" i="3"/>
  <c r="CC37" i="3"/>
  <c r="CC38" i="3"/>
  <c r="CC40" i="3"/>
  <c r="CC41" i="3"/>
  <c r="CC44" i="3"/>
  <c r="CC49" i="3"/>
  <c r="CC53" i="3"/>
  <c r="CC55" i="3"/>
  <c r="CC56" i="3"/>
  <c r="CC59" i="3"/>
  <c r="CC60" i="3"/>
  <c r="CC63" i="3"/>
  <c r="CC65" i="3"/>
  <c r="CC67" i="3"/>
  <c r="CC68" i="3"/>
  <c r="CC70" i="3"/>
  <c r="CC71" i="3"/>
  <c r="CC73" i="3"/>
  <c r="CC75" i="3"/>
  <c r="CC76" i="3"/>
  <c r="CC78" i="3"/>
  <c r="CC79" i="3"/>
  <c r="CA90" i="3"/>
  <c r="CA88" i="3"/>
  <c r="CA82" i="3"/>
  <c r="CA83" i="3"/>
  <c r="I87" i="3"/>
  <c r="CA11" i="3"/>
  <c r="CA12" i="3"/>
  <c r="CA14" i="3"/>
  <c r="CA15" i="3"/>
  <c r="CA16" i="3"/>
  <c r="CA17" i="3"/>
  <c r="CA18" i="3"/>
  <c r="CA21" i="3"/>
  <c r="CA23" i="3"/>
  <c r="CA24" i="3"/>
  <c r="CA27" i="3"/>
  <c r="CA29" i="3"/>
  <c r="CA30" i="3"/>
  <c r="CA31" i="3"/>
  <c r="CA32" i="3"/>
  <c r="CA39" i="3"/>
  <c r="CA42" i="3"/>
  <c r="CA44" i="3"/>
  <c r="CA47" i="3"/>
  <c r="CA50" i="3"/>
  <c r="CA53" i="3"/>
  <c r="CA55" i="3"/>
  <c r="CA56" i="3"/>
  <c r="CA57" i="3"/>
  <c r="CA59" i="3"/>
  <c r="CA62" i="3"/>
  <c r="CA63" i="3"/>
  <c r="CA64" i="3"/>
  <c r="CA67" i="3"/>
  <c r="CA68" i="3"/>
  <c r="CA70" i="3"/>
  <c r="CA71" i="3"/>
  <c r="CA72" i="3"/>
  <c r="BY93" i="3"/>
  <c r="H94" i="3"/>
  <c r="BY83" i="3"/>
  <c r="BY86" i="3"/>
  <c r="BY81" i="3"/>
  <c r="BY12" i="3"/>
  <c r="BY14" i="3"/>
  <c r="BY15" i="3"/>
  <c r="BY17" i="3"/>
  <c r="BY19" i="3"/>
  <c r="BY22" i="3"/>
  <c r="BY24" i="3"/>
  <c r="BY27" i="3"/>
  <c r="BY29" i="3"/>
  <c r="BY30" i="3"/>
  <c r="BY31" i="3"/>
  <c r="BY34" i="3"/>
  <c r="BY36" i="3"/>
  <c r="BY38" i="3"/>
  <c r="BY42" i="3"/>
  <c r="BY44" i="3"/>
  <c r="BY45" i="3"/>
  <c r="BY47" i="3"/>
  <c r="BY50" i="3"/>
  <c r="BY53" i="3"/>
  <c r="BY54" i="3"/>
  <c r="BY56" i="3"/>
  <c r="BY57" i="3"/>
  <c r="BY59" i="3"/>
  <c r="BY60" i="3"/>
  <c r="BY62" i="3"/>
  <c r="BY63" i="3"/>
  <c r="BY65" i="3"/>
  <c r="BY68" i="3"/>
  <c r="BY71" i="3"/>
  <c r="BY73" i="3"/>
  <c r="BY75" i="3"/>
  <c r="BY76" i="3"/>
  <c r="G99" i="3"/>
  <c r="BW82" i="3"/>
  <c r="BW83" i="3"/>
  <c r="BW84" i="3"/>
  <c r="BW86" i="3"/>
  <c r="BW81" i="3"/>
  <c r="BW11" i="3"/>
  <c r="BW12" i="3"/>
  <c r="BW14" i="3"/>
  <c r="BW16" i="3"/>
  <c r="BW18" i="3"/>
  <c r="BW22" i="3"/>
  <c r="BW24" i="3"/>
  <c r="BW27" i="3"/>
  <c r="BW29" i="3"/>
  <c r="BW30" i="3"/>
  <c r="BW32" i="3"/>
  <c r="BW33" i="3"/>
  <c r="BW34" i="3"/>
  <c r="BW37" i="3"/>
  <c r="BW39" i="3"/>
  <c r="BW40" i="3"/>
  <c r="BW41" i="3"/>
  <c r="BW42" i="3"/>
  <c r="BW45" i="3"/>
  <c r="BW47" i="3"/>
  <c r="BW48" i="3"/>
  <c r="BW49" i="3"/>
  <c r="BW50" i="3"/>
  <c r="BW53" i="3"/>
  <c r="BW54" i="3"/>
  <c r="BW55" i="3"/>
  <c r="BW56" i="3"/>
  <c r="BW59" i="3"/>
  <c r="BW60" i="3"/>
  <c r="BW62" i="3"/>
  <c r="BW63" i="3"/>
  <c r="BW64" i="3"/>
  <c r="BW65" i="3"/>
  <c r="BW68" i="3"/>
  <c r="BW69" i="3"/>
  <c r="BW70" i="3"/>
  <c r="BW71" i="3"/>
  <c r="BW72" i="3"/>
  <c r="BW73" i="3"/>
  <c r="BW76" i="3"/>
  <c r="BW77" i="3"/>
  <c r="BW78" i="3"/>
  <c r="BW4" i="3"/>
  <c r="BU82" i="3"/>
  <c r="BU83" i="3"/>
  <c r="BU86" i="3"/>
  <c r="BU81" i="3"/>
  <c r="BU11" i="3"/>
  <c r="BU12" i="3"/>
  <c r="BU17" i="3"/>
  <c r="BU18" i="3"/>
  <c r="BU19" i="3"/>
  <c r="BU21" i="3"/>
  <c r="BU22" i="3"/>
  <c r="BU25" i="3"/>
  <c r="BU26" i="3"/>
  <c r="BU27" i="3"/>
  <c r="BU29" i="3"/>
  <c r="BU30" i="3"/>
  <c r="BU32" i="3"/>
  <c r="BU33" i="3"/>
  <c r="BU37" i="3"/>
  <c r="BU38" i="3"/>
  <c r="BU40" i="3"/>
  <c r="BU44" i="3"/>
  <c r="BU45" i="3"/>
  <c r="BU47" i="3"/>
  <c r="BU48" i="3"/>
  <c r="BU53" i="3"/>
  <c r="BU54" i="3"/>
  <c r="BU55" i="3"/>
  <c r="BU56" i="3"/>
  <c r="BU59" i="3"/>
  <c r="BU60" i="3"/>
  <c r="BU61" i="3"/>
  <c r="BU63" i="3"/>
  <c r="BU65" i="3"/>
  <c r="BU67" i="3"/>
  <c r="BU68" i="3"/>
  <c r="BU69" i="3"/>
  <c r="BU70" i="3"/>
  <c r="BU71" i="3"/>
  <c r="BU73" i="3"/>
  <c r="BU75" i="3"/>
  <c r="BU76" i="3"/>
  <c r="BU77" i="3"/>
  <c r="BS92" i="3"/>
  <c r="BS89" i="3"/>
  <c r="BS88" i="3"/>
  <c r="BS83" i="3"/>
  <c r="BS85" i="3"/>
  <c r="BS86" i="3"/>
  <c r="BS29" i="3"/>
  <c r="BS30" i="3"/>
  <c r="BS34" i="3"/>
  <c r="BS37" i="3"/>
  <c r="BS38" i="3"/>
  <c r="BS39" i="3"/>
  <c r="BS40" i="3"/>
  <c r="BS45" i="3"/>
  <c r="BS46" i="3"/>
  <c r="BS47" i="3"/>
  <c r="BS48" i="3"/>
  <c r="BS49" i="3"/>
  <c r="BS53" i="3"/>
  <c r="BS54" i="3"/>
  <c r="BS56" i="3"/>
  <c r="BS58" i="3"/>
  <c r="BS60" i="3"/>
  <c r="BS61" i="3"/>
  <c r="BS62" i="3"/>
  <c r="BS63" i="3"/>
  <c r="BS64" i="3"/>
  <c r="BS65" i="3"/>
  <c r="BS67" i="3"/>
  <c r="BS69" i="3"/>
  <c r="BS70" i="3"/>
  <c r="BS71" i="3"/>
  <c r="BS75" i="3"/>
  <c r="BS76" i="3"/>
  <c r="BS77" i="3"/>
  <c r="BS78" i="3"/>
  <c r="BS79" i="3"/>
  <c r="BS11" i="3"/>
  <c r="BS12" i="3"/>
  <c r="BS14" i="3"/>
  <c r="BS15" i="3"/>
  <c r="BS16" i="3"/>
  <c r="BS18" i="3"/>
  <c r="BS19" i="3"/>
  <c r="BS21" i="3"/>
  <c r="BS24" i="3"/>
  <c r="BS25" i="3"/>
  <c r="BS26" i="3"/>
  <c r="BQ93" i="3"/>
  <c r="BQ84" i="3"/>
  <c r="BQ85" i="3"/>
  <c r="BQ86" i="3"/>
  <c r="BQ10" i="3"/>
  <c r="BQ11" i="3"/>
  <c r="BQ12" i="3"/>
  <c r="BQ14" i="3"/>
  <c r="BQ15" i="3"/>
  <c r="BQ17" i="3"/>
  <c r="BQ18" i="3"/>
  <c r="BQ19" i="3"/>
  <c r="BQ21" i="3"/>
  <c r="BQ22" i="3"/>
  <c r="BQ23" i="3"/>
  <c r="BQ24" i="3"/>
  <c r="BQ25" i="3"/>
  <c r="BQ26" i="3"/>
  <c r="BQ27" i="3"/>
  <c r="BQ30" i="3"/>
  <c r="BQ31" i="3"/>
  <c r="BQ32" i="3"/>
  <c r="BQ36" i="3"/>
  <c r="BQ39" i="3"/>
  <c r="BQ40" i="3"/>
  <c r="BQ41" i="3"/>
  <c r="BQ45" i="3"/>
  <c r="BQ46" i="3"/>
  <c r="BQ48" i="3"/>
  <c r="BQ49" i="3"/>
  <c r="BQ53" i="3"/>
  <c r="BQ56" i="3"/>
  <c r="BQ62" i="3"/>
  <c r="BQ63" i="3"/>
  <c r="BQ67" i="3"/>
  <c r="BQ68" i="3"/>
  <c r="BQ69" i="3"/>
  <c r="BQ71" i="3"/>
  <c r="BQ72" i="3"/>
  <c r="BQ75" i="3"/>
  <c r="BQ76" i="3"/>
  <c r="BQ77" i="3"/>
  <c r="BQ79" i="3"/>
  <c r="BQ4" i="3"/>
  <c r="DH23" i="3"/>
  <c r="DN84" i="3"/>
  <c r="DD10" i="3"/>
  <c r="DL13" i="3"/>
  <c r="DS14" i="3"/>
  <c r="D88" i="14" s="1"/>
  <c r="CG17" i="3"/>
  <c r="DH17" i="3"/>
  <c r="DL18" i="3"/>
  <c r="DO26" i="3"/>
  <c r="DD28" i="3"/>
  <c r="CU32" i="3"/>
  <c r="CQ33" i="3"/>
  <c r="DL35" i="3"/>
  <c r="CV40" i="3"/>
  <c r="DD46" i="3"/>
  <c r="DS46" i="3"/>
  <c r="CA48" i="3"/>
  <c r="CJ48" i="3"/>
  <c r="CY48" i="3"/>
  <c r="DX49" i="3"/>
  <c r="DV51" i="3"/>
  <c r="DS53" i="3"/>
  <c r="CU54" i="3"/>
  <c r="DL58" i="3"/>
  <c r="DS58" i="3"/>
  <c r="DN58" i="3"/>
  <c r="CU60" i="3"/>
  <c r="DI60" i="3"/>
  <c r="CI63" i="3"/>
  <c r="CV64" i="3"/>
  <c r="DO64" i="3"/>
  <c r="DV65" i="3"/>
  <c r="CN66" i="3"/>
  <c r="CJ71" i="3"/>
  <c r="DV74" i="3"/>
  <c r="DK76" i="3"/>
  <c r="CN77" i="3"/>
  <c r="DF79" i="3"/>
  <c r="DO79" i="3"/>
  <c r="DL83" i="3"/>
  <c r="DI85" i="3"/>
  <c r="DZ85" i="3"/>
  <c r="CN90" i="3"/>
  <c r="DU93" i="3"/>
  <c r="BK94" i="3"/>
  <c r="DV93" i="3"/>
  <c r="C2" i="14"/>
  <c r="C96" i="14" s="1"/>
  <c r="DU82" i="3"/>
  <c r="DX82" i="3"/>
  <c r="DD77" i="3"/>
  <c r="DD65" i="3"/>
  <c r="DL65" i="3"/>
  <c r="DH76" i="3"/>
  <c r="DH68" i="3"/>
  <c r="CQ72" i="3"/>
  <c r="DV56" i="3"/>
  <c r="DO56" i="3"/>
  <c r="DX56" i="3"/>
  <c r="BQ55" i="3"/>
  <c r="DU56" i="3"/>
  <c r="CR63" i="3"/>
  <c r="DX63" i="3"/>
  <c r="DD61" i="3"/>
  <c r="CV61" i="3"/>
  <c r="DL57" i="3"/>
  <c r="DD57" i="3"/>
  <c r="CV53" i="3"/>
  <c r="DH45" i="3"/>
  <c r="DD42" i="3"/>
  <c r="DH54" i="3"/>
  <c r="DD50" i="3"/>
  <c r="DX64" i="3"/>
  <c r="CN48" i="3"/>
  <c r="CV48" i="3"/>
  <c r="CU45" i="3"/>
  <c r="DK45" i="3"/>
  <c r="DL25" i="3"/>
  <c r="CN7" i="3"/>
  <c r="CV7" i="3"/>
  <c r="DV7" i="3"/>
  <c r="DO7" i="3"/>
  <c r="CV41" i="3"/>
  <c r="DO35" i="3"/>
  <c r="CY33" i="3"/>
  <c r="DZ29" i="3"/>
  <c r="DR29" i="3"/>
  <c r="CV23" i="3"/>
  <c r="DK39" i="3"/>
  <c r="CQ35" i="3"/>
  <c r="DU11" i="3"/>
  <c r="CQ11" i="3"/>
  <c r="DX11" i="3"/>
  <c r="DR11" i="3"/>
  <c r="DZ11" i="3"/>
  <c r="DL34" i="3"/>
  <c r="DD34" i="3"/>
  <c r="DU30" i="3"/>
  <c r="CQ30" i="3"/>
  <c r="CY29" i="3"/>
  <c r="CJ34" i="3"/>
  <c r="CY32" i="3"/>
  <c r="DN8" i="3"/>
  <c r="G81" i="14" s="1"/>
  <c r="DX26" i="3"/>
  <c r="DR18" i="3"/>
  <c r="BY18" i="3"/>
  <c r="DU18" i="3"/>
  <c r="CI18" i="3"/>
  <c r="CQ18" i="3"/>
  <c r="CY18" i="3"/>
  <c r="DX18" i="3"/>
  <c r="DV21" i="3"/>
  <c r="DO16" i="3"/>
  <c r="DO12" i="3"/>
  <c r="CY12" i="3"/>
  <c r="CQ12" i="3"/>
  <c r="DI28" i="3"/>
  <c r="DS28" i="3"/>
  <c r="DO28" i="3"/>
  <c r="DL20" i="3"/>
  <c r="CN20" i="3"/>
  <c r="DI13" i="3"/>
  <c r="DD13" i="3"/>
  <c r="CN13" i="3"/>
  <c r="CR15" i="3"/>
  <c r="CR31" i="3"/>
  <c r="DD26" i="3"/>
  <c r="CN26" i="3"/>
  <c r="DL26" i="3"/>
  <c r="DI26" i="3"/>
  <c r="DV26" i="3"/>
  <c r="DV18" i="3"/>
  <c r="DO18" i="3"/>
  <c r="DD18" i="3"/>
  <c r="CV18" i="3"/>
  <c r="DV13" i="3"/>
  <c r="DS56" i="3"/>
  <c r="DV35" i="3"/>
  <c r="CN35" i="3"/>
  <c r="DV27" i="3"/>
  <c r="DO82" i="3"/>
  <c r="DL27" i="3"/>
  <c r="DV4" i="3"/>
  <c r="DO13" i="3"/>
  <c r="DS30" i="3"/>
  <c r="DL28" i="3"/>
  <c r="DS38" i="3"/>
  <c r="CV32" i="3"/>
  <c r="DS21" i="3"/>
  <c r="DO20" i="3"/>
  <c r="DS18" i="3"/>
  <c r="CN27" i="3"/>
  <c r="DO32" i="3"/>
  <c r="DR72" i="3"/>
  <c r="DF77" i="3"/>
  <c r="DH60" i="3"/>
  <c r="CU56" i="3"/>
  <c r="CI79" i="3"/>
  <c r="DZ72" i="3"/>
  <c r="DO71" i="3"/>
  <c r="DR64" i="3"/>
  <c r="CN49" i="3"/>
  <c r="CN41" i="3"/>
  <c r="DO41" i="3"/>
  <c r="DX73" i="3"/>
  <c r="DI67" i="3"/>
  <c r="DL51" i="3"/>
  <c r="DS17" i="3"/>
  <c r="DI53" i="3"/>
  <c r="DI83" i="3"/>
  <c r="DR75" i="3"/>
  <c r="CU63" i="3"/>
  <c r="DS25" i="3"/>
  <c r="DV10" i="3"/>
  <c r="DL10" i="3"/>
  <c r="DO10" i="3"/>
  <c r="DV41" i="3"/>
  <c r="DR41" i="3"/>
  <c r="DL40" i="3"/>
  <c r="DI21" i="3"/>
  <c r="DS16" i="3"/>
  <c r="CA33" i="3"/>
  <c r="CN30" i="3"/>
  <c r="CN23" i="3"/>
  <c r="DU17" i="3"/>
  <c r="DS15" i="3"/>
  <c r="CN12" i="3"/>
  <c r="DV12" i="3"/>
  <c r="DO36" i="3"/>
  <c r="DU21" i="3"/>
  <c r="CR16" i="3"/>
  <c r="DX29" i="3"/>
  <c r="CR27" i="3"/>
  <c r="CN16" i="3"/>
  <c r="BS10" i="3"/>
  <c r="CR37" i="3"/>
  <c r="DX27" i="3"/>
  <c r="DR27" i="3"/>
  <c r="CQ27" i="3"/>
  <c r="BW17" i="3"/>
  <c r="DX12" i="3"/>
  <c r="DH10" i="3"/>
  <c r="DS4" i="3"/>
  <c r="DX21" i="3"/>
  <c r="DR21" i="3"/>
  <c r="CQ21" i="3"/>
  <c r="DR14" i="3"/>
  <c r="D86" i="14" s="1"/>
  <c r="DS10" i="3"/>
  <c r="DR12" i="3"/>
  <c r="CQ63" i="3"/>
  <c r="DX33" i="3"/>
  <c r="DO33" i="3"/>
  <c r="DR33" i="3"/>
  <c r="DD17" i="3"/>
  <c r="DF17" i="3"/>
  <c r="CV10" i="3"/>
  <c r="CY10" i="3"/>
  <c r="BC8" i="3"/>
  <c r="CR48" i="3"/>
  <c r="DU76" i="3"/>
  <c r="DD4" i="3"/>
  <c r="DK81" i="3"/>
  <c r="DX41" i="3"/>
  <c r="BB8" i="3"/>
  <c r="AN8" i="3"/>
  <c r="DR47" i="3"/>
  <c r="DN27" i="3"/>
  <c r="DU16" i="3"/>
  <c r="DU10" i="3"/>
  <c r="CG56" i="3"/>
  <c r="DR88" i="3"/>
  <c r="CQ88" i="3"/>
  <c r="CN82" i="3"/>
  <c r="DK85" i="3"/>
  <c r="CR81" i="3"/>
  <c r="CU81" i="3"/>
  <c r="CJ88" i="3"/>
  <c r="DR82" i="3"/>
  <c r="DI74" i="3"/>
  <c r="DN73" i="3"/>
  <c r="CR66" i="3"/>
  <c r="DR79" i="3"/>
  <c r="DH79" i="3"/>
  <c r="DR73" i="3"/>
  <c r="CN71" i="3"/>
  <c r="CR58" i="3"/>
  <c r="DI45" i="3"/>
  <c r="DD38" i="3"/>
  <c r="CR40" i="3"/>
  <c r="DS39" i="3"/>
  <c r="CN51" i="3"/>
  <c r="DD40" i="3"/>
  <c r="CJ40" i="3"/>
  <c r="CR35" i="3"/>
  <c r="DU48" i="3"/>
  <c r="DS40" i="3"/>
  <c r="DF33" i="3"/>
  <c r="DR32" i="3"/>
  <c r="DX30" i="3"/>
  <c r="DI20" i="3"/>
  <c r="DX32" i="3"/>
  <c r="CJ32" i="3"/>
  <c r="CY41" i="3"/>
  <c r="DV32" i="3"/>
  <c r="DH30" i="3"/>
  <c r="DV36" i="3"/>
  <c r="BU24" i="3"/>
  <c r="DH21" i="3"/>
  <c r="DD12" i="3"/>
  <c r="DF12" i="3"/>
  <c r="CU12" i="3"/>
  <c r="CR12" i="3"/>
  <c r="CR17" i="3"/>
  <c r="CU17" i="3"/>
  <c r="DX17" i="3"/>
  <c r="DV17" i="3"/>
  <c r="DO17" i="3"/>
  <c r="DV16" i="3"/>
  <c r="CQ16" i="3"/>
  <c r="DU14" i="3"/>
  <c r="D90" i="14" s="1"/>
  <c r="CR10" i="3"/>
  <c r="CA10" i="3"/>
  <c r="AM8" i="3"/>
  <c r="DX14" i="3"/>
  <c r="D94" i="14" s="1"/>
  <c r="DO14" i="3"/>
  <c r="D83" i="14" s="1"/>
  <c r="CM11" i="3"/>
  <c r="DZ12" i="3"/>
  <c r="DI36" i="3"/>
  <c r="DK36" i="3"/>
  <c r="CU27" i="3"/>
  <c r="CM12" i="3"/>
  <c r="DL12" i="3"/>
  <c r="DN12" i="3"/>
  <c r="DL42" i="3"/>
  <c r="CJ42" i="3"/>
  <c r="DS85" i="3"/>
  <c r="DU85" i="3"/>
  <c r="CY45" i="3"/>
  <c r="DI38" i="3"/>
  <c r="CR71" i="3"/>
  <c r="CR56" i="3"/>
  <c r="CR7" i="3"/>
  <c r="DS67" i="3"/>
  <c r="CI82" i="3"/>
  <c r="DU81" i="3"/>
  <c r="F90" i="14" s="1"/>
  <c r="CQ49" i="3"/>
  <c r="BD100" i="3"/>
  <c r="CM10" i="3"/>
  <c r="AV100" i="3"/>
  <c r="CM26" i="3"/>
  <c r="AH100" i="3"/>
  <c r="AH94" i="3"/>
  <c r="DI93" i="3"/>
  <c r="DK93" i="3"/>
  <c r="BU90" i="3"/>
  <c r="DD20" i="3"/>
  <c r="DR90" i="3"/>
  <c r="DV48" i="3"/>
  <c r="DX48" i="3"/>
  <c r="DF41" i="3"/>
  <c r="DD41" i="3"/>
  <c r="DH29" i="3"/>
  <c r="AZ96" i="3"/>
  <c r="V96" i="3"/>
  <c r="DD90" i="3"/>
  <c r="CQ85" i="3"/>
  <c r="AA100" i="3"/>
  <c r="AA94" i="3"/>
  <c r="Z100" i="3"/>
  <c r="CQ75" i="3"/>
  <c r="AW94" i="3"/>
  <c r="DO48" i="3"/>
  <c r="DK16" i="3"/>
  <c r="DI43" i="3"/>
  <c r="CN43" i="3"/>
  <c r="DV43" i="3"/>
  <c r="DL43" i="3"/>
  <c r="DO43" i="3"/>
  <c r="CJ43" i="3"/>
  <c r="DH86" i="3"/>
  <c r="DU86" i="3"/>
  <c r="DK86" i="3"/>
  <c r="DD64" i="3"/>
  <c r="CN64" i="3"/>
  <c r="CA69" i="3"/>
  <c r="BY48" i="3"/>
  <c r="CG48" i="3"/>
  <c r="DR48" i="3"/>
  <c r="CM48" i="3"/>
  <c r="CQ48" i="3"/>
  <c r="DZ20" i="3"/>
  <c r="CU48" i="3"/>
  <c r="DR71" i="3"/>
  <c r="DX43" i="3"/>
  <c r="CQ81" i="3"/>
  <c r="CY81" i="3"/>
  <c r="CI85" i="3"/>
  <c r="DI86" i="3"/>
  <c r="DX88" i="3"/>
  <c r="DH85" i="3"/>
  <c r="DH75" i="3"/>
  <c r="DK75" i="3"/>
  <c r="DX75" i="3"/>
  <c r="CN40" i="3"/>
  <c r="DO40" i="3"/>
  <c r="CI17" i="3"/>
  <c r="DR17" i="3"/>
  <c r="DI14" i="3"/>
  <c r="CN14" i="3"/>
  <c r="DV14" i="3"/>
  <c r="D92" i="14" s="1"/>
  <c r="DU33" i="3"/>
  <c r="CM17" i="3"/>
  <c r="CI11" i="3"/>
  <c r="DX10" i="3"/>
  <c r="DF10" i="3"/>
  <c r="DS82" i="3"/>
  <c r="CI75" i="3"/>
  <c r="CQ71" i="3"/>
  <c r="CI26" i="3"/>
  <c r="DO21" i="3"/>
  <c r="DR19" i="3"/>
  <c r="CI10" i="3"/>
  <c r="DF82" i="3"/>
  <c r="DD63" i="3"/>
  <c r="DO58" i="3"/>
  <c r="CQ41" i="3"/>
  <c r="DV40" i="3"/>
  <c r="DN33" i="3"/>
  <c r="DZ32" i="3"/>
  <c r="DZ26" i="3"/>
  <c r="DN26" i="3"/>
  <c r="CN21" i="3"/>
  <c r="BY21" i="3"/>
  <c r="BY10" i="3"/>
  <c r="DL4" i="3"/>
  <c r="CA79" i="3"/>
  <c r="CQ64" i="3"/>
  <c r="DO63" i="3"/>
  <c r="DL50" i="3"/>
  <c r="CJ25" i="3"/>
  <c r="DK21" i="3"/>
  <c r="CQ19" i="3"/>
  <c r="DI16" i="3"/>
  <c r="DN90" i="3"/>
  <c r="DV72" i="3"/>
  <c r="DI68" i="3"/>
  <c r="CG14" i="3"/>
  <c r="CM27" i="3"/>
  <c r="DK14" i="3"/>
  <c r="CE12" i="3"/>
  <c r="AY100" i="3"/>
  <c r="BY41" i="3"/>
  <c r="BD94" i="3"/>
  <c r="DS92" i="3"/>
  <c r="BA96" i="3"/>
  <c r="CJ15" i="3"/>
  <c r="DZ37" i="3"/>
  <c r="CU37" i="3"/>
  <c r="DH37" i="3"/>
  <c r="DU37" i="3"/>
  <c r="CI37" i="3"/>
  <c r="DK70" i="3"/>
  <c r="DU70" i="3"/>
  <c r="DX70" i="3"/>
  <c r="CG89" i="3"/>
  <c r="DU89" i="3"/>
  <c r="DH89" i="3"/>
  <c r="DK89" i="3"/>
  <c r="BM91" i="3"/>
  <c r="DX89" i="3"/>
  <c r="CQ23" i="3"/>
  <c r="DF90" i="3"/>
  <c r="DF32" i="3"/>
  <c r="CM32" i="3"/>
  <c r="CQ32" i="3"/>
  <c r="BY32" i="3"/>
  <c r="DH32" i="3"/>
  <c r="BY84" i="3"/>
  <c r="CG36" i="3"/>
  <c r="CM71" i="3"/>
  <c r="DN71" i="3"/>
  <c r="CU71" i="3"/>
  <c r="DX71" i="3"/>
  <c r="DU71" i="3"/>
  <c r="BY16" i="3"/>
  <c r="DX16" i="3"/>
  <c r="CE65" i="3"/>
  <c r="CY36" i="3"/>
  <c r="BW23" i="3"/>
  <c r="CY19" i="3"/>
  <c r="CM19" i="3"/>
  <c r="DN19" i="3"/>
  <c r="DR40" i="3"/>
  <c r="BY40" i="3"/>
  <c r="DF40" i="3"/>
  <c r="DU40" i="3"/>
  <c r="DX40" i="3"/>
  <c r="DR36" i="3"/>
  <c r="BM99" i="3"/>
  <c r="DF88" i="3"/>
  <c r="DN88" i="3"/>
  <c r="CY88" i="3"/>
  <c r="DH88" i="3"/>
  <c r="CI15" i="3"/>
  <c r="CQ40" i="3"/>
  <c r="DX36" i="3"/>
  <c r="CM40" i="3"/>
  <c r="DU88" i="3"/>
  <c r="DX24" i="3"/>
  <c r="CY24" i="3"/>
  <c r="BS23" i="3"/>
  <c r="CG23" i="3"/>
  <c r="CM75" i="3"/>
  <c r="CC81" i="3"/>
  <c r="DH81" i="3"/>
  <c r="DK13" i="3"/>
  <c r="CU78" i="3"/>
  <c r="BY69" i="3"/>
  <c r="BY85" i="3"/>
  <c r="DX69" i="3"/>
  <c r="CG4" i="3"/>
  <c r="CJ85" i="3"/>
  <c r="CM58" i="3"/>
  <c r="CY76" i="3"/>
  <c r="CI49" i="3"/>
  <c r="DZ68" i="3"/>
  <c r="DZ63" i="3"/>
  <c r="DU63" i="3"/>
  <c r="DR58" i="3"/>
  <c r="CI45" i="3"/>
  <c r="CY72" i="3"/>
  <c r="DX72" i="3"/>
  <c r="DF64" i="3"/>
  <c r="DR56" i="3"/>
  <c r="BS41" i="3"/>
  <c r="CU16" i="3"/>
  <c r="CY78" i="3"/>
  <c r="DU62" i="3"/>
  <c r="DU55" i="3"/>
  <c r="DU47" i="3"/>
  <c r="DU39" i="3"/>
  <c r="DH55" i="3"/>
  <c r="DH47" i="3"/>
  <c r="DH39" i="3"/>
  <c r="DH24" i="3"/>
  <c r="DZ76" i="3"/>
  <c r="BW15" i="3"/>
  <c r="CI78" i="3"/>
  <c r="CI70" i="3"/>
  <c r="CI62" i="3"/>
  <c r="CI55" i="3"/>
  <c r="CI24" i="3"/>
  <c r="DH16" i="3"/>
  <c r="DK62" i="3"/>
  <c r="DK55" i="3"/>
  <c r="DK47" i="3"/>
  <c r="BW75" i="3"/>
  <c r="BW36" i="3"/>
  <c r="CC47" i="3"/>
  <c r="CC24" i="3"/>
  <c r="DK30" i="3"/>
  <c r="DK23" i="3"/>
  <c r="CA76" i="3"/>
  <c r="CA60" i="3"/>
  <c r="CA54" i="3"/>
  <c r="CA45" i="3"/>
  <c r="DN55" i="3"/>
  <c r="CM76" i="3"/>
  <c r="CM37" i="3"/>
  <c r="CM22" i="3"/>
  <c r="DR70" i="3"/>
  <c r="DR62" i="3"/>
  <c r="DR39" i="3"/>
  <c r="DR24" i="3"/>
  <c r="DF47" i="3"/>
  <c r="DN76" i="3"/>
  <c r="DN45" i="3"/>
  <c r="DN37" i="3"/>
  <c r="BJ9" i="3"/>
  <c r="AX96" i="3"/>
  <c r="DO24" i="3"/>
  <c r="DR78" i="3"/>
  <c r="DN54" i="3"/>
  <c r="DL78" i="3"/>
  <c r="DL37" i="3"/>
  <c r="DF78" i="3"/>
  <c r="CY54" i="3"/>
  <c r="CY68" i="3"/>
  <c r="CU30" i="3"/>
  <c r="CU23" i="3"/>
  <c r="CM15" i="3"/>
  <c r="BQ83" i="3"/>
  <c r="DZ83" i="3"/>
  <c r="DU69" i="3"/>
  <c r="DV64" i="3"/>
  <c r="DF58" i="3"/>
  <c r="CY75" i="3"/>
  <c r="DO72" i="3"/>
  <c r="DH74" i="3"/>
  <c r="CC69" i="3"/>
  <c r="DS64" i="3"/>
  <c r="CY86" i="3"/>
  <c r="CV69" i="3"/>
  <c r="DI81" i="3"/>
  <c r="CA77" i="3"/>
  <c r="CU33" i="3"/>
  <c r="DI89" i="3"/>
  <c r="CM88" i="3"/>
  <c r="CR69" i="3"/>
  <c r="CV72" i="3"/>
  <c r="CJ56" i="3"/>
  <c r="CM56" i="3"/>
  <c r="DD49" i="3"/>
  <c r="BY77" i="3"/>
  <c r="DR83" i="3"/>
  <c r="CJ63" i="3"/>
  <c r="DK60" i="3"/>
  <c r="DS72" i="3"/>
  <c r="CG77" i="3"/>
  <c r="DV66" i="3"/>
  <c r="CN74" i="3"/>
  <c r="CR90" i="3"/>
  <c r="CU77" i="3"/>
  <c r="CR64" i="3"/>
  <c r="CA66" i="3"/>
  <c r="DO83" i="3"/>
  <c r="DV49" i="3"/>
  <c r="DO74" i="3"/>
  <c r="CY83" i="3"/>
  <c r="CU69" i="3"/>
  <c r="CM83" i="3"/>
  <c r="DH77" i="3"/>
  <c r="CG66" i="3"/>
  <c r="DZ86" i="3"/>
  <c r="DS61" i="3"/>
  <c r="DK77" i="3"/>
  <c r="DI61" i="3"/>
  <c r="CQ73" i="3"/>
  <c r="DI69" i="3"/>
  <c r="CQ82" i="3"/>
  <c r="CI81" i="3"/>
  <c r="DU26" i="3"/>
  <c r="BU72" i="3"/>
  <c r="DH71" i="3"/>
  <c r="DF70" i="3"/>
  <c r="BY70" i="3"/>
  <c r="DO67" i="3"/>
  <c r="DH63" i="3"/>
  <c r="DS60" i="3"/>
  <c r="DH56" i="3"/>
  <c r="CG55" i="3"/>
  <c r="BY55" i="3"/>
  <c r="DO53" i="3"/>
  <c r="DL49" i="3"/>
  <c r="DI47" i="3"/>
  <c r="CN44" i="3"/>
  <c r="BW44" i="3"/>
  <c r="DN41" i="3"/>
  <c r="DF39" i="3"/>
  <c r="CU39" i="3"/>
  <c r="CY37" i="3"/>
  <c r="CA37" i="3"/>
  <c r="DL36" i="3"/>
  <c r="DI35" i="3"/>
  <c r="DZ33" i="3"/>
  <c r="CC32" i="3"/>
  <c r="DK29" i="3"/>
  <c r="DF73" i="3"/>
  <c r="CQ65" i="3"/>
  <c r="DD45" i="3"/>
  <c r="CR45" i="3"/>
  <c r="CE33" i="3"/>
  <c r="DU29" i="3"/>
  <c r="CQ26" i="3"/>
  <c r="BW26" i="3"/>
  <c r="BG100" i="3"/>
  <c r="AK94" i="3"/>
  <c r="U94" i="3"/>
  <c r="AV99" i="3"/>
  <c r="W91" i="3"/>
  <c r="CI86" i="3"/>
  <c r="CA86" i="3"/>
  <c r="BW85" i="3"/>
  <c r="DX79" i="3"/>
  <c r="BQ78" i="3"/>
  <c r="DI75" i="3"/>
  <c r="CM73" i="3"/>
  <c r="CI29" i="3"/>
  <c r="AJ100" i="3"/>
  <c r="CV90" i="3"/>
  <c r="CU86" i="3"/>
  <c r="CG86" i="3"/>
  <c r="CU83" i="3"/>
  <c r="CG83" i="3"/>
  <c r="DH78" i="3"/>
  <c r="CR77" i="3"/>
  <c r="DD27" i="3"/>
  <c r="CR68" i="3"/>
  <c r="DS77" i="3"/>
  <c r="DU77" i="3"/>
  <c r="DD24" i="3"/>
  <c r="DF24" i="3"/>
  <c r="CJ7" i="3"/>
  <c r="W96" i="3"/>
  <c r="W8" i="3"/>
  <c r="DL79" i="3"/>
  <c r="DN79" i="3"/>
  <c r="DR85" i="3"/>
  <c r="CR79" i="3"/>
  <c r="CU79" i="3"/>
  <c r="CR60" i="3"/>
  <c r="DS90" i="3"/>
  <c r="CM85" i="3"/>
  <c r="AV91" i="3"/>
  <c r="DF83" i="3"/>
  <c r="DD83" i="3"/>
  <c r="CR54" i="3"/>
  <c r="DD32" i="3"/>
  <c r="DL21" i="3"/>
  <c r="CU90" i="3"/>
  <c r="CY90" i="3"/>
  <c r="CR83" i="3"/>
  <c r="BU85" i="3"/>
  <c r="AJ94" i="3"/>
  <c r="DX65" i="3"/>
  <c r="DI92" i="3"/>
  <c r="CN81" i="3"/>
  <c r="AK100" i="3"/>
  <c r="CY40" i="3"/>
  <c r="AW100" i="3"/>
  <c r="DF61" i="3"/>
  <c r="DL74" i="3"/>
  <c r="BF99" i="3"/>
  <c r="CA25" i="3"/>
  <c r="BC100" i="3"/>
  <c r="AG94" i="3"/>
  <c r="BK100" i="3"/>
  <c r="AD94" i="3"/>
  <c r="N100" i="3"/>
  <c r="AW91" i="3"/>
  <c r="AI91" i="3"/>
  <c r="CN70" i="3"/>
  <c r="DV39" i="3"/>
  <c r="BC99" i="3"/>
  <c r="BC91" i="3"/>
  <c r="AZ100" i="3"/>
  <c r="AZ94" i="3"/>
  <c r="V94" i="3"/>
  <c r="CJ92" i="3"/>
  <c r="CR89" i="3"/>
  <c r="CN67" i="3"/>
  <c r="DD62" i="3"/>
  <c r="DF62" i="3"/>
  <c r="DU59" i="3"/>
  <c r="BS59" i="3"/>
  <c r="CQ53" i="3"/>
  <c r="CN53" i="3"/>
  <c r="DU45" i="3"/>
  <c r="DS45" i="3"/>
  <c r="DX44" i="3"/>
  <c r="DV44" i="3"/>
  <c r="DR44" i="3"/>
  <c r="CY73" i="3"/>
  <c r="DS68" i="3"/>
  <c r="DU68" i="3"/>
  <c r="DK67" i="3"/>
  <c r="CY67" i="3"/>
  <c r="CM67" i="3"/>
  <c r="CI67" i="3"/>
  <c r="DF55" i="3"/>
  <c r="DI90" i="3"/>
  <c r="DZ44" i="3"/>
  <c r="BY67" i="3"/>
  <c r="CM72" i="3"/>
  <c r="DI66" i="3"/>
  <c r="CU55" i="3"/>
  <c r="DS54" i="3"/>
  <c r="DU54" i="3"/>
  <c r="DZ53" i="3"/>
  <c r="DU53" i="3"/>
  <c r="CY53" i="3"/>
  <c r="CI53" i="3"/>
  <c r="DD47" i="3"/>
  <c r="DR67" i="3"/>
  <c r="DK53" i="3"/>
  <c r="CQ67" i="3"/>
  <c r="CU70" i="3"/>
  <c r="CR70" i="3"/>
  <c r="DX67" i="3"/>
  <c r="DV67" i="3"/>
  <c r="CU62" i="3"/>
  <c r="CR62" i="3"/>
  <c r="DU44" i="3"/>
  <c r="N94" i="3"/>
  <c r="CI93" i="3"/>
  <c r="Q100" i="3"/>
  <c r="DI51" i="3"/>
  <c r="CN47" i="3"/>
  <c r="DS47" i="3"/>
  <c r="DO47" i="3"/>
  <c r="CU47" i="3"/>
  <c r="CR47" i="3"/>
  <c r="CQ44" i="3"/>
  <c r="CA93" i="3"/>
  <c r="DS89" i="3"/>
  <c r="CR73" i="3"/>
  <c r="DL73" i="3"/>
  <c r="DO73" i="3"/>
  <c r="DV73" i="3"/>
  <c r="DD73" i="3"/>
  <c r="DI62" i="3"/>
  <c r="DO62" i="3"/>
  <c r="DS62" i="3"/>
  <c r="DX53" i="3"/>
  <c r="DO44" i="3"/>
  <c r="CG53" i="3"/>
  <c r="CU89" i="3"/>
  <c r="BF91" i="3"/>
  <c r="V100" i="3"/>
  <c r="DI70" i="3"/>
  <c r="Q94" i="3"/>
  <c r="BE99" i="3"/>
  <c r="AW99" i="3"/>
  <c r="AI99" i="3"/>
  <c r="BN94" i="3"/>
  <c r="X99" i="3"/>
  <c r="DI23" i="3"/>
  <c r="DN36" i="3"/>
  <c r="CJ27" i="3"/>
  <c r="CJ20" i="3"/>
  <c r="DO39" i="3"/>
  <c r="DI39" i="3"/>
  <c r="CR28" i="3"/>
  <c r="BY79" i="3"/>
  <c r="DS93" i="3"/>
  <c r="CG88" i="3"/>
  <c r="DD79" i="3"/>
  <c r="CM33" i="3"/>
  <c r="CV37" i="3"/>
  <c r="DS74" i="3"/>
  <c r="CM86" i="3"/>
  <c r="CJ86" i="3"/>
  <c r="CR39" i="3"/>
  <c r="DS26" i="3"/>
  <c r="CJ83" i="3"/>
  <c r="BQ81" i="3"/>
  <c r="DX81" i="3"/>
  <c r="F94" i="14" s="1"/>
  <c r="DK78" i="3"/>
  <c r="DZ64" i="3"/>
  <c r="DH62" i="3"/>
  <c r="DZ49" i="3"/>
  <c r="CA19" i="3"/>
  <c r="CJ37" i="3"/>
  <c r="DV20" i="3"/>
  <c r="CM50" i="3"/>
  <c r="CC54" i="3"/>
  <c r="CE19" i="3"/>
  <c r="DO66" i="3"/>
  <c r="DZ65" i="3"/>
  <c r="DH59" i="3"/>
  <c r="DH44" i="3"/>
  <c r="DZ21" i="3"/>
  <c r="AD100" i="3"/>
  <c r="DZ82" i="3"/>
  <c r="DZ60" i="3"/>
  <c r="DZ45" i="3"/>
  <c r="CN61" i="3"/>
  <c r="CQ61" i="3"/>
  <c r="DX57" i="3"/>
  <c r="DK24" i="3"/>
  <c r="DI24" i="3"/>
  <c r="DS23" i="3"/>
  <c r="DU23" i="3"/>
  <c r="CI22" i="3"/>
  <c r="BS22" i="3"/>
  <c r="CG22" i="3"/>
  <c r="DK22" i="3"/>
  <c r="DU22" i="3"/>
  <c r="CU22" i="3"/>
  <c r="DH22" i="3"/>
  <c r="CA22" i="3"/>
  <c r="DZ22" i="3"/>
  <c r="DN22" i="3"/>
  <c r="CN19" i="3"/>
  <c r="CJ19" i="3"/>
  <c r="DL19" i="3"/>
  <c r="DD19" i="3"/>
  <c r="CR19" i="3"/>
  <c r="CU19" i="3"/>
  <c r="DZ18" i="3"/>
  <c r="DO65" i="3"/>
  <c r="DR65" i="3"/>
  <c r="CC62" i="3"/>
  <c r="CC46" i="3"/>
  <c r="DH46" i="3"/>
  <c r="CY46" i="3"/>
  <c r="DK46" i="3"/>
  <c r="DF46" i="3"/>
  <c r="BU46" i="3"/>
  <c r="BY46" i="3"/>
  <c r="DV38" i="3"/>
  <c r="CQ34" i="3"/>
  <c r="DL29" i="3"/>
  <c r="CQ25" i="3"/>
  <c r="DC25" i="3"/>
  <c r="CG65" i="3"/>
  <c r="DV61" i="3"/>
  <c r="CJ54" i="3"/>
  <c r="CG50" i="3"/>
  <c r="CJ49" i="3"/>
  <c r="DC40" i="3"/>
  <c r="CY39" i="3"/>
  <c r="CV39" i="3"/>
  <c r="CQ38" i="3"/>
  <c r="CN38" i="3"/>
  <c r="DK31" i="3"/>
  <c r="BS31" i="3"/>
  <c r="CY31" i="3"/>
  <c r="BU31" i="3"/>
  <c r="DU31" i="3"/>
  <c r="DH31" i="3"/>
  <c r="CI31" i="3"/>
  <c r="DI27" i="3"/>
  <c r="DK92" i="3"/>
  <c r="CM54" i="3"/>
  <c r="CN65" i="3"/>
  <c r="BU64" i="3"/>
  <c r="CJ60" i="3"/>
  <c r="CM60" i="3"/>
  <c r="CC57" i="3"/>
  <c r="BU57" i="3"/>
  <c r="CU57" i="3"/>
  <c r="BS57" i="3"/>
  <c r="DN57" i="3"/>
  <c r="CE57" i="3"/>
  <c r="BW57" i="3"/>
  <c r="BQ57" i="3"/>
  <c r="DH53" i="3"/>
  <c r="CG42" i="3"/>
  <c r="CE40" i="3"/>
  <c r="CC39" i="3"/>
  <c r="BS33" i="3"/>
  <c r="DV57" i="3"/>
  <c r="CY92" i="3"/>
  <c r="CI92" i="3"/>
  <c r="CG92" i="3"/>
  <c r="CU92" i="3"/>
  <c r="BM100" i="3"/>
  <c r="DZ92" i="3"/>
  <c r="CA92" i="3"/>
  <c r="BY61" i="3"/>
  <c r="CQ57" i="3"/>
  <c r="CN57" i="3"/>
  <c r="DF50" i="3"/>
  <c r="DN50" i="3"/>
  <c r="CU50" i="3"/>
  <c r="DZ50" i="3"/>
  <c r="BQ50" i="3"/>
  <c r="DH50" i="3"/>
  <c r="CE50" i="3"/>
  <c r="CY50" i="3"/>
  <c r="CQ46" i="3"/>
  <c r="CN46" i="3"/>
  <c r="DR42" i="3"/>
  <c r="DO42" i="3"/>
  <c r="DU36" i="3"/>
  <c r="DO34" i="3"/>
  <c r="DR34" i="3"/>
  <c r="DX31" i="3"/>
  <c r="DV31" i="3"/>
  <c r="CJ28" i="3"/>
  <c r="CC26" i="3"/>
  <c r="BY25" i="3"/>
  <c r="DF57" i="3"/>
  <c r="AM100" i="3"/>
  <c r="DC63" i="3"/>
  <c r="CV62" i="3"/>
  <c r="CY62" i="3"/>
  <c r="CG61" i="3"/>
  <c r="DR57" i="3"/>
  <c r="DO57" i="3"/>
  <c r="CV55" i="3"/>
  <c r="CY55" i="3"/>
  <c r="CN50" i="3"/>
  <c r="CQ50" i="3"/>
  <c r="DH48" i="3"/>
  <c r="DX46" i="3"/>
  <c r="DV46" i="3"/>
  <c r="DX42" i="3"/>
  <c r="DV42" i="3"/>
  <c r="DZ41" i="3"/>
  <c r="DR38" i="3"/>
  <c r="DK37" i="3"/>
  <c r="DI37" i="3"/>
  <c r="DO31" i="3"/>
  <c r="DR31" i="3"/>
  <c r="CY26" i="3"/>
  <c r="CV26" i="3"/>
  <c r="DN25" i="3"/>
  <c r="CM25" i="3"/>
  <c r="DU25" i="3"/>
  <c r="CU25" i="3"/>
  <c r="DF25" i="3"/>
  <c r="DZ25" i="3"/>
  <c r="DH25" i="3"/>
  <c r="CE25" i="3"/>
  <c r="DR50" i="3"/>
  <c r="CJ45" i="3"/>
  <c r="CQ42" i="3"/>
  <c r="CN42" i="3"/>
  <c r="CJ41" i="3"/>
  <c r="CG38" i="3"/>
  <c r="CC34" i="3"/>
  <c r="CU34" i="3"/>
  <c r="CM34" i="3"/>
  <c r="DR25" i="3"/>
  <c r="DO25" i="3"/>
  <c r="CC61" i="3"/>
  <c r="CU61" i="3"/>
  <c r="DH61" i="3"/>
  <c r="CA61" i="3"/>
  <c r="BQ61" i="3"/>
  <c r="DK61" i="3"/>
  <c r="CG57" i="3"/>
  <c r="DX50" i="3"/>
  <c r="DV50" i="3"/>
  <c r="CV47" i="3"/>
  <c r="BQ42" i="3"/>
  <c r="CU42" i="3"/>
  <c r="CC42" i="3"/>
  <c r="CM42" i="3"/>
  <c r="DF42" i="3"/>
  <c r="DZ42" i="3"/>
  <c r="DK42" i="3"/>
  <c r="BU42" i="3"/>
  <c r="CY42" i="3"/>
  <c r="DN42" i="3"/>
  <c r="CA38" i="3"/>
  <c r="BW38" i="3"/>
  <c r="BQ38" i="3"/>
  <c r="DH38" i="3"/>
  <c r="CU38" i="3"/>
  <c r="DU38" i="3"/>
  <c r="CY38" i="3"/>
  <c r="DF38" i="3"/>
  <c r="DK38" i="3"/>
  <c r="DV34" i="3"/>
  <c r="DU32" i="3"/>
  <c r="DS32" i="3"/>
  <c r="DX25" i="3"/>
  <c r="CJ18" i="3"/>
  <c r="CM18" i="3"/>
  <c r="CE11" i="3"/>
  <c r="CU10" i="3"/>
  <c r="DX93" i="3"/>
  <c r="DR93" i="3"/>
  <c r="DU92" i="3"/>
  <c r="AV94" i="3"/>
  <c r="CV92" i="3"/>
  <c r="BW90" i="3"/>
  <c r="DD66" i="3"/>
  <c r="CG75" i="3"/>
  <c r="CA75" i="3"/>
  <c r="BF94" i="3"/>
  <c r="BE100" i="3"/>
  <c r="CC90" i="3"/>
  <c r="DL66" i="3"/>
  <c r="DV81" i="3"/>
  <c r="F92" i="14" s="1"/>
  <c r="DU79" i="3"/>
  <c r="CV78" i="3"/>
  <c r="DN67" i="3"/>
  <c r="DF56" i="3"/>
  <c r="DV53" i="3"/>
  <c r="CV12" i="3"/>
  <c r="DF11" i="3"/>
  <c r="DZ93" i="3"/>
  <c r="BW93" i="3"/>
  <c r="BE91" i="3"/>
  <c r="BU88" i="3"/>
  <c r="CV83" i="3"/>
  <c r="CA73" i="3"/>
  <c r="DN72" i="3"/>
  <c r="DS69" i="3"/>
  <c r="DH14" i="3"/>
  <c r="BQ16" i="3"/>
  <c r="DO85" i="3"/>
  <c r="CN85" i="3"/>
  <c r="DR26" i="3"/>
  <c r="BY26" i="3"/>
  <c r="AC100" i="3"/>
  <c r="CM92" i="3"/>
  <c r="DH90" i="3"/>
  <c r="CC89" i="3"/>
  <c r="AN91" i="3"/>
  <c r="CU88" i="3"/>
  <c r="CQ79" i="3"/>
  <c r="CN63" i="3"/>
  <c r="DZ57" i="3"/>
  <c r="CM57" i="3"/>
  <c r="DZ54" i="3"/>
  <c r="DU46" i="3"/>
  <c r="CI36" i="3"/>
  <c r="CE34" i="3"/>
  <c r="DX34" i="3"/>
  <c r="CN34" i="3"/>
  <c r="CG34" i="3"/>
  <c r="CE32" i="3"/>
  <c r="DF31" i="3"/>
  <c r="DF27" i="3"/>
  <c r="BE94" i="3"/>
  <c r="DH70" i="3"/>
  <c r="DZ67" i="3"/>
  <c r="BW58" i="3"/>
  <c r="CV50" i="3"/>
  <c r="CC50" i="3"/>
  <c r="CG45" i="3"/>
  <c r="DH40" i="3"/>
  <c r="CU40" i="3"/>
  <c r="CA40" i="3"/>
  <c r="DI7" i="3"/>
  <c r="DV89" i="3"/>
  <c r="CQ89" i="3"/>
  <c r="DO75" i="3"/>
  <c r="BY64" i="3"/>
  <c r="CJ58" i="3"/>
  <c r="DK44" i="3"/>
  <c r="BS44" i="3"/>
  <c r="CE42" i="3"/>
  <c r="DN40" i="3"/>
  <c r="CQ24" i="3"/>
  <c r="DR10" i="3"/>
  <c r="AN96" i="3"/>
  <c r="BK99" i="3"/>
  <c r="CU65" i="3"/>
  <c r="CY61" i="3"/>
  <c r="CQ56" i="3"/>
  <c r="BU41" i="3"/>
  <c r="DZ27" i="3"/>
  <c r="CY25" i="3"/>
  <c r="CC25" i="3"/>
  <c r="DN10" i="3"/>
  <c r="O100" i="3"/>
  <c r="DU78" i="3"/>
  <c r="DZ75" i="3"/>
  <c r="CE72" i="3"/>
  <c r="CU18" i="3"/>
  <c r="DL17" i="3"/>
  <c r="CC16" i="3"/>
  <c r="BU10" i="3"/>
  <c r="BY33" i="3"/>
  <c r="CG25" i="3"/>
  <c r="BG94" i="3"/>
  <c r="CA26" i="3"/>
  <c r="DF19" i="3"/>
  <c r="DN18" i="3"/>
  <c r="DK72" i="3"/>
  <c r="BS72" i="3"/>
  <c r="CY69" i="3"/>
  <c r="DK69" i="3"/>
  <c r="DF69" i="3"/>
  <c r="DH69" i="3"/>
  <c r="DV69" i="3"/>
  <c r="CN69" i="3"/>
  <c r="CG69" i="3"/>
  <c r="CM68" i="3"/>
  <c r="CJ68" i="3"/>
  <c r="CM64" i="3"/>
  <c r="CJ64" i="3"/>
  <c r="DN64" i="3"/>
  <c r="DL64" i="3"/>
  <c r="DO51" i="3"/>
  <c r="DR51" i="3"/>
  <c r="DH93" i="3"/>
  <c r="AI94" i="3"/>
  <c r="AB94" i="3"/>
  <c r="AY94" i="3"/>
  <c r="BK91" i="3"/>
  <c r="CQ84" i="3"/>
  <c r="DK83" i="3"/>
  <c r="DN83" i="3"/>
  <c r="DX83" i="3"/>
  <c r="DV83" i="3"/>
  <c r="CQ83" i="3"/>
  <c r="CN83" i="3"/>
  <c r="DO93" i="3"/>
  <c r="CJ93" i="3"/>
  <c r="Z99" i="3"/>
  <c r="DC88" i="3"/>
  <c r="S99" i="3"/>
  <c r="S91" i="3"/>
  <c r="AU99" i="3"/>
  <c r="CN79" i="3"/>
  <c r="DR84" i="3"/>
  <c r="BD99" i="3"/>
  <c r="BD91" i="3"/>
  <c r="CQ93" i="3"/>
  <c r="AI100" i="3"/>
  <c r="DH92" i="3"/>
  <c r="BC94" i="3"/>
  <c r="DK82" i="3"/>
  <c r="BY82" i="3"/>
  <c r="DS70" i="3"/>
  <c r="DD70" i="3"/>
  <c r="DN60" i="3"/>
  <c r="DI84" i="3"/>
  <c r="CR78" i="3"/>
  <c r="DS78" i="3"/>
  <c r="CC88" i="3"/>
  <c r="CN73" i="3"/>
  <c r="DX85" i="3"/>
  <c r="DV85" i="3"/>
  <c r="CM63" i="3"/>
  <c r="DN63" i="3"/>
  <c r="CE63" i="3"/>
  <c r="DR63" i="3"/>
  <c r="DL45" i="3"/>
  <c r="DU49" i="3"/>
  <c r="CE49" i="3"/>
  <c r="AB100" i="3"/>
  <c r="DZ88" i="3"/>
  <c r="CG81" i="3"/>
  <c r="CY77" i="3"/>
  <c r="CV77" i="3"/>
  <c r="DL41" i="3"/>
  <c r="DD69" i="3"/>
  <c r="CJ66" i="3"/>
  <c r="DF63" i="3"/>
  <c r="DO49" i="3"/>
  <c r="CU24" i="3"/>
  <c r="DZ14" i="3"/>
  <c r="DL85" i="3"/>
  <c r="DN82" i="3"/>
  <c r="CU73" i="3"/>
  <c r="DD71" i="3"/>
  <c r="DI65" i="3"/>
  <c r="BW61" i="3"/>
  <c r="DO50" i="3"/>
  <c r="CJ73" i="3"/>
  <c r="DH58" i="3"/>
  <c r="CE48" i="3"/>
  <c r="CI44" i="3"/>
  <c r="BB96" i="3"/>
  <c r="DN34" i="3"/>
  <c r="DD72" i="3"/>
  <c r="DV71" i="3"/>
  <c r="DL70" i="3"/>
  <c r="DU67" i="3"/>
  <c r="CY47" i="3"/>
  <c r="CA46" i="3"/>
  <c r="CI21" i="3"/>
  <c r="DL7" i="3"/>
  <c r="AM96" i="3"/>
  <c r="BU34" i="3"/>
  <c r="BQ82" i="3"/>
  <c r="DI78" i="3"/>
  <c r="CN72" i="3"/>
  <c r="BY72" i="3"/>
  <c r="DL71" i="3"/>
  <c r="BQ64" i="3"/>
  <c r="BS55" i="3"/>
  <c r="CM45" i="3"/>
  <c r="DV25" i="3"/>
  <c r="CC23" i="3"/>
  <c r="CE83" i="3"/>
  <c r="CJ79" i="3"/>
  <c r="BU79" i="3"/>
  <c r="DI77" i="3"/>
  <c r="DS75" i="3"/>
  <c r="DL72" i="3"/>
  <c r="DF65" i="3"/>
  <c r="DU61" i="3"/>
  <c r="DU60" i="3"/>
  <c r="CI59" i="3"/>
  <c r="DL56" i="3"/>
  <c r="DK50" i="3"/>
  <c r="BS50" i="3"/>
  <c r="DD48" i="3"/>
  <c r="DU24" i="3"/>
  <c r="CY82" i="3"/>
  <c r="DX59" i="3"/>
  <c r="DR59" i="3"/>
  <c r="CG54" i="3"/>
  <c r="DR53" i="3"/>
  <c r="DI46" i="3"/>
  <c r="CJ17" i="3"/>
  <c r="CJ14" i="3"/>
  <c r="DN14" i="3"/>
  <c r="D81" i="14" s="1"/>
  <c r="CM13" i="3"/>
  <c r="R91" i="3"/>
  <c r="R99" i="3"/>
  <c r="CN93" i="3"/>
  <c r="U100" i="3"/>
  <c r="DU90" i="3"/>
  <c r="DV90" i="3"/>
  <c r="DN59" i="3"/>
  <c r="DK59" i="3"/>
  <c r="DO29" i="3"/>
  <c r="F8" i="3"/>
  <c r="BY90" i="3"/>
  <c r="DN93" i="3"/>
  <c r="BN100" i="3"/>
  <c r="DO90" i="3"/>
  <c r="BG99" i="3"/>
  <c r="BY49" i="3"/>
  <c r="DL44" i="3"/>
  <c r="DI44" i="3"/>
  <c r="CN36" i="3"/>
  <c r="DS36" i="3"/>
  <c r="DZ34" i="3"/>
  <c r="DF34" i="3"/>
  <c r="CA34" i="3"/>
  <c r="DV19" i="3"/>
  <c r="DU15" i="3"/>
  <c r="DH15" i="3"/>
  <c r="CU15" i="3"/>
  <c r="DL14" i="3"/>
  <c r="D79" i="14" s="1"/>
  <c r="DX19" i="3"/>
  <c r="DR49" i="3"/>
  <c r="CI71" i="3"/>
  <c r="CN28" i="3"/>
  <c r="DD82" i="3"/>
  <c r="CV19" i="3"/>
  <c r="DK15" i="3"/>
  <c r="CG15" i="3"/>
  <c r="DD25" i="3"/>
  <c r="DS44" i="3"/>
  <c r="CV60" i="3"/>
  <c r="DL82" i="3"/>
  <c r="CV86" i="3"/>
  <c r="AY98" i="3"/>
  <c r="DV79" i="3"/>
  <c r="CR25" i="3"/>
  <c r="DS29" i="3"/>
  <c r="DF72" i="3"/>
  <c r="DN85" i="3"/>
  <c r="DF71" i="3"/>
  <c r="DV82" i="3"/>
  <c r="CY15" i="3"/>
  <c r="BQ34" i="3"/>
  <c r="CV25" i="3"/>
  <c r="CN56" i="3"/>
  <c r="CY59" i="3"/>
  <c r="DZ59" i="3"/>
  <c r="CN89" i="3"/>
  <c r="CM82" i="3"/>
  <c r="CJ82" i="3"/>
  <c r="AC94" i="3"/>
  <c r="J91" i="3"/>
  <c r="CN29" i="3"/>
  <c r="DU75" i="3"/>
  <c r="DS79" i="3"/>
  <c r="DV29" i="3"/>
  <c r="DI29" i="3"/>
  <c r="CR92" i="3"/>
  <c r="DZ15" i="3"/>
  <c r="CN25" i="3"/>
  <c r="DN49" i="3"/>
  <c r="DL48" i="3"/>
  <c r="CQ59" i="3"/>
  <c r="BQ90" i="3"/>
  <c r="CC77" i="3"/>
  <c r="CI77" i="3"/>
  <c r="CQ77" i="3"/>
  <c r="DD74" i="3"/>
  <c r="CQ90" i="3"/>
  <c r="CG49" i="3"/>
  <c r="BU49" i="3"/>
  <c r="DS48" i="3"/>
  <c r="DO19" i="3"/>
  <c r="CY34" i="3"/>
  <c r="DF49" i="3"/>
  <c r="CA85" i="3"/>
  <c r="DL93" i="3"/>
  <c r="DK90" i="3"/>
  <c r="CR86" i="3"/>
  <c r="DO70" i="3"/>
  <c r="CY70" i="3"/>
  <c r="CV70" i="3"/>
  <c r="DN68" i="3"/>
  <c r="CN58" i="3"/>
  <c r="DI58" i="3"/>
  <c r="CY23" i="3"/>
  <c r="DH67" i="3"/>
  <c r="BW67" i="3"/>
  <c r="DR55" i="3"/>
  <c r="CA49" i="3"/>
  <c r="DZ36" i="3"/>
  <c r="CU31" i="3"/>
  <c r="DX23" i="3"/>
  <c r="CU76" i="3"/>
  <c r="DN65" i="3"/>
  <c r="CI41" i="3"/>
  <c r="CA41" i="3"/>
  <c r="CR32" i="3"/>
  <c r="DS71" i="3"/>
  <c r="CM49" i="3"/>
  <c r="AU100" i="3"/>
  <c r="DI30" i="3"/>
  <c r="AY96" i="3"/>
  <c r="DX4" i="3"/>
  <c r="CC4" i="3"/>
  <c r="CC8" i="3" s="1"/>
  <c r="G25" i="14" s="1"/>
  <c r="BS4" i="3"/>
  <c r="BM8" i="3"/>
  <c r="CA4" i="3"/>
  <c r="BY4" i="3"/>
  <c r="BS17" i="3"/>
  <c r="G96" i="3"/>
  <c r="G8" i="3"/>
  <c r="BY11" i="3"/>
  <c r="I98" i="3"/>
  <c r="CA81" i="3"/>
  <c r="CA89" i="3"/>
  <c r="I91" i="3"/>
  <c r="I99" i="3"/>
  <c r="BQ73" i="3"/>
  <c r="BQ65" i="3"/>
  <c r="BS36" i="3"/>
  <c r="BY23" i="3"/>
  <c r="CA28" i="3"/>
  <c r="BQ59" i="3"/>
  <c r="BW31" i="3"/>
  <c r="BS90" i="3"/>
  <c r="BU36" i="3"/>
  <c r="BS42" i="3"/>
  <c r="BS81" i="3"/>
  <c r="BU50" i="3"/>
  <c r="CC45" i="3"/>
  <c r="BQ70" i="3"/>
  <c r="BU78" i="3"/>
  <c r="G100" i="3"/>
  <c r="G94" i="3"/>
  <c r="BW92" i="3"/>
  <c r="BY78" i="3"/>
  <c r="CA78" i="3"/>
  <c r="BQ89" i="3"/>
  <c r="BS27" i="3"/>
  <c r="BS32" i="3"/>
  <c r="BS93" i="3"/>
  <c r="BU14" i="3"/>
  <c r="BW25" i="3"/>
  <c r="BQ37" i="3"/>
  <c r="D101" i="3"/>
  <c r="D105" i="3" s="1"/>
  <c r="D8" i="3"/>
  <c r="BS84" i="3"/>
  <c r="BW19" i="3"/>
  <c r="CC72" i="3"/>
  <c r="CC64" i="3"/>
  <c r="CE82" i="3"/>
  <c r="BU92" i="3"/>
  <c r="F100" i="3"/>
  <c r="N91" i="3"/>
  <c r="BW21" i="3"/>
  <c r="CE86" i="3"/>
  <c r="I8" i="3"/>
  <c r="BY37" i="3"/>
  <c r="CG85" i="3"/>
  <c r="BW10" i="3"/>
  <c r="CA65" i="3"/>
  <c r="L100" i="3"/>
  <c r="J96" i="3"/>
  <c r="BW46" i="3"/>
  <c r="BY89" i="3"/>
  <c r="H99" i="3"/>
  <c r="P87" i="3"/>
  <c r="BQ33" i="3"/>
  <c r="BU39" i="3"/>
  <c r="BQ60" i="3"/>
  <c r="BQ47" i="3"/>
  <c r="BQ29" i="3"/>
  <c r="BS13" i="3"/>
  <c r="CA36" i="3"/>
  <c r="CC48" i="3"/>
  <c r="K87" i="3"/>
  <c r="I80" i="3"/>
  <c r="BW79" i="3"/>
  <c r="CE4" i="3"/>
  <c r="BW88" i="3"/>
  <c r="F88" i="14" l="1"/>
  <c r="F83" i="14"/>
  <c r="C94" i="14"/>
  <c r="C85" i="14"/>
  <c r="C93" i="14"/>
  <c r="C90" i="14"/>
  <c r="C86" i="14"/>
  <c r="C89" i="14"/>
  <c r="C81" i="14"/>
  <c r="C80" i="14"/>
  <c r="C79" i="14"/>
  <c r="C92" i="14"/>
  <c r="C88" i="14"/>
  <c r="C83" i="14"/>
  <c r="E90" i="14"/>
  <c r="E86" i="14"/>
  <c r="E94" i="14"/>
  <c r="E81" i="14"/>
  <c r="C52" i="14"/>
  <c r="C57" i="14"/>
  <c r="C50" i="14"/>
  <c r="C45" i="14"/>
  <c r="C66" i="14"/>
  <c r="C47" i="14"/>
  <c r="C69" i="14"/>
  <c r="C64" i="14"/>
  <c r="C49" i="14"/>
  <c r="C44" i="14"/>
  <c r="C42" i="14"/>
  <c r="C55" i="14"/>
  <c r="C67" i="14"/>
  <c r="C63" i="14"/>
  <c r="C62" i="14"/>
  <c r="C60" i="14"/>
  <c r="C73" i="14"/>
  <c r="C54" i="14"/>
  <c r="C71" i="14"/>
  <c r="C59" i="14"/>
  <c r="C74" i="14"/>
  <c r="C70" i="14"/>
  <c r="F69" i="14"/>
  <c r="F50" i="14"/>
  <c r="F45" i="14"/>
  <c r="F64" i="14"/>
  <c r="F55" i="14"/>
  <c r="F67" i="14"/>
  <c r="F47" i="14"/>
  <c r="F42" i="14"/>
  <c r="F71" i="14"/>
  <c r="F74" i="14"/>
  <c r="F57" i="14"/>
  <c r="E50" i="14"/>
  <c r="E45" i="14"/>
  <c r="E64" i="14"/>
  <c r="E13" i="14"/>
  <c r="E22" i="14"/>
  <c r="E31" i="14"/>
  <c r="E67" i="14"/>
  <c r="E25" i="14"/>
  <c r="E74" i="14"/>
  <c r="E16" i="14"/>
  <c r="E69" i="14"/>
  <c r="E60" i="14"/>
  <c r="E55" i="14"/>
  <c r="D13" i="14"/>
  <c r="D22" i="14"/>
  <c r="D31" i="14"/>
  <c r="D67" i="14"/>
  <c r="D42" i="14"/>
  <c r="D69" i="14"/>
  <c r="D45" i="14"/>
  <c r="D71" i="14"/>
  <c r="D16" i="14"/>
  <c r="D25" i="14"/>
  <c r="D34" i="14"/>
  <c r="D74" i="14"/>
  <c r="D37" i="14"/>
  <c r="D10" i="14"/>
  <c r="D19" i="14"/>
  <c r="F10" i="14"/>
  <c r="F5" i="14"/>
  <c r="F13" i="14"/>
  <c r="F31" i="14"/>
  <c r="F16" i="14"/>
  <c r="F34" i="14"/>
  <c r="F19" i="14"/>
  <c r="F25" i="14"/>
  <c r="F22" i="14"/>
  <c r="C40" i="14"/>
  <c r="C37" i="14"/>
  <c r="C34" i="14"/>
  <c r="C39" i="14"/>
  <c r="E5" i="14"/>
  <c r="E37" i="14"/>
  <c r="E40" i="14"/>
  <c r="C10" i="14"/>
  <c r="C31" i="14"/>
  <c r="C5" i="14"/>
  <c r="C27" i="14"/>
  <c r="C25" i="14"/>
  <c r="C22" i="14"/>
  <c r="C21" i="14"/>
  <c r="C19" i="14"/>
  <c r="C18" i="14"/>
  <c r="C16" i="14"/>
  <c r="C28" i="14"/>
  <c r="C13" i="14"/>
  <c r="D5" i="14"/>
  <c r="DD8" i="3"/>
  <c r="G62" i="14" s="1"/>
  <c r="BS94" i="3"/>
  <c r="K13" i="14" s="1"/>
  <c r="BW94" i="3"/>
  <c r="BW100" i="3" s="1"/>
  <c r="BY8" i="3"/>
  <c r="DO8" i="3"/>
  <c r="CX64" i="3"/>
  <c r="EA64" i="3"/>
  <c r="BR9" i="3"/>
  <c r="C12" i="14" s="1"/>
  <c r="CS9" i="3"/>
  <c r="C48" i="14" s="1"/>
  <c r="CF9" i="3"/>
  <c r="C30" i="14" s="1"/>
  <c r="DP9" i="3"/>
  <c r="C84" i="14" s="1"/>
  <c r="CH9" i="3"/>
  <c r="C33" i="14" s="1"/>
  <c r="CW9" i="3"/>
  <c r="C53" i="14" s="1"/>
  <c r="BP9" i="3"/>
  <c r="C9" i="14" s="1"/>
  <c r="BT9" i="3"/>
  <c r="C15" i="14" s="1"/>
  <c r="CK9" i="3"/>
  <c r="C38" i="14" s="1"/>
  <c r="DA9" i="3"/>
  <c r="C58" i="14" s="1"/>
  <c r="BV9" i="3"/>
  <c r="BX9" i="3"/>
  <c r="CO9" i="3"/>
  <c r="C43" i="14" s="1"/>
  <c r="CB9" i="3"/>
  <c r="C24" i="14" s="1"/>
  <c r="BL9" i="3"/>
  <c r="BZ9" i="3"/>
  <c r="F77" i="14"/>
  <c r="E77" i="14"/>
  <c r="D77" i="14"/>
  <c r="C77" i="14"/>
  <c r="AD1" i="14"/>
  <c r="CU91" i="3"/>
  <c r="J50" i="14" s="1"/>
  <c r="CN8" i="3"/>
  <c r="G42" i="14" s="1"/>
  <c r="AH96" i="3"/>
  <c r="BD8" i="3"/>
  <c r="BE8" i="3"/>
  <c r="BF96" i="3"/>
  <c r="BG96" i="3"/>
  <c r="BK8" i="3"/>
  <c r="AG96" i="3"/>
  <c r="AU96" i="3"/>
  <c r="DX86" i="3"/>
  <c r="DL30" i="3"/>
  <c r="DV76" i="3"/>
  <c r="DS57" i="3"/>
  <c r="DR45" i="3"/>
  <c r="DL38" i="3"/>
  <c r="DO11" i="3"/>
  <c r="DX60" i="3"/>
  <c r="DL23" i="3"/>
  <c r="DV92" i="3"/>
  <c r="DV94" i="3" s="1"/>
  <c r="K92" i="14" s="1"/>
  <c r="BK96" i="3"/>
  <c r="DN16" i="3"/>
  <c r="AW97" i="3"/>
  <c r="BB80" i="3"/>
  <c r="BC80" i="3"/>
  <c r="BE80" i="3"/>
  <c r="BF80" i="3"/>
  <c r="BG97" i="3"/>
  <c r="BK80" i="3"/>
  <c r="DD84" i="3"/>
  <c r="CR76" i="3"/>
  <c r="DL33" i="3"/>
  <c r="CR22" i="3"/>
  <c r="CJ11" i="3"/>
  <c r="DK51" i="3"/>
  <c r="CU13" i="3"/>
  <c r="BS91" i="3"/>
  <c r="J13" i="14" s="1"/>
  <c r="CG74" i="3"/>
  <c r="CM66" i="3"/>
  <c r="DI79" i="3"/>
  <c r="DI48" i="3"/>
  <c r="CG28" i="3"/>
  <c r="W100" i="3"/>
  <c r="CM74" i="3"/>
  <c r="DZ84" i="3"/>
  <c r="DN81" i="3"/>
  <c r="F81" i="14" s="1"/>
  <c r="CV58" i="3"/>
  <c r="BA100" i="3"/>
  <c r="DR92" i="3"/>
  <c r="DR94" i="3" s="1"/>
  <c r="DL22" i="3"/>
  <c r="BK87" i="3"/>
  <c r="DO84" i="3"/>
  <c r="DO88" i="3"/>
  <c r="E83" i="14" s="1"/>
  <c r="CM20" i="3"/>
  <c r="CR88" i="3"/>
  <c r="CR91" i="3" s="1"/>
  <c r="J47" i="14" s="1"/>
  <c r="AX91" i="3"/>
  <c r="DS55" i="3"/>
  <c r="AJ99" i="3"/>
  <c r="DR37" i="3"/>
  <c r="DU35" i="3"/>
  <c r="DR76" i="3"/>
  <c r="BA98" i="3"/>
  <c r="DX37" i="3"/>
  <c r="DX58" i="3"/>
  <c r="CC74" i="3"/>
  <c r="DL69" i="3"/>
  <c r="DO68" i="3"/>
  <c r="DV68" i="3"/>
  <c r="DR60" i="3"/>
  <c r="CQ13" i="3"/>
  <c r="CQ51" i="3"/>
  <c r="DS88" i="3"/>
  <c r="DS91" i="3" s="1"/>
  <c r="J88" i="14" s="1"/>
  <c r="DR13" i="3"/>
  <c r="DH35" i="3"/>
  <c r="DK71" i="3"/>
  <c r="DX35" i="3"/>
  <c r="DI40" i="3"/>
  <c r="DV11" i="3"/>
  <c r="DI59" i="3"/>
  <c r="BB100" i="3"/>
  <c r="DD44" i="3"/>
  <c r="DI10" i="3"/>
  <c r="BQ58" i="3"/>
  <c r="BQ13" i="3"/>
  <c r="BS66" i="3"/>
  <c r="BU28" i="3"/>
  <c r="CA13" i="3"/>
  <c r="CI20" i="3"/>
  <c r="BY35" i="3"/>
  <c r="CQ8" i="3"/>
  <c r="G45" i="14" s="1"/>
  <c r="BG87" i="3"/>
  <c r="CU85" i="3"/>
  <c r="CZ60" i="3"/>
  <c r="CI58" i="3"/>
  <c r="CQ28" i="3"/>
  <c r="CJ76" i="3"/>
  <c r="DD85" i="3"/>
  <c r="CA84" i="3"/>
  <c r="CA87" i="3" s="1"/>
  <c r="I22" i="14" s="1"/>
  <c r="DH84" i="3"/>
  <c r="DK28" i="3"/>
  <c r="DX92" i="3"/>
  <c r="DX94" i="3" s="1"/>
  <c r="K94" i="14" s="1"/>
  <c r="BN80" i="3"/>
  <c r="DV22" i="3"/>
  <c r="BE96" i="3"/>
  <c r="DV84" i="3"/>
  <c r="DV87" i="3" s="1"/>
  <c r="I92" i="14" s="1"/>
  <c r="CV84" i="3"/>
  <c r="CR55" i="3"/>
  <c r="DD55" i="3"/>
  <c r="AJ91" i="3"/>
  <c r="X100" i="3"/>
  <c r="CJ33" i="3"/>
  <c r="DK74" i="3"/>
  <c r="BW66" i="3"/>
  <c r="CM51" i="3"/>
  <c r="CG51" i="3"/>
  <c r="BN98" i="3"/>
  <c r="DH43" i="3"/>
  <c r="DD33" i="3"/>
  <c r="DN35" i="3"/>
  <c r="DF13" i="3"/>
  <c r="DH20" i="3"/>
  <c r="CV13" i="3"/>
  <c r="DU8" i="3"/>
  <c r="DK56" i="3"/>
  <c r="DN51" i="3"/>
  <c r="BQ43" i="3"/>
  <c r="BQ20" i="3"/>
  <c r="BS28" i="3"/>
  <c r="BU51" i="3"/>
  <c r="BW28" i="3"/>
  <c r="BY43" i="3"/>
  <c r="CA35" i="3"/>
  <c r="CC28" i="3"/>
  <c r="CE74" i="3"/>
  <c r="BM80" i="3"/>
  <c r="DI25" i="3"/>
  <c r="BD96" i="3"/>
  <c r="DS22" i="3"/>
  <c r="BE98" i="3"/>
  <c r="DK84" i="3"/>
  <c r="DK87" i="3" s="1"/>
  <c r="I71" i="14" s="1"/>
  <c r="CI84" i="3"/>
  <c r="W97" i="3"/>
  <c r="CR53" i="3"/>
  <c r="DL76" i="3"/>
  <c r="DZ35" i="3"/>
  <c r="DF29" i="3"/>
  <c r="DU50" i="3"/>
  <c r="BN97" i="3"/>
  <c r="DR22" i="3"/>
  <c r="BK97" i="3"/>
  <c r="DF28" i="3"/>
  <c r="CV76" i="3"/>
  <c r="CN84" i="3"/>
  <c r="DF53" i="3"/>
  <c r="CN92" i="3"/>
  <c r="CN94" i="3" s="1"/>
  <c r="K42" i="14" s="1"/>
  <c r="BB87" i="3"/>
  <c r="DZ28" i="3"/>
  <c r="DK43" i="3"/>
  <c r="DX66" i="3"/>
  <c r="DH66" i="3"/>
  <c r="BM98" i="3"/>
  <c r="CJ22" i="3"/>
  <c r="DR54" i="3"/>
  <c r="DF36" i="3"/>
  <c r="CU20" i="3"/>
  <c r="DK32" i="3"/>
  <c r="DL11" i="3"/>
  <c r="DK17" i="3"/>
  <c r="DD67" i="3"/>
  <c r="DS27" i="3"/>
  <c r="DX54" i="3"/>
  <c r="DR74" i="3"/>
  <c r="CQ58" i="3"/>
  <c r="BS43" i="3"/>
  <c r="BU35" i="3"/>
  <c r="BW35" i="3"/>
  <c r="BW13" i="3"/>
  <c r="BY66" i="3"/>
  <c r="BY13" i="3"/>
  <c r="CA51" i="3"/>
  <c r="CA20" i="3"/>
  <c r="CG13" i="3"/>
  <c r="CI43" i="3"/>
  <c r="CV59" i="3"/>
  <c r="CN59" i="3"/>
  <c r="CC66" i="3"/>
  <c r="DN61" i="3"/>
  <c r="BA87" i="3"/>
  <c r="CR84" i="3"/>
  <c r="DL89" i="3"/>
  <c r="DZ13" i="3"/>
  <c r="CC35" i="3"/>
  <c r="CU74" i="3"/>
  <c r="DN13" i="3"/>
  <c r="DC44" i="3"/>
  <c r="DO92" i="3"/>
  <c r="DO94" i="3" s="1"/>
  <c r="K83" i="14" s="1"/>
  <c r="BN91" i="3"/>
  <c r="BN99" i="3"/>
  <c r="DK66" i="3"/>
  <c r="W94" i="3"/>
  <c r="CQ37" i="3"/>
  <c r="DZ58" i="3"/>
  <c r="CQ66" i="3"/>
  <c r="DZ66" i="3"/>
  <c r="DO15" i="3"/>
  <c r="DX74" i="3"/>
  <c r="DR66" i="3"/>
  <c r="DK88" i="3"/>
  <c r="DK91" i="3" s="1"/>
  <c r="J71" i="14" s="1"/>
  <c r="DR20" i="3"/>
  <c r="DV45" i="3"/>
  <c r="CQ43" i="3"/>
  <c r="DL46" i="3"/>
  <c r="DL88" i="3"/>
  <c r="E79" i="14" s="1"/>
  <c r="DN20" i="3"/>
  <c r="DU65" i="3"/>
  <c r="CG35" i="3"/>
  <c r="CG20" i="3"/>
  <c r="DH28" i="3"/>
  <c r="DX51" i="3"/>
  <c r="CQ74" i="3"/>
  <c r="BS74" i="3"/>
  <c r="BU58" i="3"/>
  <c r="CA74" i="3"/>
  <c r="CC51" i="3"/>
  <c r="CC58" i="3"/>
  <c r="BW74" i="3"/>
  <c r="BM97" i="3"/>
  <c r="DF74" i="3"/>
  <c r="DD93" i="3"/>
  <c r="CU53" i="3"/>
  <c r="DI76" i="3"/>
  <c r="CQ15" i="3"/>
  <c r="DX84" i="3"/>
  <c r="BA97" i="3"/>
  <c r="BC87" i="3"/>
  <c r="CU51" i="3"/>
  <c r="CY35" i="3"/>
  <c r="DU12" i="3"/>
  <c r="BF97" i="3"/>
  <c r="DU42" i="3"/>
  <c r="CR93" i="3"/>
  <c r="CR94" i="3" s="1"/>
  <c r="K47" i="14" s="1"/>
  <c r="DS76" i="3"/>
  <c r="CU44" i="3"/>
  <c r="DU66" i="3"/>
  <c r="DK58" i="3"/>
  <c r="DN74" i="3"/>
  <c r="DZ74" i="3"/>
  <c r="DN66" i="3"/>
  <c r="DZ43" i="3"/>
  <c r="CN11" i="3"/>
  <c r="DR43" i="3"/>
  <c r="DV88" i="3"/>
  <c r="DV91" i="3" s="1"/>
  <c r="J92" i="14" s="1"/>
  <c r="DR35" i="3"/>
  <c r="CV33" i="3"/>
  <c r="DI22" i="3"/>
  <c r="DS34" i="3"/>
  <c r="DR28" i="3"/>
  <c r="DV33" i="3"/>
  <c r="BQ51" i="3"/>
  <c r="BS51" i="3"/>
  <c r="BW43" i="3"/>
  <c r="BY51" i="3"/>
  <c r="CI28" i="3"/>
  <c r="CI13" i="3"/>
  <c r="CC13" i="3"/>
  <c r="BS20" i="3"/>
  <c r="BQ74" i="3"/>
  <c r="BY58" i="3"/>
  <c r="BQ28" i="3"/>
  <c r="DN77" i="3"/>
  <c r="DV15" i="3"/>
  <c r="DC18" i="3"/>
  <c r="BW51" i="3"/>
  <c r="DH13" i="3"/>
  <c r="CC84" i="3"/>
  <c r="CC87" i="3" s="1"/>
  <c r="I25" i="14" s="1"/>
  <c r="CG84" i="3"/>
  <c r="CG87" i="3" s="1"/>
  <c r="I31" i="14" s="1"/>
  <c r="DK35" i="3"/>
  <c r="DO55" i="3"/>
  <c r="CM28" i="3"/>
  <c r="DD88" i="3"/>
  <c r="E62" i="14" s="1"/>
  <c r="DF59" i="3"/>
  <c r="DU51" i="3"/>
  <c r="CI74" i="3"/>
  <c r="DO59" i="3"/>
  <c r="CG58" i="3"/>
  <c r="CU66" i="3"/>
  <c r="BU13" i="3"/>
  <c r="BD87" i="3"/>
  <c r="DX20" i="3"/>
  <c r="DN43" i="3"/>
  <c r="DS73" i="3"/>
  <c r="CN33" i="3"/>
  <c r="DN28" i="3"/>
  <c r="CR59" i="3"/>
  <c r="BU66" i="3"/>
  <c r="BW20" i="3"/>
  <c r="BY20" i="3"/>
  <c r="CI51" i="3"/>
  <c r="BF100" i="3"/>
  <c r="BF87" i="3"/>
  <c r="CC20" i="3"/>
  <c r="DF84" i="3"/>
  <c r="DF87" i="3" s="1"/>
  <c r="I64" i="14" s="1"/>
  <c r="DH51" i="3"/>
  <c r="DI55" i="3"/>
  <c r="DU20" i="3"/>
  <c r="DZ51" i="3"/>
  <c r="CU28" i="3"/>
  <c r="CY74" i="3"/>
  <c r="DU19" i="3"/>
  <c r="BM87" i="3"/>
  <c r="CR11" i="3"/>
  <c r="CQ20" i="3"/>
  <c r="CG43" i="3"/>
  <c r="DF20" i="3"/>
  <c r="DK20" i="3"/>
  <c r="CU35" i="3"/>
  <c r="CN60" i="3"/>
  <c r="DS11" i="3"/>
  <c r="DS8" i="3"/>
  <c r="G88" i="14" s="1"/>
  <c r="BU74" i="3"/>
  <c r="BU43" i="3"/>
  <c r="CA43" i="3"/>
  <c r="DI33" i="3"/>
  <c r="DL55" i="3"/>
  <c r="DU74" i="3"/>
  <c r="DU58" i="3"/>
  <c r="DU28" i="3"/>
  <c r="BC96" i="3"/>
  <c r="BB91" i="3"/>
  <c r="Y87" i="3"/>
  <c r="DC74" i="3"/>
  <c r="DC58" i="3"/>
  <c r="CZ35" i="3"/>
  <c r="DC13" i="3"/>
  <c r="CZ84" i="3"/>
  <c r="CZ73" i="3"/>
  <c r="BI65" i="3"/>
  <c r="CZ57" i="3"/>
  <c r="CZ50" i="3"/>
  <c r="CZ19" i="3"/>
  <c r="CZ12" i="3"/>
  <c r="BI82" i="3"/>
  <c r="BI56" i="3"/>
  <c r="AD99" i="3"/>
  <c r="AG98" i="3"/>
  <c r="AK97" i="3"/>
  <c r="AN87" i="3"/>
  <c r="AU94" i="3"/>
  <c r="AW8" i="3"/>
  <c r="AW98" i="3"/>
  <c r="AX8" i="3"/>
  <c r="AX98" i="3"/>
  <c r="AZ97" i="3"/>
  <c r="AZ99" i="3"/>
  <c r="BA80" i="3"/>
  <c r="CA91" i="3"/>
  <c r="J22" i="14" s="1"/>
  <c r="BU87" i="3"/>
  <c r="I16" i="14" s="1"/>
  <c r="CD50" i="3"/>
  <c r="BZ50" i="3"/>
  <c r="BV19" i="3"/>
  <c r="CB19" i="3"/>
  <c r="CK19" i="3"/>
  <c r="CS19" i="3"/>
  <c r="CP64" i="3"/>
  <c r="E80" i="3"/>
  <c r="DK33" i="3"/>
  <c r="CM39" i="3"/>
  <c r="DI11" i="3"/>
  <c r="CV14" i="3"/>
  <c r="D52" i="14" s="1"/>
  <c r="CY14" i="3"/>
  <c r="D55" i="14" s="1"/>
  <c r="CY93" i="3"/>
  <c r="CY94" i="3" s="1"/>
  <c r="K55" i="14" s="1"/>
  <c r="CV93" i="3"/>
  <c r="CV94" i="3" s="1"/>
  <c r="K52" i="14" s="1"/>
  <c r="AA96" i="3"/>
  <c r="AA8" i="3"/>
  <c r="DC83" i="3"/>
  <c r="BI83" i="3"/>
  <c r="AC97" i="3"/>
  <c r="AE91" i="3"/>
  <c r="AE99" i="3"/>
  <c r="DD60" i="3"/>
  <c r="DF60" i="3"/>
  <c r="DF22" i="3"/>
  <c r="DD22" i="3"/>
  <c r="DF92" i="3"/>
  <c r="DF94" i="3" s="1"/>
  <c r="K64" i="14" s="1"/>
  <c r="DD92" i="3"/>
  <c r="AH80" i="3"/>
  <c r="AH87" i="3"/>
  <c r="AH98" i="3"/>
  <c r="AI97" i="3"/>
  <c r="DI64" i="3"/>
  <c r="DK64" i="3"/>
  <c r="DK49" i="3"/>
  <c r="DI49" i="3"/>
  <c r="DK41" i="3"/>
  <c r="DI41" i="3"/>
  <c r="DK18" i="3"/>
  <c r="DI18" i="3"/>
  <c r="AK99" i="3"/>
  <c r="AK91" i="3"/>
  <c r="DL62" i="3"/>
  <c r="DN62" i="3"/>
  <c r="DL47" i="3"/>
  <c r="DN47" i="3"/>
  <c r="DL39" i="3"/>
  <c r="DN39" i="3"/>
  <c r="DL31" i="3"/>
  <c r="DN31" i="3"/>
  <c r="DL24" i="3"/>
  <c r="DN24" i="3"/>
  <c r="DL90" i="3"/>
  <c r="AL99" i="3"/>
  <c r="DR61" i="3"/>
  <c r="DO61" i="3"/>
  <c r="DR16" i="3"/>
  <c r="AM80" i="3"/>
  <c r="DR89" i="3"/>
  <c r="DR91" i="3" s="1"/>
  <c r="J86" i="14" s="1"/>
  <c r="AM91" i="3"/>
  <c r="AN94" i="3"/>
  <c r="AN100" i="3"/>
  <c r="AU80" i="3"/>
  <c r="AU97" i="3"/>
  <c r="AU98" i="3"/>
  <c r="AU87" i="3"/>
  <c r="DS43" i="3"/>
  <c r="DU43" i="3"/>
  <c r="DU13" i="3"/>
  <c r="AV80" i="3"/>
  <c r="DS13" i="3"/>
  <c r="AV98" i="3"/>
  <c r="DU84" i="3"/>
  <c r="DS84" i="3"/>
  <c r="P91" i="3"/>
  <c r="CG90" i="3"/>
  <c r="CG91" i="3" s="1"/>
  <c r="J31" i="14" s="1"/>
  <c r="R100" i="3"/>
  <c r="R94" i="3"/>
  <c r="S97" i="3"/>
  <c r="BR83" i="3"/>
  <c r="CM62" i="3"/>
  <c r="CJ62" i="3"/>
  <c r="DC62" i="3"/>
  <c r="CJ55" i="3"/>
  <c r="CM55" i="3"/>
  <c r="CJ31" i="3"/>
  <c r="CM31" i="3"/>
  <c r="CM24" i="3"/>
  <c r="CJ24" i="3"/>
  <c r="CM90" i="3"/>
  <c r="U91" i="3"/>
  <c r="CN76" i="3"/>
  <c r="CQ76" i="3"/>
  <c r="CQ68" i="3"/>
  <c r="CN68" i="3"/>
  <c r="CN54" i="3"/>
  <c r="CQ54" i="3"/>
  <c r="CQ45" i="3"/>
  <c r="CN45" i="3"/>
  <c r="CZ22" i="3"/>
  <c r="CQ22" i="3"/>
  <c r="CN86" i="3"/>
  <c r="CQ86" i="3"/>
  <c r="CQ87" i="3" s="1"/>
  <c r="I45" i="14" s="1"/>
  <c r="CR75" i="3"/>
  <c r="CU75" i="3"/>
  <c r="CR67" i="3"/>
  <c r="BI67" i="3"/>
  <c r="BI53" i="3"/>
  <c r="CR36" i="3"/>
  <c r="CU36" i="3"/>
  <c r="CU29" i="3"/>
  <c r="CR29" i="3"/>
  <c r="CR21" i="3"/>
  <c r="DC21" i="3"/>
  <c r="CZ21" i="3"/>
  <c r="DC14" i="3"/>
  <c r="D60" i="14" s="1"/>
  <c r="CZ66" i="3"/>
  <c r="CY66" i="3"/>
  <c r="DC66" i="3"/>
  <c r="CV66" i="3"/>
  <c r="DC43" i="3"/>
  <c r="CY43" i="3"/>
  <c r="BI35" i="3"/>
  <c r="DC35" i="3"/>
  <c r="CY28" i="3"/>
  <c r="CV28" i="3"/>
  <c r="CZ28" i="3"/>
  <c r="DC28" i="3"/>
  <c r="BI28" i="3"/>
  <c r="CY21" i="3"/>
  <c r="BS35" i="3"/>
  <c r="DA35" i="3"/>
  <c r="DA19" i="3"/>
  <c r="G98" i="3"/>
  <c r="BI27" i="3"/>
  <c r="CM70" i="3"/>
  <c r="DX91" i="3"/>
  <c r="J94" i="14" s="1"/>
  <c r="CY85" i="3"/>
  <c r="CY87" i="3" s="1"/>
  <c r="I55" i="14" s="1"/>
  <c r="F80" i="3"/>
  <c r="BU16" i="3"/>
  <c r="DP86" i="3"/>
  <c r="J87" i="3"/>
  <c r="G87" i="3"/>
  <c r="AL91" i="3"/>
  <c r="CJ78" i="3"/>
  <c r="DD15" i="3"/>
  <c r="DC19" i="3"/>
  <c r="P99" i="3"/>
  <c r="BW89" i="3"/>
  <c r="BW91" i="3" s="1"/>
  <c r="BW99" i="3" s="1"/>
  <c r="CO92" i="3"/>
  <c r="CH22" i="3"/>
  <c r="BY92" i="3"/>
  <c r="BY94" i="3" s="1"/>
  <c r="K19" i="14" s="1"/>
  <c r="H97" i="3"/>
  <c r="CV85" i="3"/>
  <c r="DV77" i="3"/>
  <c r="AZ91" i="3"/>
  <c r="CU58" i="3"/>
  <c r="CU84" i="3"/>
  <c r="AZ87" i="3"/>
  <c r="DF66" i="3"/>
  <c r="DF35" i="3"/>
  <c r="AL94" i="3"/>
  <c r="DS33" i="3"/>
  <c r="AY87" i="3"/>
  <c r="AY99" i="3"/>
  <c r="CZ36" i="3"/>
  <c r="DL59" i="3"/>
  <c r="DX13" i="3"/>
  <c r="DL8" i="3"/>
  <c r="G79" i="14" s="1"/>
  <c r="DX61" i="3"/>
  <c r="AY97" i="3"/>
  <c r="CK81" i="3"/>
  <c r="F38" i="14" s="1"/>
  <c r="CV88" i="3"/>
  <c r="E52" i="14" s="1"/>
  <c r="DD11" i="3"/>
  <c r="AU91" i="3"/>
  <c r="DD96" i="3"/>
  <c r="BW87" i="3"/>
  <c r="BW98" i="3" s="1"/>
  <c r="T99" i="3"/>
  <c r="AX87" i="3"/>
  <c r="CY8" i="3"/>
  <c r="G55" i="14" s="1"/>
  <c r="CC91" i="3"/>
  <c r="J25" i="14" s="1"/>
  <c r="DS94" i="3"/>
  <c r="K88" i="14" s="1"/>
  <c r="BQ8" i="3"/>
  <c r="G10" i="14" s="1"/>
  <c r="CE77" i="3"/>
  <c r="CE69" i="3"/>
  <c r="CE61" i="3"/>
  <c r="CE46" i="3"/>
  <c r="CE38" i="3"/>
  <c r="CE30" i="3"/>
  <c r="CE23" i="3"/>
  <c r="CE16" i="3"/>
  <c r="CE81" i="3"/>
  <c r="F28" i="14" s="1"/>
  <c r="CE89" i="3"/>
  <c r="CE60" i="3"/>
  <c r="CE54" i="3"/>
  <c r="CE45" i="3"/>
  <c r="CE37" i="3"/>
  <c r="CE92" i="3"/>
  <c r="T94" i="3"/>
  <c r="DS59" i="3"/>
  <c r="AW87" i="3"/>
  <c r="T100" i="3"/>
  <c r="BI70" i="3"/>
  <c r="BI79" i="3"/>
  <c r="CZ71" i="3"/>
  <c r="CZ63" i="3"/>
  <c r="CZ25" i="3"/>
  <c r="AA99" i="3"/>
  <c r="AB8" i="3"/>
  <c r="AB98" i="3"/>
  <c r="BI42" i="3"/>
  <c r="BI19" i="3"/>
  <c r="BI7" i="3"/>
  <c r="BI66" i="3"/>
  <c r="BI58" i="3"/>
  <c r="BI43" i="3"/>
  <c r="AE100" i="3"/>
  <c r="P96" i="3"/>
  <c r="CQ94" i="3"/>
  <c r="K45" i="14" s="1"/>
  <c r="DK94" i="3"/>
  <c r="K71" i="14" s="1"/>
  <c r="CE70" i="3"/>
  <c r="CE39" i="3"/>
  <c r="CE31" i="3"/>
  <c r="CE90" i="3"/>
  <c r="DU91" i="3"/>
  <c r="D80" i="3"/>
  <c r="BP78" i="3"/>
  <c r="CF62" i="3"/>
  <c r="DA47" i="3"/>
  <c r="BP31" i="3"/>
  <c r="CH24" i="3"/>
  <c r="BX56" i="3"/>
  <c r="BX32" i="3"/>
  <c r="CF17" i="3"/>
  <c r="BV88" i="3"/>
  <c r="BP72" i="3"/>
  <c r="CK11" i="3"/>
  <c r="BV74" i="3"/>
  <c r="BP66" i="3"/>
  <c r="DA28" i="3"/>
  <c r="U87" i="3"/>
  <c r="CJ46" i="3"/>
  <c r="P8" i="3"/>
  <c r="DR8" i="3"/>
  <c r="G86" i="14" s="1"/>
  <c r="I96" i="3"/>
  <c r="K8" i="3"/>
  <c r="CE66" i="3"/>
  <c r="CE58" i="3"/>
  <c r="CE51" i="3"/>
  <c r="CE43" i="3"/>
  <c r="CE35" i="3"/>
  <c r="CE28" i="3"/>
  <c r="CE84" i="3"/>
  <c r="CE75" i="3"/>
  <c r="CE44" i="3"/>
  <c r="CE36" i="3"/>
  <c r="CE29" i="3"/>
  <c r="L87" i="3"/>
  <c r="N98" i="3"/>
  <c r="T8" i="3"/>
  <c r="AH8" i="3"/>
  <c r="CA8" i="3"/>
  <c r="G22" i="14" s="1"/>
  <c r="CI94" i="3"/>
  <c r="K34" i="14" s="1"/>
  <c r="CZ83" i="3"/>
  <c r="AD91" i="3"/>
  <c r="CJ94" i="3"/>
  <c r="K37" i="14" s="1"/>
  <c r="I94" i="3"/>
  <c r="AW80" i="3"/>
  <c r="AX97" i="3"/>
  <c r="AY80" i="3"/>
  <c r="AZ80" i="3"/>
  <c r="BB97" i="3"/>
  <c r="BC97" i="3"/>
  <c r="BD97" i="3"/>
  <c r="BE97" i="3"/>
  <c r="BG91" i="3"/>
  <c r="CH86" i="3"/>
  <c r="BP86" i="3"/>
  <c r="BT86" i="3"/>
  <c r="CB86" i="3"/>
  <c r="BZ86" i="3"/>
  <c r="BZ19" i="3"/>
  <c r="CD86" i="3"/>
  <c r="CW86" i="3"/>
  <c r="BX19" i="3"/>
  <c r="BW8" i="3"/>
  <c r="BW96" i="3" s="1"/>
  <c r="O94" i="3"/>
  <c r="U99" i="3"/>
  <c r="AL87" i="3"/>
  <c r="AN80" i="3"/>
  <c r="AN99" i="3"/>
  <c r="AV8" i="3"/>
  <c r="CK50" i="3"/>
  <c r="CL64" i="3"/>
  <c r="DE64" i="3"/>
  <c r="DJ64" i="3"/>
  <c r="DM64" i="3"/>
  <c r="DW64" i="3"/>
  <c r="DQ64" i="3"/>
  <c r="DY64" i="3"/>
  <c r="CC11" i="3"/>
  <c r="J97" i="3"/>
  <c r="CE13" i="3"/>
  <c r="K80" i="3"/>
  <c r="L94" i="3"/>
  <c r="CE93" i="3"/>
  <c r="M97" i="3"/>
  <c r="M94" i="3"/>
  <c r="M100" i="3"/>
  <c r="O80" i="3"/>
  <c r="BP50" i="3"/>
  <c r="BR86" i="3"/>
  <c r="BR19" i="3"/>
  <c r="F97" i="3"/>
  <c r="BQ44" i="3"/>
  <c r="AH97" i="3"/>
  <c r="R80" i="3"/>
  <c r="DI94" i="3"/>
  <c r="K69" i="14" s="1"/>
  <c r="DF30" i="3"/>
  <c r="DD30" i="3"/>
  <c r="DD23" i="3"/>
  <c r="DF23" i="3"/>
  <c r="AF80" i="3"/>
  <c r="DF16" i="3"/>
  <c r="DD16" i="3"/>
  <c r="AF87" i="3"/>
  <c r="DD81" i="3"/>
  <c r="F62" i="14" s="1"/>
  <c r="DF89" i="3"/>
  <c r="DF91" i="3" s="1"/>
  <c r="J64" i="14" s="1"/>
  <c r="AF91" i="3"/>
  <c r="AF99" i="3"/>
  <c r="DD89" i="3"/>
  <c r="AG91" i="3"/>
  <c r="AG99" i="3"/>
  <c r="AH99" i="3"/>
  <c r="AH91" i="3"/>
  <c r="AI96" i="3"/>
  <c r="AI8" i="3"/>
  <c r="DH41" i="3"/>
  <c r="DH26" i="3"/>
  <c r="AI80" i="3"/>
  <c r="AI98" i="3"/>
  <c r="AI87" i="3"/>
  <c r="DH82" i="3"/>
  <c r="AJ8" i="3"/>
  <c r="DK8" i="3"/>
  <c r="G71" i="14" s="1"/>
  <c r="DI4" i="3"/>
  <c r="DI8" i="3" s="1"/>
  <c r="G69" i="14" s="1"/>
  <c r="AJ96" i="3"/>
  <c r="DI73" i="3"/>
  <c r="DK73" i="3"/>
  <c r="DK65" i="3"/>
  <c r="DI57" i="3"/>
  <c r="DK57" i="3"/>
  <c r="DI34" i="3"/>
  <c r="DK34" i="3"/>
  <c r="DK19" i="3"/>
  <c r="DI19" i="3"/>
  <c r="AJ80" i="3"/>
  <c r="DI12" i="3"/>
  <c r="DK12" i="3"/>
  <c r="AJ97" i="3"/>
  <c r="AJ87" i="3"/>
  <c r="AJ98" i="3"/>
  <c r="AK96" i="3"/>
  <c r="AK8" i="3"/>
  <c r="AK80" i="3"/>
  <c r="AK98" i="3"/>
  <c r="AK87" i="3"/>
  <c r="AL8" i="3"/>
  <c r="AL96" i="3"/>
  <c r="DL75" i="3"/>
  <c r="DN75" i="3"/>
  <c r="DL67" i="3"/>
  <c r="DL53" i="3"/>
  <c r="DN53" i="3"/>
  <c r="DN44" i="3"/>
  <c r="DN29" i="3"/>
  <c r="DL15" i="3"/>
  <c r="AL97" i="3"/>
  <c r="DN15" i="3"/>
  <c r="AL80" i="3"/>
  <c r="CV16" i="3"/>
  <c r="CY16" i="3"/>
  <c r="Y97" i="3"/>
  <c r="CV81" i="3"/>
  <c r="F52" i="14" s="1"/>
  <c r="Y98" i="3"/>
  <c r="CV89" i="3"/>
  <c r="CY89" i="3"/>
  <c r="CY91" i="3" s="1"/>
  <c r="J55" i="14" s="1"/>
  <c r="Y99" i="3"/>
  <c r="Y91" i="3"/>
  <c r="Z91" i="3"/>
  <c r="DC90" i="3"/>
  <c r="DC48" i="3"/>
  <c r="CZ48" i="3"/>
  <c r="BI40" i="3"/>
  <c r="CZ40" i="3"/>
  <c r="CZ32" i="3"/>
  <c r="DC32" i="3"/>
  <c r="BI32" i="3"/>
  <c r="AB97" i="3"/>
  <c r="AB80" i="3"/>
  <c r="AC96" i="3"/>
  <c r="AC8" i="3"/>
  <c r="AC87" i="3"/>
  <c r="AC98" i="3"/>
  <c r="AD80" i="3"/>
  <c r="AD97" i="3"/>
  <c r="BI13" i="3"/>
  <c r="AE97" i="3"/>
  <c r="AE80" i="3"/>
  <c r="BI76" i="3"/>
  <c r="DF76" i="3"/>
  <c r="DD76" i="3"/>
  <c r="DD68" i="3"/>
  <c r="DF68" i="3"/>
  <c r="DD54" i="3"/>
  <c r="DF54" i="3"/>
  <c r="DF37" i="3"/>
  <c r="DD37" i="3"/>
  <c r="CO50" i="3"/>
  <c r="F87" i="3"/>
  <c r="F98" i="3"/>
  <c r="I97" i="3"/>
  <c r="G97" i="3"/>
  <c r="BI90" i="3"/>
  <c r="D94" i="3"/>
  <c r="BQ92" i="3"/>
  <c r="BQ94" i="3" s="1"/>
  <c r="K10" i="14" s="1"/>
  <c r="BU62" i="3"/>
  <c r="CV44" i="3"/>
  <c r="CY44" i="3"/>
  <c r="CV36" i="3"/>
  <c r="CV29" i="3"/>
  <c r="CY22" i="3"/>
  <c r="CV22" i="3"/>
  <c r="T97" i="3"/>
  <c r="T87" i="3"/>
  <c r="T98" i="3"/>
  <c r="BZ13" i="3"/>
  <c r="U96" i="3"/>
  <c r="U8" i="3"/>
  <c r="BI75" i="3"/>
  <c r="CZ75" i="3"/>
  <c r="CJ67" i="3"/>
  <c r="CZ67" i="3"/>
  <c r="DC67" i="3"/>
  <c r="BI59" i="3"/>
  <c r="CJ59" i="3"/>
  <c r="CZ59" i="3"/>
  <c r="CM59" i="3"/>
  <c r="DC59" i="3"/>
  <c r="CJ53" i="3"/>
  <c r="CZ53" i="3"/>
  <c r="CJ44" i="3"/>
  <c r="BI44" i="3"/>
  <c r="CM44" i="3"/>
  <c r="CZ44" i="3"/>
  <c r="CJ36" i="3"/>
  <c r="DC36" i="3"/>
  <c r="BI36" i="3"/>
  <c r="CM36" i="3"/>
  <c r="CM29" i="3"/>
  <c r="CZ29" i="3"/>
  <c r="BI29" i="3"/>
  <c r="DC29" i="3"/>
  <c r="CJ29" i="3"/>
  <c r="CM21" i="3"/>
  <c r="CJ21" i="3"/>
  <c r="U80" i="3"/>
  <c r="CJ77" i="3"/>
  <c r="CZ77" i="3"/>
  <c r="CM69" i="3"/>
  <c r="BI69" i="3"/>
  <c r="CZ69" i="3"/>
  <c r="DC69" i="3"/>
  <c r="DC61" i="3"/>
  <c r="CM61" i="3"/>
  <c r="CZ61" i="3"/>
  <c r="CJ38" i="3"/>
  <c r="CM38" i="3"/>
  <c r="CM30" i="3"/>
  <c r="CJ30" i="3"/>
  <c r="CZ30" i="3"/>
  <c r="CM23" i="3"/>
  <c r="CJ23" i="3"/>
  <c r="CZ23" i="3"/>
  <c r="DC16" i="3"/>
  <c r="V80" i="3"/>
  <c r="CZ16" i="3"/>
  <c r="V97" i="3"/>
  <c r="CM16" i="3"/>
  <c r="V98" i="3"/>
  <c r="CJ81" i="3"/>
  <c r="CJ87" i="3" s="1"/>
  <c r="I37" i="14" s="1"/>
  <c r="CM81" i="3"/>
  <c r="F40" i="14" s="1"/>
  <c r="EA81" i="3"/>
  <c r="F73" i="14" s="1"/>
  <c r="BI89" i="3"/>
  <c r="CM89" i="3"/>
  <c r="CJ89" i="3"/>
  <c r="CJ91" i="3" s="1"/>
  <c r="J37" i="14" s="1"/>
  <c r="V91" i="3"/>
  <c r="V99" i="3"/>
  <c r="CQ78" i="3"/>
  <c r="CN78" i="3"/>
  <c r="CZ78" i="3"/>
  <c r="DC70" i="3"/>
  <c r="CQ70" i="3"/>
  <c r="CZ70" i="3"/>
  <c r="CQ62" i="3"/>
  <c r="CZ62" i="3"/>
  <c r="CN62" i="3"/>
  <c r="CN55" i="3"/>
  <c r="DC55" i="3"/>
  <c r="CQ55" i="3"/>
  <c r="CZ55" i="3"/>
  <c r="CQ47" i="3"/>
  <c r="DC47" i="3"/>
  <c r="BI47" i="3"/>
  <c r="CZ47" i="3"/>
  <c r="CQ39" i="3"/>
  <c r="BI39" i="3"/>
  <c r="CZ39" i="3"/>
  <c r="CN39" i="3"/>
  <c r="DC39" i="3"/>
  <c r="CQ31" i="3"/>
  <c r="CN31" i="3"/>
  <c r="DC31" i="3"/>
  <c r="CZ31" i="3"/>
  <c r="CN17" i="3"/>
  <c r="CQ17" i="3"/>
  <c r="CZ17" i="3"/>
  <c r="DC17" i="3"/>
  <c r="W80" i="3"/>
  <c r="CQ10" i="3"/>
  <c r="DC10" i="3"/>
  <c r="CZ88" i="3"/>
  <c r="E57" i="14" s="1"/>
  <c r="W99" i="3"/>
  <c r="CN88" i="3"/>
  <c r="CN91" i="3" s="1"/>
  <c r="J42" i="14" s="1"/>
  <c r="X8" i="3"/>
  <c r="X96" i="3"/>
  <c r="CU72" i="3"/>
  <c r="CR72" i="3"/>
  <c r="CZ72" i="3"/>
  <c r="CZ64" i="3"/>
  <c r="CU64" i="3"/>
  <c r="CT64" i="3"/>
  <c r="DC64" i="3"/>
  <c r="CR49" i="3"/>
  <c r="CU49" i="3"/>
  <c r="CR41" i="3"/>
  <c r="CU41" i="3"/>
  <c r="BI41" i="3"/>
  <c r="CZ41" i="3"/>
  <c r="CZ33" i="3"/>
  <c r="CR33" i="3"/>
  <c r="DC33" i="3"/>
  <c r="DC26" i="3"/>
  <c r="CR26" i="3"/>
  <c r="CZ26" i="3"/>
  <c r="CU26" i="3"/>
  <c r="BI26" i="3"/>
  <c r="CU11" i="3"/>
  <c r="BI11" i="3"/>
  <c r="X87" i="3"/>
  <c r="X98" i="3"/>
  <c r="CU82" i="3"/>
  <c r="CR82" i="3"/>
  <c r="DC82" i="3"/>
  <c r="BI4" i="3"/>
  <c r="CV4" i="3"/>
  <c r="CV8" i="3" s="1"/>
  <c r="G52" i="14" s="1"/>
  <c r="CZ4" i="3"/>
  <c r="CV73" i="3"/>
  <c r="DC73" i="3"/>
  <c r="BI73" i="3"/>
  <c r="CY65" i="3"/>
  <c r="CZ65" i="3"/>
  <c r="DC65" i="3"/>
  <c r="CV65" i="3"/>
  <c r="CV57" i="3"/>
  <c r="CY57" i="3"/>
  <c r="DC57" i="3"/>
  <c r="BI57" i="3"/>
  <c r="CV51" i="3"/>
  <c r="CZ51" i="3"/>
  <c r="DC51" i="3"/>
  <c r="CY51" i="3"/>
  <c r="DT64" i="3"/>
  <c r="T80" i="3"/>
  <c r="CI8" i="3"/>
  <c r="G34" i="14" s="1"/>
  <c r="Q96" i="3"/>
  <c r="CI83" i="3"/>
  <c r="Q98" i="3"/>
  <c r="Q87" i="3"/>
  <c r="R98" i="3"/>
  <c r="R87" i="3"/>
  <c r="S87" i="3"/>
  <c r="S98" i="3"/>
  <c r="S100" i="3"/>
  <c r="S94" i="3"/>
  <c r="DR69" i="3"/>
  <c r="DO89" i="3"/>
  <c r="AX94" i="3"/>
  <c r="AX80" i="3"/>
  <c r="DZ94" i="3"/>
  <c r="DN92" i="3"/>
  <c r="DN94" i="3" s="1"/>
  <c r="K81" i="14" s="1"/>
  <c r="BD80" i="3"/>
  <c r="AL100" i="3"/>
  <c r="DV62" i="3"/>
  <c r="DV55" i="3"/>
  <c r="DZ16" i="3"/>
  <c r="DS41" i="3"/>
  <c r="DH8" i="3"/>
  <c r="G67" i="14" s="1"/>
  <c r="DZ8" i="3"/>
  <c r="BB99" i="3"/>
  <c r="DU83" i="3"/>
  <c r="AM97" i="3"/>
  <c r="K99" i="3"/>
  <c r="AW96" i="3"/>
  <c r="AV96" i="3"/>
  <c r="DR77" i="3"/>
  <c r="AV87" i="3"/>
  <c r="DZ89" i="3"/>
  <c r="DZ91" i="3" s="1"/>
  <c r="DZ81" i="3"/>
  <c r="DL92" i="3"/>
  <c r="DL94" i="3" s="1"/>
  <c r="K79" i="14" s="1"/>
  <c r="BR25" i="3"/>
  <c r="CH41" i="3"/>
  <c r="DC78" i="3"/>
  <c r="CM47" i="3"/>
  <c r="BA99" i="3"/>
  <c r="CU8" i="3"/>
  <c r="G50" i="14" s="1"/>
  <c r="DV70" i="3"/>
  <c r="Z80" i="3"/>
  <c r="AY91" i="3"/>
  <c r="AL98" i="3"/>
  <c r="BA91" i="3"/>
  <c r="DR23" i="3"/>
  <c r="DV78" i="3"/>
  <c r="AM99" i="3"/>
  <c r="DX47" i="3"/>
  <c r="AN97" i="3"/>
  <c r="AV97" i="3"/>
  <c r="AM87" i="3"/>
  <c r="CO44" i="3"/>
  <c r="AM98" i="3"/>
  <c r="DR81" i="3"/>
  <c r="DR30" i="3"/>
  <c r="J8" i="3"/>
  <c r="Q91" i="3"/>
  <c r="R97" i="3"/>
  <c r="CJ72" i="3"/>
  <c r="BI49" i="3"/>
  <c r="CM41" i="3"/>
  <c r="U97" i="3"/>
  <c r="CJ74" i="3"/>
  <c r="DC20" i="3"/>
  <c r="CJ13" i="3"/>
  <c r="CM84" i="3"/>
  <c r="BF8" i="3"/>
  <c r="BG8" i="3"/>
  <c r="BS8" i="3"/>
  <c r="G13" i="14" s="1"/>
  <c r="DL86" i="3"/>
  <c r="CM94" i="3"/>
  <c r="K40" i="14" s="1"/>
  <c r="DR46" i="3"/>
  <c r="DN86" i="3"/>
  <c r="AY8" i="3"/>
  <c r="AZ8" i="3"/>
  <c r="CJ50" i="3"/>
  <c r="CJ12" i="3"/>
  <c r="BA8" i="3"/>
  <c r="DC50" i="3"/>
  <c r="CZ13" i="3"/>
  <c r="DC84" i="3"/>
  <c r="AB96" i="3"/>
  <c r="AB87" i="3"/>
  <c r="CF22" i="3"/>
  <c r="BX86" i="3"/>
  <c r="CS86" i="3"/>
  <c r="DA86" i="3"/>
  <c r="CK86" i="3"/>
  <c r="CO86" i="3"/>
  <c r="CF86" i="3"/>
  <c r="BV86" i="3"/>
  <c r="BT22" i="3"/>
  <c r="CK22" i="3"/>
  <c r="DP22" i="3"/>
  <c r="BR22" i="3"/>
  <c r="CO22" i="3"/>
  <c r="BV50" i="3"/>
  <c r="CH50" i="3"/>
  <c r="BP22" i="3"/>
  <c r="CD22" i="3"/>
  <c r="CW22" i="3"/>
  <c r="DA22" i="3"/>
  <c r="BV22" i="3"/>
  <c r="CB22" i="3"/>
  <c r="CS22" i="3"/>
  <c r="BX22" i="3"/>
  <c r="BZ22" i="3"/>
  <c r="CH19" i="3"/>
  <c r="BQ66" i="3"/>
  <c r="BU23" i="3"/>
  <c r="F91" i="3"/>
  <c r="BU89" i="3"/>
  <c r="BU91" i="3" s="1"/>
  <c r="J16" i="14" s="1"/>
  <c r="BQ88" i="3"/>
  <c r="BQ91" i="3" s="1"/>
  <c r="J10" i="14" s="1"/>
  <c r="BS82" i="3"/>
  <c r="BS87" i="3" s="1"/>
  <c r="I13" i="14" s="1"/>
  <c r="BU4" i="3"/>
  <c r="BU8" i="3" s="1"/>
  <c r="G16" i="14" s="1"/>
  <c r="F96" i="3"/>
  <c r="BY39" i="3"/>
  <c r="BQ54" i="3"/>
  <c r="J100" i="3"/>
  <c r="CA94" i="3"/>
  <c r="K22" i="14" s="1"/>
  <c r="CI90" i="3"/>
  <c r="DB64" i="3"/>
  <c r="DG64" i="3"/>
  <c r="K98" i="3"/>
  <c r="K91" i="3"/>
  <c r="S80" i="3"/>
  <c r="CZ58" i="3"/>
  <c r="CZ43" i="3"/>
  <c r="BQ87" i="3"/>
  <c r="I10" i="14" s="1"/>
  <c r="CG93" i="3"/>
  <c r="CG94" i="3" s="1"/>
  <c r="K31" i="14" s="1"/>
  <c r="P100" i="3"/>
  <c r="BI21" i="3"/>
  <c r="CU21" i="3"/>
  <c r="CU14" i="3"/>
  <c r="D50" i="14" s="1"/>
  <c r="X97" i="3"/>
  <c r="CR14" i="3"/>
  <c r="D47" i="14" s="1"/>
  <c r="X94" i="3"/>
  <c r="BI93" i="3"/>
  <c r="CY60" i="3"/>
  <c r="DC60" i="3"/>
  <c r="CV46" i="3"/>
  <c r="CZ46" i="3"/>
  <c r="CY17" i="3"/>
  <c r="CV17" i="3"/>
  <c r="Z8" i="3"/>
  <c r="Z96" i="3"/>
  <c r="CW14" i="3"/>
  <c r="D53" i="14" s="1"/>
  <c r="DI91" i="3"/>
  <c r="J69" i="14" s="1"/>
  <c r="BS73" i="3"/>
  <c r="E8" i="3"/>
  <c r="DC75" i="3"/>
  <c r="U98" i="3"/>
  <c r="V87" i="3"/>
  <c r="DL32" i="3"/>
  <c r="DC11" i="3"/>
  <c r="CZ11" i="3"/>
  <c r="CZ82" i="3"/>
  <c r="CZ7" i="3"/>
  <c r="H98" i="3"/>
  <c r="CE24" i="3"/>
  <c r="DV28" i="3"/>
  <c r="DX28" i="3"/>
  <c r="DK54" i="3"/>
  <c r="DI54" i="3"/>
  <c r="DX8" i="3"/>
  <c r="G94" i="14" s="1"/>
  <c r="DU94" i="3"/>
  <c r="DC41" i="3"/>
  <c r="BI84" i="3"/>
  <c r="CR43" i="3"/>
  <c r="CU43" i="3"/>
  <c r="CZ76" i="3"/>
  <c r="W87" i="3"/>
  <c r="CR8" i="3"/>
  <c r="G47" i="14" s="1"/>
  <c r="M8" i="3"/>
  <c r="X91" i="3"/>
  <c r="BI71" i="3"/>
  <c r="CZ56" i="3"/>
  <c r="CZ14" i="3"/>
  <c r="D57" i="14" s="1"/>
  <c r="DC85" i="3"/>
  <c r="BI68" i="3"/>
  <c r="BI60" i="3"/>
  <c r="CZ54" i="3"/>
  <c r="DC45" i="3"/>
  <c r="CZ37" i="3"/>
  <c r="BI22" i="3"/>
  <c r="Z97" i="3"/>
  <c r="DC86" i="3"/>
  <c r="Z94" i="3"/>
  <c r="DC77" i="3"/>
  <c r="BI61" i="3"/>
  <c r="BI30" i="3"/>
  <c r="DC23" i="3"/>
  <c r="BI16" i="3"/>
  <c r="AA87" i="3"/>
  <c r="CZ89" i="3"/>
  <c r="BI78" i="3"/>
  <c r="BI62" i="3"/>
  <c r="BI55" i="3"/>
  <c r="BI31" i="3"/>
  <c r="AB91" i="3"/>
  <c r="AC80" i="3"/>
  <c r="BI48" i="3"/>
  <c r="BI25" i="3"/>
  <c r="BI17" i="3"/>
  <c r="BI10" i="3"/>
  <c r="AC99" i="3"/>
  <c r="AD8" i="3"/>
  <c r="BI72" i="3"/>
  <c r="BI33" i="3"/>
  <c r="BI18" i="3"/>
  <c r="AD98" i="3"/>
  <c r="BI50" i="3"/>
  <c r="BI12" i="3"/>
  <c r="AE87" i="3"/>
  <c r="BI74" i="3"/>
  <c r="AF94" i="3"/>
  <c r="AG80" i="3"/>
  <c r="AG87" i="3"/>
  <c r="AG100" i="3"/>
  <c r="G91" i="3"/>
  <c r="CE79" i="3"/>
  <c r="CE71" i="3"/>
  <c r="V8" i="3"/>
  <c r="CJ26" i="3"/>
  <c r="D91" i="3"/>
  <c r="I100" i="3"/>
  <c r="CE78" i="3"/>
  <c r="CE62" i="3"/>
  <c r="CE56" i="3"/>
  <c r="CE88" i="3"/>
  <c r="E28" i="14" s="1"/>
  <c r="CE64" i="3"/>
  <c r="CE15" i="3"/>
  <c r="N99" i="3"/>
  <c r="BT23" i="3"/>
  <c r="CM8" i="3"/>
  <c r="G40" i="14" s="1"/>
  <c r="CZ74" i="3"/>
  <c r="CJ51" i="3"/>
  <c r="CM43" i="3"/>
  <c r="DO78" i="3"/>
  <c r="CE53" i="3"/>
  <c r="CE21" i="3"/>
  <c r="CE85" i="3"/>
  <c r="CE76" i="3"/>
  <c r="CB49" i="3"/>
  <c r="CJ4" i="3"/>
  <c r="CJ8" i="3" s="1"/>
  <c r="G37" i="14" s="1"/>
  <c r="CJ57" i="3"/>
  <c r="DN96" i="3"/>
  <c r="DH94" i="3"/>
  <c r="K67" i="14" s="1"/>
  <c r="CV49" i="3"/>
  <c r="CY49" i="3"/>
  <c r="AE96" i="3"/>
  <c r="AE8" i="3"/>
  <c r="DF14" i="3"/>
  <c r="D64" i="14" s="1"/>
  <c r="DD14" i="3"/>
  <c r="D62" i="14" s="1"/>
  <c r="CZ79" i="3"/>
  <c r="CZ34" i="3"/>
  <c r="AG97" i="3"/>
  <c r="CZ42" i="3"/>
  <c r="AE98" i="3"/>
  <c r="CZ92" i="3"/>
  <c r="X80" i="3"/>
  <c r="Q97" i="3"/>
  <c r="DC15" i="3"/>
  <c r="DC42" i="3"/>
  <c r="CZ45" i="3"/>
  <c r="BI63" i="3"/>
  <c r="DC46" i="3"/>
  <c r="DC22" i="3"/>
  <c r="BI24" i="3"/>
  <c r="DC24" i="3"/>
  <c r="AA91" i="3"/>
  <c r="BI86" i="3"/>
  <c r="CY63" i="3"/>
  <c r="DF43" i="3"/>
  <c r="CY20" i="3"/>
  <c r="AD96" i="3"/>
  <c r="CV27" i="3"/>
  <c r="CV56" i="3"/>
  <c r="K100" i="3"/>
  <c r="L98" i="3"/>
  <c r="CN75" i="3"/>
  <c r="DD75" i="3"/>
  <c r="DV75" i="3"/>
  <c r="DC54" i="3"/>
  <c r="Z98" i="3"/>
  <c r="CV79" i="3"/>
  <c r="BI85" i="3"/>
  <c r="BI51" i="3"/>
  <c r="P97" i="3"/>
  <c r="AA80" i="3"/>
  <c r="AA97" i="3"/>
  <c r="AF97" i="3"/>
  <c r="BI45" i="3"/>
  <c r="CU94" i="3"/>
  <c r="K50" i="14" s="1"/>
  <c r="BI54" i="3"/>
  <c r="BI34" i="3"/>
  <c r="BI37" i="3"/>
  <c r="Y94" i="3"/>
  <c r="DC71" i="3"/>
  <c r="L91" i="3"/>
  <c r="BI92" i="3"/>
  <c r="CZ24" i="3"/>
  <c r="CY56" i="3"/>
  <c r="CZ27" i="3"/>
  <c r="Z87" i="3"/>
  <c r="CZ15" i="3"/>
  <c r="CG8" i="3"/>
  <c r="G31" i="14" s="1"/>
  <c r="DF21" i="3"/>
  <c r="AC91" i="3"/>
  <c r="DF51" i="3"/>
  <c r="CJ69" i="3"/>
  <c r="DV63" i="3"/>
  <c r="DI63" i="3"/>
  <c r="DL63" i="3"/>
  <c r="DS63" i="3"/>
  <c r="BI77" i="3"/>
  <c r="CZ85" i="3"/>
  <c r="CZ68" i="3"/>
  <c r="DH91" i="3"/>
  <c r="J67" i="14" s="1"/>
  <c r="BI15" i="3"/>
  <c r="Q80" i="3"/>
  <c r="DC56" i="3"/>
  <c r="BI46" i="3"/>
  <c r="DC49" i="3"/>
  <c r="CZ38" i="3"/>
  <c r="DC34" i="3"/>
  <c r="DC27" i="3"/>
  <c r="DC92" i="3"/>
  <c r="L99" i="3"/>
  <c r="DC93" i="3"/>
  <c r="CZ90" i="3"/>
  <c r="AA98" i="3"/>
  <c r="DC81" i="3"/>
  <c r="F60" i="14" s="1"/>
  <c r="AD87" i="3"/>
  <c r="DC37" i="3"/>
  <c r="AF98" i="3"/>
  <c r="AF96" i="3"/>
  <c r="DD35" i="3"/>
  <c r="DF8" i="3"/>
  <c r="G64" i="14" s="1"/>
  <c r="CV71" i="3"/>
  <c r="J94" i="3"/>
  <c r="CC92" i="3"/>
  <c r="CC94" i="3" s="1"/>
  <c r="K25" i="14" s="1"/>
  <c r="M98" i="3"/>
  <c r="CV11" i="3"/>
  <c r="CY11" i="3"/>
  <c r="CY71" i="3"/>
  <c r="BI38" i="3"/>
  <c r="EA23" i="3"/>
  <c r="AB99" i="3"/>
  <c r="CE55" i="3"/>
  <c r="Y8" i="3"/>
  <c r="Y96" i="3"/>
  <c r="DS86" i="3"/>
  <c r="DO86" i="3"/>
  <c r="DD86" i="3"/>
  <c r="BI88" i="3"/>
  <c r="AF100" i="3"/>
  <c r="CZ20" i="3"/>
  <c r="CZ86" i="3"/>
  <c r="CZ10" i="3"/>
  <c r="CN10" i="3"/>
  <c r="BN96" i="3"/>
  <c r="BN8" i="3"/>
  <c r="CZ93" i="3"/>
  <c r="Y80" i="3"/>
  <c r="CU46" i="3"/>
  <c r="DC38" i="3"/>
  <c r="CZ49" i="3"/>
  <c r="BI20" i="3"/>
  <c r="Y100" i="3"/>
  <c r="DC89" i="3"/>
  <c r="AF8" i="3"/>
  <c r="N96" i="3"/>
  <c r="N8" i="3"/>
  <c r="BN87" i="3"/>
  <c r="DL84" i="3"/>
  <c r="CV30" i="3"/>
  <c r="H100" i="3"/>
  <c r="K96" i="3"/>
  <c r="CE59" i="3"/>
  <c r="CE20" i="3"/>
  <c r="M91" i="3"/>
  <c r="N87" i="3"/>
  <c r="O97" i="3"/>
  <c r="T91" i="3"/>
  <c r="BZ36" i="3"/>
  <c r="F99" i="3"/>
  <c r="J99" i="3"/>
  <c r="O91" i="3"/>
  <c r="CE22" i="3"/>
  <c r="Q8" i="3"/>
  <c r="BT30" i="3"/>
  <c r="CJ75" i="3"/>
  <c r="DD78" i="3"/>
  <c r="O8" i="3"/>
  <c r="DC72" i="3"/>
  <c r="DN91" i="3"/>
  <c r="J81" i="14" s="1"/>
  <c r="H87" i="3"/>
  <c r="CE68" i="3"/>
  <c r="CE47" i="3"/>
  <c r="O96" i="3"/>
  <c r="BT50" i="3"/>
  <c r="CB50" i="3"/>
  <c r="CF50" i="3"/>
  <c r="CS50" i="3"/>
  <c r="DP50" i="3"/>
  <c r="CW50" i="3"/>
  <c r="BR50" i="3"/>
  <c r="DA50" i="3"/>
  <c r="BX50" i="3"/>
  <c r="BT19" i="3"/>
  <c r="CD19" i="3"/>
  <c r="BP19" i="3"/>
  <c r="CO19" i="3"/>
  <c r="CW19" i="3"/>
  <c r="DP19" i="3"/>
  <c r="CF19" i="3"/>
  <c r="J98" i="3"/>
  <c r="DI87" i="3"/>
  <c r="I69" i="14" s="1"/>
  <c r="BU15" i="3"/>
  <c r="L97" i="3"/>
  <c r="Q99" i="3"/>
  <c r="CI88" i="3"/>
  <c r="E34" i="14" s="1"/>
  <c r="R96" i="3"/>
  <c r="R8" i="3"/>
  <c r="H80" i="3"/>
  <c r="M80" i="3"/>
  <c r="CG10" i="3"/>
  <c r="P80" i="3"/>
  <c r="BI14" i="3"/>
  <c r="CM14" i="3"/>
  <c r="D40" i="14" s="1"/>
  <c r="CQ91" i="3"/>
  <c r="J45" i="14" s="1"/>
  <c r="DV8" i="3"/>
  <c r="G92" i="14" s="1"/>
  <c r="BS68" i="3"/>
  <c r="BY88" i="3"/>
  <c r="BY91" i="3" s="1"/>
  <c r="J19" i="14" s="1"/>
  <c r="H91" i="3"/>
  <c r="CE14" i="3"/>
  <c r="D28" i="14" s="1"/>
  <c r="CJ35" i="3"/>
  <c r="CM35" i="3"/>
  <c r="F94" i="3"/>
  <c r="BU93" i="3"/>
  <c r="BU94" i="3" s="1"/>
  <c r="K16" i="14" s="1"/>
  <c r="BY87" i="3"/>
  <c r="I19" i="14" s="1"/>
  <c r="L96" i="3"/>
  <c r="O98" i="3"/>
  <c r="O87" i="3"/>
  <c r="P98" i="3"/>
  <c r="CJ65" i="3"/>
  <c r="CM65" i="3"/>
  <c r="CE8" i="3"/>
  <c r="G28" i="14" s="1"/>
  <c r="L8" i="3"/>
  <c r="M99" i="3"/>
  <c r="DC79" i="3"/>
  <c r="CM79" i="3"/>
  <c r="H96" i="3"/>
  <c r="H8" i="3"/>
  <c r="CE10" i="3"/>
  <c r="K97" i="3"/>
  <c r="N97" i="3"/>
  <c r="S8" i="3"/>
  <c r="S96" i="3"/>
  <c r="J80" i="3"/>
  <c r="BS100" i="3" l="1"/>
  <c r="EA73" i="3"/>
  <c r="BJ83" i="3"/>
  <c r="EA24" i="3"/>
  <c r="EA63" i="3"/>
  <c r="EA90" i="3"/>
  <c r="EA77" i="3"/>
  <c r="DG65" i="3"/>
  <c r="DB53" i="3"/>
  <c r="EA92" i="3"/>
  <c r="EA46" i="3"/>
  <c r="EA14" i="3"/>
  <c r="D73" i="14" s="1"/>
  <c r="EA15" i="3"/>
  <c r="EA34" i="3"/>
  <c r="CP28" i="3"/>
  <c r="EA51" i="3"/>
  <c r="BJ85" i="3"/>
  <c r="EA54" i="3"/>
  <c r="EA42" i="3"/>
  <c r="E92" i="14"/>
  <c r="DO96" i="3"/>
  <c r="G83" i="14"/>
  <c r="BY96" i="3"/>
  <c r="G19" i="14"/>
  <c r="E42" i="14"/>
  <c r="DR87" i="3"/>
  <c r="I86" i="14" s="1"/>
  <c r="F86" i="14"/>
  <c r="G90" i="14"/>
  <c r="G77" i="14"/>
  <c r="E47" i="14"/>
  <c r="E88" i="14"/>
  <c r="F37" i="14"/>
  <c r="E19" i="14"/>
  <c r="E10" i="14"/>
  <c r="E71" i="14"/>
  <c r="K90" i="14"/>
  <c r="K77" i="14"/>
  <c r="J90" i="14"/>
  <c r="J77" i="14"/>
  <c r="CL82" i="3"/>
  <c r="BJ82" i="3"/>
  <c r="EA86" i="3"/>
  <c r="BJ86" i="3"/>
  <c r="BL86" i="3" s="1"/>
  <c r="EA84" i="3"/>
  <c r="BJ84" i="3"/>
  <c r="AZ101" i="3"/>
  <c r="AZ105" i="3" s="1"/>
  <c r="BE101" i="3"/>
  <c r="BE105" i="3" s="1"/>
  <c r="DW82" i="3"/>
  <c r="BX60" i="3"/>
  <c r="BT74" i="3"/>
  <c r="CK74" i="3"/>
  <c r="CB74" i="3"/>
  <c r="CS74" i="3"/>
  <c r="CD74" i="3"/>
  <c r="CF74" i="3"/>
  <c r="DP74" i="3"/>
  <c r="CN87" i="3"/>
  <c r="I42" i="14" s="1"/>
  <c r="CH60" i="3"/>
  <c r="BZ74" i="3"/>
  <c r="DS96" i="3"/>
  <c r="CX4" i="3"/>
  <c r="EA4" i="3"/>
  <c r="DH87" i="3"/>
  <c r="I67" i="14" s="1"/>
  <c r="BZ60" i="3"/>
  <c r="DS87" i="3"/>
  <c r="I88" i="14" s="1"/>
  <c r="DA41" i="3"/>
  <c r="DZ100" i="3"/>
  <c r="DZ99" i="3"/>
  <c r="DU99" i="3"/>
  <c r="AX101" i="3"/>
  <c r="AX105" i="3" s="1"/>
  <c r="CX93" i="3"/>
  <c r="EA93" i="3"/>
  <c r="EA94" i="3" s="1"/>
  <c r="K73" i="14" s="1"/>
  <c r="CY99" i="3"/>
  <c r="DQ88" i="3"/>
  <c r="E85" i="14" s="1"/>
  <c r="EA88" i="3"/>
  <c r="E73" i="14" s="1"/>
  <c r="CL89" i="3"/>
  <c r="EA89" i="3"/>
  <c r="CQ98" i="3"/>
  <c r="DG85" i="3"/>
  <c r="EA85" i="3"/>
  <c r="CX83" i="3"/>
  <c r="EA83" i="3"/>
  <c r="DM82" i="3"/>
  <c r="EA82" i="3"/>
  <c r="DQ12" i="3"/>
  <c r="EA12" i="3"/>
  <c r="DM10" i="3"/>
  <c r="EA10" i="3"/>
  <c r="DE62" i="3"/>
  <c r="EA62" i="3"/>
  <c r="DM29" i="3"/>
  <c r="EA29" i="3"/>
  <c r="DJ58" i="3"/>
  <c r="EA58" i="3"/>
  <c r="EA53" i="3"/>
  <c r="DB37" i="3"/>
  <c r="EA37" i="3"/>
  <c r="DG50" i="3"/>
  <c r="EA50" i="3"/>
  <c r="DJ17" i="3"/>
  <c r="EA17" i="3"/>
  <c r="DT78" i="3"/>
  <c r="EA78" i="3"/>
  <c r="EA60" i="3"/>
  <c r="CL57" i="3"/>
  <c r="EA57" i="3"/>
  <c r="CP47" i="3"/>
  <c r="EA47" i="3"/>
  <c r="DM44" i="3"/>
  <c r="EA44" i="3"/>
  <c r="DT59" i="3"/>
  <c r="EA59" i="3"/>
  <c r="CT66" i="3"/>
  <c r="EA66" i="3"/>
  <c r="DM35" i="3"/>
  <c r="EA35" i="3"/>
  <c r="CX67" i="3"/>
  <c r="EA67" i="3"/>
  <c r="CT41" i="3"/>
  <c r="EA41" i="3"/>
  <c r="DM25" i="3"/>
  <c r="EA25" i="3"/>
  <c r="EA68" i="3"/>
  <c r="DG76" i="3"/>
  <c r="EA76" i="3"/>
  <c r="DE40" i="3"/>
  <c r="EA40" i="3"/>
  <c r="DB69" i="3"/>
  <c r="EA69" i="3"/>
  <c r="DB20" i="3"/>
  <c r="EA20" i="3"/>
  <c r="DB38" i="3"/>
  <c r="EA38" i="3"/>
  <c r="CT18" i="3"/>
  <c r="EA18" i="3"/>
  <c r="CT48" i="3"/>
  <c r="EA48" i="3"/>
  <c r="DQ19" i="3"/>
  <c r="EA19" i="3"/>
  <c r="DB79" i="3"/>
  <c r="EA79" i="3"/>
  <c r="CT28" i="3"/>
  <c r="EA28" i="3"/>
  <c r="EA65" i="3"/>
  <c r="CT61" i="3"/>
  <c r="EA61" i="3"/>
  <c r="DT33" i="3"/>
  <c r="EA33" i="3"/>
  <c r="DT16" i="3"/>
  <c r="EA16" i="3"/>
  <c r="BJ22" i="3"/>
  <c r="BL22" i="3" s="1"/>
  <c r="EA22" i="3"/>
  <c r="DE11" i="3"/>
  <c r="EA11" i="3"/>
  <c r="CL36" i="3"/>
  <c r="EA36" i="3"/>
  <c r="CL55" i="3"/>
  <c r="EA55" i="3"/>
  <c r="DW43" i="3"/>
  <c r="EA43" i="3"/>
  <c r="DQ72" i="3"/>
  <c r="EA72" i="3"/>
  <c r="DB21" i="3"/>
  <c r="EA21" i="3"/>
  <c r="CT13" i="3"/>
  <c r="EA13" i="3"/>
  <c r="CX70" i="3"/>
  <c r="EA70" i="3"/>
  <c r="DB27" i="3"/>
  <c r="EA27" i="3"/>
  <c r="DB56" i="3"/>
  <c r="EA56" i="3"/>
  <c r="DY45" i="3"/>
  <c r="EA45" i="3"/>
  <c r="DG74" i="3"/>
  <c r="EA74" i="3"/>
  <c r="DM31" i="3"/>
  <c r="EA31" i="3"/>
  <c r="CL30" i="3"/>
  <c r="EA30" i="3"/>
  <c r="DJ71" i="3"/>
  <c r="EA71" i="3"/>
  <c r="DT49" i="3"/>
  <c r="EA49" i="3"/>
  <c r="CT26" i="3"/>
  <c r="EA26" i="3"/>
  <c r="CP39" i="3"/>
  <c r="EA39" i="3"/>
  <c r="DM75" i="3"/>
  <c r="EA75" i="3"/>
  <c r="DT32" i="3"/>
  <c r="EA32" i="3"/>
  <c r="BS99" i="3"/>
  <c r="CJ99" i="3"/>
  <c r="BU98" i="3"/>
  <c r="BV17" i="3"/>
  <c r="CW17" i="3"/>
  <c r="DA17" i="3"/>
  <c r="CK17" i="3"/>
  <c r="CO17" i="3"/>
  <c r="CS17" i="3"/>
  <c r="BP17" i="3"/>
  <c r="BR17" i="3"/>
  <c r="BK101" i="3"/>
  <c r="DZ96" i="3"/>
  <c r="CL7" i="3"/>
  <c r="EA7" i="3"/>
  <c r="BX74" i="3"/>
  <c r="DP25" i="3"/>
  <c r="BP74" i="3"/>
  <c r="DG53" i="3"/>
  <c r="AW101" i="3"/>
  <c r="AW105" i="3" s="1"/>
  <c r="CX82" i="3"/>
  <c r="BZ62" i="3"/>
  <c r="CO74" i="3"/>
  <c r="BR74" i="3"/>
  <c r="DM28" i="3"/>
  <c r="DJ53" i="3"/>
  <c r="CX53" i="3"/>
  <c r="DA74" i="3"/>
  <c r="CR87" i="3"/>
  <c r="I47" i="14" s="1"/>
  <c r="DO91" i="3"/>
  <c r="J83" i="14" s="1"/>
  <c r="DU87" i="3"/>
  <c r="DX87" i="3"/>
  <c r="I94" i="14" s="1"/>
  <c r="DZ87" i="3"/>
  <c r="CU99" i="3"/>
  <c r="AN101" i="3"/>
  <c r="AN105" i="3" s="1"/>
  <c r="CE94" i="3"/>
  <c r="K28" i="14" s="1"/>
  <c r="BP41" i="3"/>
  <c r="AV101" i="3"/>
  <c r="AV105" i="3" s="1"/>
  <c r="AU101" i="3"/>
  <c r="AU105" i="3" s="1"/>
  <c r="CI87" i="3"/>
  <c r="I34" i="14" s="1"/>
  <c r="CE87" i="3"/>
  <c r="I28" i="14" s="1"/>
  <c r="CU87" i="3"/>
  <c r="I50" i="14" s="1"/>
  <c r="BM101" i="3"/>
  <c r="DD87" i="3"/>
  <c r="I62" i="14" s="1"/>
  <c r="DO87" i="3"/>
  <c r="I83" i="14" s="1"/>
  <c r="BN101" i="3"/>
  <c r="CQ96" i="3"/>
  <c r="CM91" i="3"/>
  <c r="J40" i="14" s="1"/>
  <c r="DX99" i="3"/>
  <c r="DN87" i="3"/>
  <c r="I81" i="14" s="1"/>
  <c r="BY80" i="3"/>
  <c r="H19" i="14" s="1"/>
  <c r="CC80" i="3"/>
  <c r="H25" i="14" s="1"/>
  <c r="CC96" i="3"/>
  <c r="DH96" i="3"/>
  <c r="DK96" i="3"/>
  <c r="BG101" i="3"/>
  <c r="BG105" i="3" s="1"/>
  <c r="CT82" i="3"/>
  <c r="DQ65" i="3"/>
  <c r="BF101" i="3"/>
  <c r="BF105" i="3" s="1"/>
  <c r="DT82" i="3"/>
  <c r="BD101" i="3"/>
  <c r="BD105" i="3" s="1"/>
  <c r="BB101" i="3"/>
  <c r="BB105" i="3" s="1"/>
  <c r="DV100" i="3"/>
  <c r="DE65" i="3"/>
  <c r="DM65" i="3"/>
  <c r="CT65" i="3"/>
  <c r="DJ43" i="3"/>
  <c r="CX65" i="3"/>
  <c r="DQ53" i="3"/>
  <c r="DE53" i="3"/>
  <c r="DW65" i="3"/>
  <c r="CP7" i="3"/>
  <c r="CX7" i="3"/>
  <c r="CJ100" i="3"/>
  <c r="DB82" i="3"/>
  <c r="DE82" i="3"/>
  <c r="DT65" i="3"/>
  <c r="DE66" i="3"/>
  <c r="DB29" i="3"/>
  <c r="DG59" i="3"/>
  <c r="DJ59" i="3"/>
  <c r="DW47" i="3"/>
  <c r="DB47" i="3"/>
  <c r="DW7" i="3"/>
  <c r="DR96" i="3"/>
  <c r="DL87" i="3"/>
  <c r="I79" i="14" s="1"/>
  <c r="DB65" i="3"/>
  <c r="DG67" i="3"/>
  <c r="CL65" i="3"/>
  <c r="DE35" i="3"/>
  <c r="DG29" i="3"/>
  <c r="DM70" i="3"/>
  <c r="DT29" i="3"/>
  <c r="DY47" i="3"/>
  <c r="DT28" i="3"/>
  <c r="DJ65" i="3"/>
  <c r="DY71" i="3"/>
  <c r="DY65" i="3"/>
  <c r="CP65" i="3"/>
  <c r="AC101" i="3"/>
  <c r="AC105" i="3" s="1"/>
  <c r="DY49" i="3"/>
  <c r="CL67" i="3"/>
  <c r="DB35" i="3"/>
  <c r="DJ35" i="3"/>
  <c r="CT67" i="3"/>
  <c r="DY67" i="3"/>
  <c r="CX71" i="3"/>
  <c r="DB67" i="3"/>
  <c r="DM67" i="3"/>
  <c r="DY66" i="3"/>
  <c r="DT67" i="3"/>
  <c r="DY35" i="3"/>
  <c r="DB66" i="3"/>
  <c r="CT49" i="3"/>
  <c r="CP67" i="3"/>
  <c r="DB49" i="3"/>
  <c r="CL49" i="3"/>
  <c r="DQ35" i="3"/>
  <c r="CX35" i="3"/>
  <c r="DQ82" i="3"/>
  <c r="DT83" i="3"/>
  <c r="DM83" i="3"/>
  <c r="DW83" i="3"/>
  <c r="CP82" i="3"/>
  <c r="DY83" i="3"/>
  <c r="DE48" i="3"/>
  <c r="CT56" i="3"/>
  <c r="CX39" i="3"/>
  <c r="DE56" i="3"/>
  <c r="CT55" i="3"/>
  <c r="DQ69" i="3"/>
  <c r="DW69" i="3"/>
  <c r="CL27" i="3"/>
  <c r="DW27" i="3"/>
  <c r="DM47" i="3"/>
  <c r="DE27" i="3"/>
  <c r="CX56" i="3"/>
  <c r="DW13" i="3"/>
  <c r="DE7" i="3"/>
  <c r="DG7" i="3"/>
  <c r="DM7" i="3"/>
  <c r="CT7" i="3"/>
  <c r="DY7" i="3"/>
  <c r="DQ83" i="3"/>
  <c r="DE83" i="3"/>
  <c r="DG83" i="3"/>
  <c r="CP83" i="3"/>
  <c r="CT83" i="3"/>
  <c r="DJ83" i="3"/>
  <c r="CN100" i="3"/>
  <c r="DB60" i="3"/>
  <c r="DQ66" i="3"/>
  <c r="DY31" i="3"/>
  <c r="DG31" i="3"/>
  <c r="CP30" i="3"/>
  <c r="DB31" i="3"/>
  <c r="DE30" i="3"/>
  <c r="CX66" i="3"/>
  <c r="DJ61" i="3"/>
  <c r="CL66" i="3"/>
  <c r="CN96" i="3"/>
  <c r="DM30" i="3"/>
  <c r="DG58" i="3"/>
  <c r="BT56" i="3"/>
  <c r="CD47" i="3"/>
  <c r="BV47" i="3"/>
  <c r="CW32" i="3"/>
  <c r="CS11" i="3"/>
  <c r="CB11" i="3"/>
  <c r="CO11" i="3"/>
  <c r="DQ4" i="3"/>
  <c r="DW79" i="3"/>
  <c r="DQ48" i="3"/>
  <c r="DG36" i="3"/>
  <c r="Z101" i="3"/>
  <c r="Z105" i="3" s="1"/>
  <c r="BA101" i="3"/>
  <c r="BA105" i="3" s="1"/>
  <c r="DT56" i="3"/>
  <c r="DE19" i="3"/>
  <c r="CL79" i="3"/>
  <c r="DY48" i="3"/>
  <c r="DW56" i="3"/>
  <c r="CL72" i="3"/>
  <c r="DC8" i="3"/>
  <c r="G60" i="14" s="1"/>
  <c r="DM56" i="3"/>
  <c r="CL56" i="3"/>
  <c r="DG79" i="3"/>
  <c r="CL93" i="3"/>
  <c r="DJ48" i="3"/>
  <c r="DG56" i="3"/>
  <c r="BZ92" i="3"/>
  <c r="AY101" i="3"/>
  <c r="AY105" i="3" s="1"/>
  <c r="DY93" i="3"/>
  <c r="DE12" i="3"/>
  <c r="CL48" i="3"/>
  <c r="DQ56" i="3"/>
  <c r="W101" i="3"/>
  <c r="W105" i="3" s="1"/>
  <c r="DY56" i="3"/>
  <c r="DW19" i="3"/>
  <c r="CT79" i="3"/>
  <c r="AK101" i="3"/>
  <c r="AK105" i="3" s="1"/>
  <c r="DH80" i="3"/>
  <c r="H67" i="14" s="1"/>
  <c r="BW80" i="3"/>
  <c r="BW97" i="3" s="1"/>
  <c r="DJ56" i="3"/>
  <c r="DG48" i="3"/>
  <c r="CL12" i="3"/>
  <c r="DT19" i="3"/>
  <c r="DY79" i="3"/>
  <c r="CP48" i="3"/>
  <c r="BJ19" i="3"/>
  <c r="BL19" i="3" s="1"/>
  <c r="CY96" i="3"/>
  <c r="CX50" i="3"/>
  <c r="DB19" i="3"/>
  <c r="DT79" i="3"/>
  <c r="DJ19" i="3"/>
  <c r="DM79" i="3"/>
  <c r="DK100" i="3"/>
  <c r="DM33" i="3"/>
  <c r="DX80" i="3"/>
  <c r="H94" i="14" s="1"/>
  <c r="CP56" i="3"/>
  <c r="CT19" i="3"/>
  <c r="DU96" i="3"/>
  <c r="DQ17" i="3"/>
  <c r="BJ60" i="3"/>
  <c r="BL60" i="3" s="1"/>
  <c r="CF60" i="3"/>
  <c r="DM4" i="3"/>
  <c r="AG101" i="3"/>
  <c r="AG105" i="3" s="1"/>
  <c r="DT12" i="3"/>
  <c r="DE10" i="3"/>
  <c r="DW55" i="3"/>
  <c r="DQ60" i="3"/>
  <c r="I101" i="3"/>
  <c r="I105" i="3" s="1"/>
  <c r="DG28" i="3"/>
  <c r="CT4" i="3"/>
  <c r="V101" i="3"/>
  <c r="V105" i="3" s="1"/>
  <c r="CX28" i="3"/>
  <c r="BC101" i="3"/>
  <c r="BC105" i="3" s="1"/>
  <c r="DG82" i="3"/>
  <c r="G101" i="3"/>
  <c r="G105" i="3" s="1"/>
  <c r="DB17" i="3"/>
  <c r="CO60" i="3"/>
  <c r="CS60" i="3"/>
  <c r="AF101" i="3"/>
  <c r="AF105" i="3" s="1"/>
  <c r="DE4" i="3"/>
  <c r="AD101" i="3"/>
  <c r="AD105" i="3" s="1"/>
  <c r="DT4" i="3"/>
  <c r="CX12" i="3"/>
  <c r="DW17" i="3"/>
  <c r="CP16" i="3"/>
  <c r="CT60" i="3"/>
  <c r="DQ28" i="3"/>
  <c r="CL4" i="3"/>
  <c r="CV87" i="3"/>
  <c r="I52" i="14" s="1"/>
  <c r="CL28" i="3"/>
  <c r="DD94" i="3"/>
  <c r="K62" i="14" s="1"/>
  <c r="CB60" i="3"/>
  <c r="BP60" i="3"/>
  <c r="CP17" i="3"/>
  <c r="DO80" i="3"/>
  <c r="H83" i="14" s="1"/>
  <c r="DG4" i="3"/>
  <c r="DW28" i="3"/>
  <c r="CW60" i="3"/>
  <c r="DF98" i="3"/>
  <c r="DY82" i="3"/>
  <c r="CD60" i="3"/>
  <c r="DY4" i="3"/>
  <c r="CQ100" i="3"/>
  <c r="DY28" i="3"/>
  <c r="CV91" i="3"/>
  <c r="J52" i="14" s="1"/>
  <c r="DJ82" i="3"/>
  <c r="DP60" i="3"/>
  <c r="DW4" i="3"/>
  <c r="BI96" i="3"/>
  <c r="CE91" i="3"/>
  <c r="J28" i="14" s="1"/>
  <c r="BR60" i="3"/>
  <c r="DB28" i="3"/>
  <c r="AH101" i="3"/>
  <c r="AH105" i="3" s="1"/>
  <c r="DR100" i="3"/>
  <c r="BT60" i="3"/>
  <c r="DA60" i="3"/>
  <c r="DJ4" i="3"/>
  <c r="DE28" i="3"/>
  <c r="DD91" i="3"/>
  <c r="J62" i="14" s="1"/>
  <c r="DU80" i="3"/>
  <c r="CI80" i="3"/>
  <c r="H34" i="14" s="1"/>
  <c r="CA80" i="3"/>
  <c r="H22" i="14" s="1"/>
  <c r="CK60" i="3"/>
  <c r="BV60" i="3"/>
  <c r="DS99" i="3"/>
  <c r="CG98" i="3"/>
  <c r="F101" i="3"/>
  <c r="F105" i="3" s="1"/>
  <c r="DC87" i="3"/>
  <c r="I60" i="14" s="1"/>
  <c r="DZ80" i="3"/>
  <c r="CX58" i="3"/>
  <c r="H101" i="3"/>
  <c r="H105" i="3" s="1"/>
  <c r="DT88" i="3"/>
  <c r="DS80" i="3"/>
  <c r="H88" i="14" s="1"/>
  <c r="DQ76" i="3"/>
  <c r="DY12" i="3"/>
  <c r="DE17" i="3"/>
  <c r="DT55" i="3"/>
  <c r="DB57" i="3"/>
  <c r="CL85" i="3"/>
  <c r="DL80" i="3"/>
  <c r="H79" i="14" s="1"/>
  <c r="AB101" i="3"/>
  <c r="AB105" i="3" s="1"/>
  <c r="X101" i="3"/>
  <c r="X105" i="3" s="1"/>
  <c r="DC94" i="3"/>
  <c r="K60" i="14" s="1"/>
  <c r="DI80" i="3"/>
  <c r="H69" i="14" s="1"/>
  <c r="DY17" i="3"/>
  <c r="DE55" i="3"/>
  <c r="DG60" i="3"/>
  <c r="BV92" i="3"/>
  <c r="DL91" i="3"/>
  <c r="J79" i="14" s="1"/>
  <c r="CG80" i="3"/>
  <c r="H31" i="14" s="1"/>
  <c r="BU80" i="3"/>
  <c r="H16" i="14" s="1"/>
  <c r="DS100" i="3"/>
  <c r="DB55" i="3"/>
  <c r="DB12" i="3"/>
  <c r="DM17" i="3"/>
  <c r="DQ62" i="3"/>
  <c r="DW61" i="3"/>
  <c r="DW71" i="3"/>
  <c r="CP4" i="3"/>
  <c r="BP92" i="3"/>
  <c r="DT7" i="3"/>
  <c r="DG19" i="3"/>
  <c r="DE79" i="3"/>
  <c r="AI101" i="3"/>
  <c r="AI105" i="3" s="1"/>
  <c r="DW35" i="3"/>
  <c r="BX92" i="3"/>
  <c r="DJ12" i="3"/>
  <c r="CX17" i="3"/>
  <c r="DJ31" i="3"/>
  <c r="DY78" i="3"/>
  <c r="CL61" i="3"/>
  <c r="CT35" i="3"/>
  <c r="DJ67" i="3"/>
  <c r="CL35" i="3"/>
  <c r="CT17" i="3"/>
  <c r="DQ31" i="3"/>
  <c r="DG12" i="3"/>
  <c r="DT17" i="3"/>
  <c r="CP31" i="3"/>
  <c r="DM61" i="3"/>
  <c r="DB4" i="3"/>
  <c r="DQ79" i="3"/>
  <c r="DQ67" i="3"/>
  <c r="DE67" i="3"/>
  <c r="DW67" i="3"/>
  <c r="CP70" i="3"/>
  <c r="DG39" i="3"/>
  <c r="DB70" i="3"/>
  <c r="DW70" i="3"/>
  <c r="CD92" i="3"/>
  <c r="CT70" i="3"/>
  <c r="CB92" i="3"/>
  <c r="DJ70" i="3"/>
  <c r="BR92" i="3"/>
  <c r="BT88" i="3"/>
  <c r="E15" i="14" s="1"/>
  <c r="CB88" i="3"/>
  <c r="E24" i="14" s="1"/>
  <c r="BP88" i="3"/>
  <c r="E9" i="14" s="1"/>
  <c r="DA88" i="3"/>
  <c r="E58" i="14" s="1"/>
  <c r="CS88" i="3"/>
  <c r="E48" i="14" s="1"/>
  <c r="CW88" i="3"/>
  <c r="E53" i="14" s="1"/>
  <c r="BP47" i="3"/>
  <c r="BP32" i="3"/>
  <c r="BV32" i="3"/>
  <c r="R101" i="3"/>
  <c r="R105" i="3" s="1"/>
  <c r="Q101" i="3"/>
  <c r="Q105" i="3" s="1"/>
  <c r="DP47" i="3"/>
  <c r="CH32" i="3"/>
  <c r="BT47" i="3"/>
  <c r="CS32" i="3"/>
  <c r="CS47" i="3"/>
  <c r="BR47" i="3"/>
  <c r="DA11" i="3"/>
  <c r="BZ32" i="3"/>
  <c r="CW47" i="3"/>
  <c r="CF32" i="3"/>
  <c r="CF11" i="3"/>
  <c r="CF47" i="3"/>
  <c r="BR32" i="3"/>
  <c r="BV35" i="3"/>
  <c r="CD83" i="3"/>
  <c r="DA83" i="3"/>
  <c r="DP83" i="3"/>
  <c r="BT83" i="3"/>
  <c r="BX83" i="3"/>
  <c r="CH83" i="3"/>
  <c r="CO81" i="3"/>
  <c r="F43" i="14" s="1"/>
  <c r="DA32" i="3"/>
  <c r="BR35" i="3"/>
  <c r="CK35" i="3"/>
  <c r="BP25" i="3"/>
  <c r="BZ83" i="3"/>
  <c r="CO83" i="3"/>
  <c r="CK83" i="3"/>
  <c r="CF83" i="3"/>
  <c r="BV83" i="3"/>
  <c r="CB83" i="3"/>
  <c r="BL83" i="3"/>
  <c r="CW83" i="3"/>
  <c r="CA99" i="3"/>
  <c r="CC99" i="3"/>
  <c r="BZ54" i="3"/>
  <c r="CA96" i="3"/>
  <c r="CK88" i="3"/>
  <c r="E38" i="14" s="1"/>
  <c r="CH88" i="3"/>
  <c r="E33" i="14" s="1"/>
  <c r="CF88" i="3"/>
  <c r="E30" i="14" s="1"/>
  <c r="BX88" i="3"/>
  <c r="E18" i="14" s="1"/>
  <c r="DP88" i="3"/>
  <c r="E84" i="14" s="1"/>
  <c r="DP28" i="3"/>
  <c r="BT32" i="3"/>
  <c r="CO28" i="3"/>
  <c r="CB32" i="3"/>
  <c r="BV28" i="3"/>
  <c r="CF28" i="3"/>
  <c r="DP32" i="3"/>
  <c r="BR28" i="3"/>
  <c r="BZ28" i="3"/>
  <c r="CW28" i="3"/>
  <c r="BP28" i="3"/>
  <c r="BJ28" i="3"/>
  <c r="BL28" i="3" s="1"/>
  <c r="CH78" i="3"/>
  <c r="CK28" i="3"/>
  <c r="CB28" i="3"/>
  <c r="CS28" i="3"/>
  <c r="CH28" i="3"/>
  <c r="CB24" i="3"/>
  <c r="CW24" i="3"/>
  <c r="BZ24" i="3"/>
  <c r="BX62" i="3"/>
  <c r="CS92" i="3"/>
  <c r="CW81" i="3"/>
  <c r="F53" i="14" s="1"/>
  <c r="CS81" i="3"/>
  <c r="F48" i="14" s="1"/>
  <c r="CK78" i="3"/>
  <c r="CB62" i="3"/>
  <c r="CS78" i="3"/>
  <c r="CB78" i="3"/>
  <c r="BV78" i="3"/>
  <c r="BT78" i="3"/>
  <c r="DP78" i="3"/>
  <c r="DA78" i="3"/>
  <c r="BJ78" i="3"/>
  <c r="BL78" i="3" s="1"/>
  <c r="BX78" i="3"/>
  <c r="CF78" i="3"/>
  <c r="CW78" i="3"/>
  <c r="BZ78" i="3"/>
  <c r="CD78" i="3"/>
  <c r="BR78" i="3"/>
  <c r="CF35" i="3"/>
  <c r="BJ41" i="3"/>
  <c r="BL41" i="3" s="1"/>
  <c r="CK41" i="3"/>
  <c r="BP35" i="3"/>
  <c r="BZ35" i="3"/>
  <c r="BZ41" i="3"/>
  <c r="DA13" i="3"/>
  <c r="BT35" i="3"/>
  <c r="CH35" i="3"/>
  <c r="BR41" i="3"/>
  <c r="CW41" i="3"/>
  <c r="CD35" i="3"/>
  <c r="BT31" i="3"/>
  <c r="CS35" i="3"/>
  <c r="BX35" i="3"/>
  <c r="CH31" i="3"/>
  <c r="CW35" i="3"/>
  <c r="CF41" i="3"/>
  <c r="BV41" i="3"/>
  <c r="DP41" i="3"/>
  <c r="CO35" i="3"/>
  <c r="DP31" i="3"/>
  <c r="BX31" i="3"/>
  <c r="CB35" i="3"/>
  <c r="CO41" i="3"/>
  <c r="BZ31" i="3"/>
  <c r="BR88" i="3"/>
  <c r="E12" i="14" s="1"/>
  <c r="CO88" i="3"/>
  <c r="E43" i="14" s="1"/>
  <c r="BZ88" i="3"/>
  <c r="E21" i="14" s="1"/>
  <c r="CD88" i="3"/>
  <c r="E27" i="14" s="1"/>
  <c r="BL81" i="3"/>
  <c r="BZ81" i="3"/>
  <c r="F21" i="14" s="1"/>
  <c r="CD81" i="3"/>
  <c r="F27" i="14" s="1"/>
  <c r="DP81" i="3"/>
  <c r="F84" i="14" s="1"/>
  <c r="CB81" i="3"/>
  <c r="F24" i="14" s="1"/>
  <c r="BX81" i="3"/>
  <c r="F18" i="14" s="1"/>
  <c r="BR81" i="3"/>
  <c r="F12" i="14" s="1"/>
  <c r="BV81" i="3"/>
  <c r="DA81" i="3"/>
  <c r="F58" i="14" s="1"/>
  <c r="BT81" i="3"/>
  <c r="F15" i="14" s="1"/>
  <c r="CF81" i="3"/>
  <c r="F30" i="14" s="1"/>
  <c r="BP81" i="3"/>
  <c r="F9" i="14" s="1"/>
  <c r="CH81" i="3"/>
  <c r="F33" i="14" s="1"/>
  <c r="BT17" i="3"/>
  <c r="CB17" i="3"/>
  <c r="DP17" i="3"/>
  <c r="CK44" i="3"/>
  <c r="BZ17" i="3"/>
  <c r="CS31" i="3"/>
  <c r="DG18" i="3"/>
  <c r="DW10" i="3"/>
  <c r="DT31" i="3"/>
  <c r="CT30" i="3"/>
  <c r="DB10" i="3"/>
  <c r="DB41" i="3"/>
  <c r="CF31" i="3"/>
  <c r="DT70" i="3"/>
  <c r="DL96" i="3"/>
  <c r="CW92" i="3"/>
  <c r="BT92" i="3"/>
  <c r="CH92" i="3"/>
  <c r="DA92" i="3"/>
  <c r="CK92" i="3"/>
  <c r="CF92" i="3"/>
  <c r="DP92" i="3"/>
  <c r="BJ35" i="3"/>
  <c r="BL35" i="3" s="1"/>
  <c r="DP35" i="3"/>
  <c r="BP83" i="3"/>
  <c r="CS83" i="3"/>
  <c r="DB83" i="3"/>
  <c r="CL83" i="3"/>
  <c r="J101" i="3"/>
  <c r="J105" i="3" s="1"/>
  <c r="M101" i="3"/>
  <c r="M105" i="3" s="1"/>
  <c r="DB30" i="3"/>
  <c r="DY50" i="3"/>
  <c r="CP10" i="3"/>
  <c r="DE31" i="3"/>
  <c r="DQ16" i="3"/>
  <c r="DW30" i="3"/>
  <c r="DE61" i="3"/>
  <c r="CY98" i="3"/>
  <c r="DA31" i="3"/>
  <c r="CO31" i="3"/>
  <c r="DQ70" i="3"/>
  <c r="CX27" i="3"/>
  <c r="DJ27" i="3"/>
  <c r="DQ27" i="3"/>
  <c r="CP27" i="3"/>
  <c r="CT27" i="3"/>
  <c r="DT27" i="3"/>
  <c r="DY27" i="3"/>
  <c r="DM27" i="3"/>
  <c r="DG27" i="3"/>
  <c r="P101" i="3"/>
  <c r="P105" i="3" s="1"/>
  <c r="DQ50" i="3"/>
  <c r="DY10" i="3"/>
  <c r="CL31" i="3"/>
  <c r="DT30" i="3"/>
  <c r="CJ96" i="3"/>
  <c r="DY70" i="3"/>
  <c r="BQ96" i="3"/>
  <c r="CT53" i="3"/>
  <c r="DM53" i="3"/>
  <c r="CP53" i="3"/>
  <c r="DY53" i="3"/>
  <c r="DT53" i="3"/>
  <c r="CL53" i="3"/>
  <c r="DW53" i="3"/>
  <c r="CF30" i="3"/>
  <c r="DT50" i="3"/>
  <c r="CL10" i="3"/>
  <c r="CX31" i="3"/>
  <c r="DQ30" i="3"/>
  <c r="CX30" i="3"/>
  <c r="DY69" i="3"/>
  <c r="CO78" i="3"/>
  <c r="DG70" i="3"/>
  <c r="DE70" i="3"/>
  <c r="CI100" i="3"/>
  <c r="DG35" i="3"/>
  <c r="CP35" i="3"/>
  <c r="DT35" i="3"/>
  <c r="CL50" i="3"/>
  <c r="DG10" i="3"/>
  <c r="BY100" i="3"/>
  <c r="BJ50" i="3"/>
  <c r="BL50" i="3" s="1"/>
  <c r="DE50" i="3"/>
  <c r="CX25" i="3"/>
  <c r="DT62" i="3"/>
  <c r="DJ30" i="3"/>
  <c r="CL70" i="3"/>
  <c r="DJ28" i="3"/>
  <c r="CG99" i="3"/>
  <c r="CC98" i="3"/>
  <c r="CY100" i="3"/>
  <c r="DR80" i="3"/>
  <c r="H86" i="14" s="1"/>
  <c r="AL101" i="3"/>
  <c r="AL105" i="3" s="1"/>
  <c r="DW66" i="3"/>
  <c r="CP66" i="3"/>
  <c r="DJ66" i="3"/>
  <c r="DM66" i="3"/>
  <c r="DG66" i="3"/>
  <c r="DT66" i="3"/>
  <c r="DQ7" i="3"/>
  <c r="DJ7" i="3"/>
  <c r="DB7" i="3"/>
  <c r="CD28" i="3"/>
  <c r="BX28" i="3"/>
  <c r="BT28" i="3"/>
  <c r="CL19" i="3"/>
  <c r="DY19" i="3"/>
  <c r="CX19" i="3"/>
  <c r="DM19" i="3"/>
  <c r="CP19" i="3"/>
  <c r="CX79" i="3"/>
  <c r="DJ79" i="3"/>
  <c r="CP79" i="3"/>
  <c r="CQ80" i="3"/>
  <c r="H45" i="14" s="1"/>
  <c r="DJ42" i="3"/>
  <c r="DM42" i="3"/>
  <c r="CP42" i="3"/>
  <c r="DY42" i="3"/>
  <c r="CX42" i="3"/>
  <c r="DE42" i="3"/>
  <c r="DB42" i="3"/>
  <c r="DQ42" i="3"/>
  <c r="CL42" i="3"/>
  <c r="DG42" i="3"/>
  <c r="DT42" i="3"/>
  <c r="DW42" i="3"/>
  <c r="CT42" i="3"/>
  <c r="CA98" i="3"/>
  <c r="BV31" i="3"/>
  <c r="BR31" i="3"/>
  <c r="CD31" i="3"/>
  <c r="CK31" i="3"/>
  <c r="CB31" i="3"/>
  <c r="CW31" i="3"/>
  <c r="CZ87" i="3"/>
  <c r="I57" i="14" s="1"/>
  <c r="CL18" i="3"/>
  <c r="DB48" i="3"/>
  <c r="CH74" i="3"/>
  <c r="CW74" i="3"/>
  <c r="CD17" i="3"/>
  <c r="BX17" i="3"/>
  <c r="CH17" i="3"/>
  <c r="U101" i="3"/>
  <c r="U105" i="3" s="1"/>
  <c r="CX29" i="3"/>
  <c r="BZ11" i="3"/>
  <c r="BV11" i="3"/>
  <c r="BP11" i="3"/>
  <c r="BX11" i="3"/>
  <c r="BT11" i="3"/>
  <c r="CD11" i="3"/>
  <c r="CH11" i="3"/>
  <c r="CW11" i="3"/>
  <c r="BR11" i="3"/>
  <c r="DP11" i="3"/>
  <c r="CO32" i="3"/>
  <c r="CK32" i="3"/>
  <c r="CD32" i="3"/>
  <c r="CH47" i="3"/>
  <c r="CB47" i="3"/>
  <c r="BX47" i="3"/>
  <c r="CK47" i="3"/>
  <c r="BZ47" i="3"/>
  <c r="CO47" i="3"/>
  <c r="CL43" i="3"/>
  <c r="DE43" i="3"/>
  <c r="DY43" i="3"/>
  <c r="CX43" i="3"/>
  <c r="DG43" i="3"/>
  <c r="CP43" i="3"/>
  <c r="DT43" i="3"/>
  <c r="DB43" i="3"/>
  <c r="DQ43" i="3"/>
  <c r="CT43" i="3"/>
  <c r="DM43" i="3"/>
  <c r="DN80" i="3"/>
  <c r="H81" i="14" s="1"/>
  <c r="BQ80" i="3"/>
  <c r="H10" i="14" s="1"/>
  <c r="DQ58" i="3"/>
  <c r="DB58" i="3"/>
  <c r="DT58" i="3"/>
  <c r="CP58" i="3"/>
  <c r="DE58" i="3"/>
  <c r="DY58" i="3"/>
  <c r="CT58" i="3"/>
  <c r="DW58" i="3"/>
  <c r="DM58" i="3"/>
  <c r="CL58" i="3"/>
  <c r="CP11" i="3"/>
  <c r="CX11" i="3"/>
  <c r="BJ11" i="3"/>
  <c r="BL11" i="3" s="1"/>
  <c r="DQ45" i="3"/>
  <c r="CF25" i="3"/>
  <c r="DC91" i="3"/>
  <c r="J60" i="14" s="1"/>
  <c r="CN80" i="3"/>
  <c r="H42" i="14" s="1"/>
  <c r="CT74" i="3"/>
  <c r="DB72" i="3"/>
  <c r="DW16" i="3"/>
  <c r="DA24" i="3"/>
  <c r="CH49" i="3"/>
  <c r="CT11" i="3"/>
  <c r="DI96" i="3"/>
  <c r="BJ44" i="3"/>
  <c r="BL44" i="3" s="1"/>
  <c r="BZ44" i="3"/>
  <c r="BX44" i="3"/>
  <c r="DA44" i="3"/>
  <c r="CD44" i="3"/>
  <c r="CF44" i="3"/>
  <c r="CW44" i="3"/>
  <c r="BV44" i="3"/>
  <c r="CH44" i="3"/>
  <c r="CS44" i="3"/>
  <c r="BT44" i="3"/>
  <c r="BR44" i="3"/>
  <c r="CB44" i="3"/>
  <c r="DP44" i="3"/>
  <c r="DV98" i="3"/>
  <c r="CI96" i="3"/>
  <c r="CX81" i="3"/>
  <c r="F54" i="14" s="1"/>
  <c r="DW81" i="3"/>
  <c r="F93" i="14" s="1"/>
  <c r="DQ81" i="3"/>
  <c r="F85" i="14" s="1"/>
  <c r="CL81" i="3"/>
  <c r="F39" i="14" s="1"/>
  <c r="DT81" i="3"/>
  <c r="DY81" i="3"/>
  <c r="DM81" i="3"/>
  <c r="F80" i="14" s="1"/>
  <c r="DG81" i="3"/>
  <c r="F66" i="14" s="1"/>
  <c r="DE81" i="3"/>
  <c r="F63" i="14" s="1"/>
  <c r="CT81" i="3"/>
  <c r="F49" i="14" s="1"/>
  <c r="DB81" i="3"/>
  <c r="F59" i="14" s="1"/>
  <c r="DJ81" i="3"/>
  <c r="F70" i="14" s="1"/>
  <c r="CP81" i="3"/>
  <c r="F44" i="14" s="1"/>
  <c r="DB36" i="3"/>
  <c r="DW36" i="3"/>
  <c r="DT36" i="3"/>
  <c r="DE36" i="3"/>
  <c r="CP36" i="3"/>
  <c r="DQ36" i="3"/>
  <c r="DM36" i="3"/>
  <c r="DY36" i="3"/>
  <c r="DJ36" i="3"/>
  <c r="CT36" i="3"/>
  <c r="CX36" i="3"/>
  <c r="BQ100" i="3"/>
  <c r="DF99" i="3"/>
  <c r="BP44" i="3"/>
  <c r="CO25" i="3"/>
  <c r="DA25" i="3"/>
  <c r="CB25" i="3"/>
  <c r="BZ25" i="3"/>
  <c r="DT45" i="3"/>
  <c r="CW25" i="3"/>
  <c r="CH25" i="3"/>
  <c r="DV80" i="3"/>
  <c r="H92" i="14" s="1"/>
  <c r="DE74" i="3"/>
  <c r="DY72" i="3"/>
  <c r="CL17" i="3"/>
  <c r="DW48" i="3"/>
  <c r="CX48" i="3"/>
  <c r="DE78" i="3"/>
  <c r="DB22" i="3"/>
  <c r="DW60" i="3"/>
  <c r="DP24" i="3"/>
  <c r="BJ49" i="3"/>
  <c r="BL49" i="3" s="1"/>
  <c r="DJ11" i="3"/>
  <c r="DQ11" i="3"/>
  <c r="CH62" i="3"/>
  <c r="CW62" i="3"/>
  <c r="DP62" i="3"/>
  <c r="BP62" i="3"/>
  <c r="CD62" i="3"/>
  <c r="BV62" i="3"/>
  <c r="BR62" i="3"/>
  <c r="CO62" i="3"/>
  <c r="CS62" i="3"/>
  <c r="DA62" i="3"/>
  <c r="CK62" i="3"/>
  <c r="DL100" i="3"/>
  <c r="DT57" i="3"/>
  <c r="DM57" i="3"/>
  <c r="DY57" i="3"/>
  <c r="CT57" i="3"/>
  <c r="CP57" i="3"/>
  <c r="DQ57" i="3"/>
  <c r="DG57" i="3"/>
  <c r="CX57" i="3"/>
  <c r="DE57" i="3"/>
  <c r="DW57" i="3"/>
  <c r="DB11" i="3"/>
  <c r="DB39" i="3"/>
  <c r="CM87" i="3"/>
  <c r="I40" i="14" s="1"/>
  <c r="CL29" i="3"/>
  <c r="CH13" i="3"/>
  <c r="BR13" i="3"/>
  <c r="BT13" i="3"/>
  <c r="CW13" i="3"/>
  <c r="CK13" i="3"/>
  <c r="CB13" i="3"/>
  <c r="CF13" i="3"/>
  <c r="CD13" i="3"/>
  <c r="BX13" i="3"/>
  <c r="BJ13" i="3"/>
  <c r="BL13" i="3" s="1"/>
  <c r="DP13" i="3"/>
  <c r="CO13" i="3"/>
  <c r="CS13" i="3"/>
  <c r="BP13" i="3"/>
  <c r="BV13" i="3"/>
  <c r="T101" i="3"/>
  <c r="T105" i="3" s="1"/>
  <c r="AJ101" i="3"/>
  <c r="AJ105" i="3" s="1"/>
  <c r="CM100" i="3"/>
  <c r="CP32" i="3"/>
  <c r="DM32" i="3"/>
  <c r="DW32" i="3"/>
  <c r="DJ32" i="3"/>
  <c r="DQ32" i="3"/>
  <c r="CT32" i="3"/>
  <c r="DY32" i="3"/>
  <c r="CL32" i="3"/>
  <c r="CX32" i="3"/>
  <c r="DG32" i="3"/>
  <c r="DM74" i="3"/>
  <c r="DC80" i="3"/>
  <c r="H60" i="14" s="1"/>
  <c r="BP30" i="3"/>
  <c r="CS25" i="3"/>
  <c r="BV25" i="3"/>
  <c r="DF80" i="3"/>
  <c r="H64" i="14" s="1"/>
  <c r="BT14" i="3"/>
  <c r="D15" i="14" s="1"/>
  <c r="DY74" i="3"/>
  <c r="DW74" i="3"/>
  <c r="DW72" i="3"/>
  <c r="DG17" i="3"/>
  <c r="DT48" i="3"/>
  <c r="CX78" i="3"/>
  <c r="DM22" i="3"/>
  <c r="CD49" i="3"/>
  <c r="BJ48" i="3"/>
  <c r="BL48" i="3" s="1"/>
  <c r="DM11" i="3"/>
  <c r="DF100" i="3"/>
  <c r="DY89" i="3"/>
  <c r="DB26" i="3"/>
  <c r="CL26" i="3"/>
  <c r="DJ26" i="3"/>
  <c r="CP26" i="3"/>
  <c r="CX26" i="3"/>
  <c r="DY26" i="3"/>
  <c r="DE26" i="3"/>
  <c r="DQ26" i="3"/>
  <c r="DW26" i="3"/>
  <c r="DT26" i="3"/>
  <c r="DM26" i="3"/>
  <c r="CX47" i="3"/>
  <c r="CL47" i="3"/>
  <c r="DT47" i="3"/>
  <c r="CT47" i="3"/>
  <c r="DG47" i="3"/>
  <c r="DE47" i="3"/>
  <c r="DJ47" i="3"/>
  <c r="BJ47" i="3"/>
  <c r="BL47" i="3" s="1"/>
  <c r="DQ47" i="3"/>
  <c r="CX69" i="3"/>
  <c r="CT69" i="3"/>
  <c r="DE69" i="3"/>
  <c r="CP69" i="3"/>
  <c r="DJ69" i="3"/>
  <c r="DT69" i="3"/>
  <c r="CL69" i="3"/>
  <c r="DG69" i="3"/>
  <c r="DM69" i="3"/>
  <c r="CL75" i="3"/>
  <c r="CX44" i="3"/>
  <c r="DW76" i="3"/>
  <c r="CP76" i="3"/>
  <c r="DJ76" i="3"/>
  <c r="DY76" i="3"/>
  <c r="CL76" i="3"/>
  <c r="CX76" i="3"/>
  <c r="DB76" i="3"/>
  <c r="CT76" i="3"/>
  <c r="DE76" i="3"/>
  <c r="DT76" i="3"/>
  <c r="DM76" i="3"/>
  <c r="DJ57" i="3"/>
  <c r="DG26" i="3"/>
  <c r="DT74" i="3"/>
  <c r="CK25" i="3"/>
  <c r="DQ74" i="3"/>
  <c r="CL74" i="3"/>
  <c r="CT72" i="3"/>
  <c r="DT72" i="3"/>
  <c r="DT22" i="3"/>
  <c r="BT49" i="3"/>
  <c r="BJ32" i="3"/>
  <c r="BL32" i="3" s="1"/>
  <c r="BS96" i="3"/>
  <c r="CU96" i="3"/>
  <c r="DT73" i="3"/>
  <c r="CL73" i="3"/>
  <c r="DY73" i="3"/>
  <c r="DG73" i="3"/>
  <c r="DQ73" i="3"/>
  <c r="CT73" i="3"/>
  <c r="CP73" i="3"/>
  <c r="DM73" i="3"/>
  <c r="CX73" i="3"/>
  <c r="DJ73" i="3"/>
  <c r="DW73" i="3"/>
  <c r="DE73" i="3"/>
  <c r="CN99" i="3"/>
  <c r="CW48" i="3"/>
  <c r="CK48" i="3"/>
  <c r="DA48" i="3"/>
  <c r="CS48" i="3"/>
  <c r="BZ48" i="3"/>
  <c r="BR48" i="3"/>
  <c r="DP48" i="3"/>
  <c r="BV48" i="3"/>
  <c r="CD48" i="3"/>
  <c r="CB48" i="3"/>
  <c r="BP48" i="3"/>
  <c r="BX48" i="3"/>
  <c r="CH48" i="3"/>
  <c r="CF48" i="3"/>
  <c r="CO48" i="3"/>
  <c r="DG90" i="3"/>
  <c r="DE90" i="3"/>
  <c r="CX90" i="3"/>
  <c r="DT90" i="3"/>
  <c r="DJ90" i="3"/>
  <c r="DM90" i="3"/>
  <c r="CP90" i="3"/>
  <c r="CT90" i="3"/>
  <c r="DW90" i="3"/>
  <c r="DB90" i="3"/>
  <c r="CL90" i="3"/>
  <c r="DQ90" i="3"/>
  <c r="DY90" i="3"/>
  <c r="BT48" i="3"/>
  <c r="DG40" i="3"/>
  <c r="DT40" i="3"/>
  <c r="DQ40" i="3"/>
  <c r="DJ40" i="3"/>
  <c r="DM40" i="3"/>
  <c r="CT40" i="3"/>
  <c r="DY40" i="3"/>
  <c r="DB40" i="3"/>
  <c r="CP40" i="3"/>
  <c r="CX40" i="3"/>
  <c r="CL40" i="3"/>
  <c r="DW40" i="3"/>
  <c r="DG41" i="3"/>
  <c r="CS49" i="3"/>
  <c r="CT89" i="3"/>
  <c r="DT89" i="3"/>
  <c r="DM89" i="3"/>
  <c r="DG89" i="3"/>
  <c r="CP89" i="3"/>
  <c r="CX89" i="3"/>
  <c r="DW89" i="3"/>
  <c r="DJ89" i="3"/>
  <c r="DQ89" i="3"/>
  <c r="BX25" i="3"/>
  <c r="BJ24" i="3"/>
  <c r="BL24" i="3" s="1"/>
  <c r="DB74" i="3"/>
  <c r="CX74" i="3"/>
  <c r="DM72" i="3"/>
  <c r="DE72" i="3"/>
  <c r="DM48" i="3"/>
  <c r="DM16" i="3"/>
  <c r="DA49" i="3"/>
  <c r="CZ91" i="3"/>
  <c r="J57" i="14" s="1"/>
  <c r="DK80" i="3"/>
  <c r="H71" i="14" s="1"/>
  <c r="CZ8" i="3"/>
  <c r="G57" i="14" s="1"/>
  <c r="CL11" i="3"/>
  <c r="CX49" i="3"/>
  <c r="DW49" i="3"/>
  <c r="DJ49" i="3"/>
  <c r="DM49" i="3"/>
  <c r="CP49" i="3"/>
  <c r="DQ49" i="3"/>
  <c r="DG49" i="3"/>
  <c r="DE49" i="3"/>
  <c r="AM101" i="3"/>
  <c r="AM105" i="3" s="1"/>
  <c r="DB73" i="3"/>
  <c r="DJ29" i="3"/>
  <c r="DW29" i="3"/>
  <c r="DY29" i="3"/>
  <c r="DQ29" i="3"/>
  <c r="DE29" i="3"/>
  <c r="CT29" i="3"/>
  <c r="CP29" i="3"/>
  <c r="CP75" i="3"/>
  <c r="DE75" i="3"/>
  <c r="DT75" i="3"/>
  <c r="CT75" i="3"/>
  <c r="DW75" i="3"/>
  <c r="DQ75" i="3"/>
  <c r="DY75" i="3"/>
  <c r="DJ75" i="3"/>
  <c r="CX75" i="3"/>
  <c r="DG75" i="3"/>
  <c r="DB75" i="3"/>
  <c r="CB56" i="3"/>
  <c r="BZ56" i="3"/>
  <c r="DP56" i="3"/>
  <c r="CK56" i="3"/>
  <c r="BP56" i="3"/>
  <c r="CH56" i="3"/>
  <c r="CS56" i="3"/>
  <c r="CO56" i="3"/>
  <c r="CW56" i="3"/>
  <c r="CD56" i="3"/>
  <c r="BJ56" i="3"/>
  <c r="BL56" i="3" s="1"/>
  <c r="BV56" i="3"/>
  <c r="DA56" i="3"/>
  <c r="CF56" i="3"/>
  <c r="BR56" i="3"/>
  <c r="DI100" i="3"/>
  <c r="DB89" i="3"/>
  <c r="S101" i="3"/>
  <c r="S105" i="3" s="1"/>
  <c r="DB32" i="3"/>
  <c r="BT25" i="3"/>
  <c r="BJ74" i="3"/>
  <c r="BL74" i="3" s="1"/>
  <c r="DJ74" i="3"/>
  <c r="CP72" i="3"/>
  <c r="CX72" i="3"/>
  <c r="CT22" i="3"/>
  <c r="BV49" i="3"/>
  <c r="DG11" i="3"/>
  <c r="DY41" i="3"/>
  <c r="CX41" i="3"/>
  <c r="DW41" i="3"/>
  <c r="DQ41" i="3"/>
  <c r="CP41" i="3"/>
  <c r="DM41" i="3"/>
  <c r="DJ41" i="3"/>
  <c r="DT41" i="3"/>
  <c r="DE41" i="3"/>
  <c r="CL41" i="3"/>
  <c r="DG44" i="3"/>
  <c r="DJ44" i="3"/>
  <c r="DW44" i="3"/>
  <c r="DQ44" i="3"/>
  <c r="DY44" i="3"/>
  <c r="DE44" i="3"/>
  <c r="DT44" i="3"/>
  <c r="CP44" i="3"/>
  <c r="DB44" i="3"/>
  <c r="CL44" i="3"/>
  <c r="CT44" i="3"/>
  <c r="DY59" i="3"/>
  <c r="CL59" i="3"/>
  <c r="DQ59" i="3"/>
  <c r="DE59" i="3"/>
  <c r="DM59" i="3"/>
  <c r="DW59" i="3"/>
  <c r="DB59" i="3"/>
  <c r="CP59" i="3"/>
  <c r="CT59" i="3"/>
  <c r="CX59" i="3"/>
  <c r="BI8" i="3"/>
  <c r="BT62" i="3"/>
  <c r="DM13" i="3"/>
  <c r="CP13" i="3"/>
  <c r="DE13" i="3"/>
  <c r="DQ13" i="3"/>
  <c r="DG13" i="3"/>
  <c r="CL13" i="3"/>
  <c r="DT13" i="3"/>
  <c r="CX13" i="3"/>
  <c r="DJ13" i="3"/>
  <c r="DB13" i="3"/>
  <c r="DY13" i="3"/>
  <c r="DE89" i="3"/>
  <c r="CI91" i="3"/>
  <c r="J34" i="14" s="1"/>
  <c r="DE32" i="3"/>
  <c r="CD25" i="3"/>
  <c r="CP74" i="3"/>
  <c r="BP49" i="3"/>
  <c r="DT11" i="3"/>
  <c r="DW11" i="3"/>
  <c r="DY11" i="3"/>
  <c r="DR98" i="3"/>
  <c r="CB41" i="3"/>
  <c r="BT41" i="3"/>
  <c r="CS41" i="3"/>
  <c r="BX41" i="3"/>
  <c r="CD41" i="3"/>
  <c r="CL39" i="3"/>
  <c r="DE39" i="3"/>
  <c r="DQ39" i="3"/>
  <c r="CT39" i="3"/>
  <c r="DM39" i="3"/>
  <c r="DT39" i="3"/>
  <c r="DJ39" i="3"/>
  <c r="DW39" i="3"/>
  <c r="DY39" i="3"/>
  <c r="BQ99" i="3"/>
  <c r="CC100" i="3"/>
  <c r="CG100" i="3"/>
  <c r="DB88" i="3"/>
  <c r="E59" i="14" s="1"/>
  <c r="CX20" i="3"/>
  <c r="CR80" i="3"/>
  <c r="H47" i="14" s="1"/>
  <c r="DM12" i="3"/>
  <c r="DM50" i="3"/>
  <c r="DW50" i="3"/>
  <c r="DJ10" i="3"/>
  <c r="DJ25" i="3"/>
  <c r="DQ55" i="3"/>
  <c r="DJ55" i="3"/>
  <c r="CP61" i="3"/>
  <c r="BR49" i="3"/>
  <c r="CK49" i="3"/>
  <c r="DQ33" i="3"/>
  <c r="CP33" i="3"/>
  <c r="DY33" i="3"/>
  <c r="DB33" i="3"/>
  <c r="DW33" i="3"/>
  <c r="CT33" i="3"/>
  <c r="CL33" i="3"/>
  <c r="DG33" i="3"/>
  <c r="CX33" i="3"/>
  <c r="DE33" i="3"/>
  <c r="DJ33" i="3"/>
  <c r="CR99" i="3"/>
  <c r="CK12" i="3"/>
  <c r="BT12" i="3"/>
  <c r="BR12" i="3"/>
  <c r="CS12" i="3"/>
  <c r="CD12" i="3"/>
  <c r="CH12" i="3"/>
  <c r="BP12" i="3"/>
  <c r="BX12" i="3"/>
  <c r="CF12" i="3"/>
  <c r="DA12" i="3"/>
  <c r="CW12" i="3"/>
  <c r="DP12" i="3"/>
  <c r="BV12" i="3"/>
  <c r="CO12" i="3"/>
  <c r="BJ12" i="3"/>
  <c r="BL12" i="3" s="1"/>
  <c r="BZ12" i="3"/>
  <c r="CB12" i="3"/>
  <c r="CX18" i="3"/>
  <c r="DM18" i="3"/>
  <c r="DY18" i="3"/>
  <c r="BT34" i="3"/>
  <c r="BR34" i="3"/>
  <c r="BX34" i="3"/>
  <c r="CD34" i="3"/>
  <c r="CK34" i="3"/>
  <c r="DA34" i="3"/>
  <c r="CB34" i="3"/>
  <c r="CW34" i="3"/>
  <c r="CF34" i="3"/>
  <c r="BP34" i="3"/>
  <c r="BZ34" i="3"/>
  <c r="CO34" i="3"/>
  <c r="BV34" i="3"/>
  <c r="DP34" i="3"/>
  <c r="CH34" i="3"/>
  <c r="CS34" i="3"/>
  <c r="CW39" i="3"/>
  <c r="BR39" i="3"/>
  <c r="BJ39" i="3"/>
  <c r="BL39" i="3" s="1"/>
  <c r="CK39" i="3"/>
  <c r="BT39" i="3"/>
  <c r="CS39" i="3"/>
  <c r="BZ39" i="3"/>
  <c r="CO39" i="3"/>
  <c r="CH39" i="3"/>
  <c r="DP39" i="3"/>
  <c r="BP39" i="3"/>
  <c r="CB39" i="3"/>
  <c r="CF39" i="3"/>
  <c r="DA39" i="3"/>
  <c r="CD39" i="3"/>
  <c r="BV39" i="3"/>
  <c r="DJ20" i="3"/>
  <c r="CY80" i="3"/>
  <c r="H55" i="14" s="1"/>
  <c r="CP12" i="3"/>
  <c r="DB50" i="3"/>
  <c r="CT50" i="3"/>
  <c r="DJ18" i="3"/>
  <c r="CT25" i="3"/>
  <c r="CX55" i="3"/>
  <c r="DM55" i="3"/>
  <c r="DQ61" i="3"/>
  <c r="BZ49" i="3"/>
  <c r="BR7" i="3"/>
  <c r="CH7" i="3"/>
  <c r="BP7" i="3"/>
  <c r="BT7" i="3"/>
  <c r="DP7" i="3"/>
  <c r="CF7" i="3"/>
  <c r="CW7" i="3"/>
  <c r="CK7" i="3"/>
  <c r="DA7" i="3"/>
  <c r="CD7" i="3"/>
  <c r="BZ7" i="3"/>
  <c r="CS7" i="3"/>
  <c r="CB7" i="3"/>
  <c r="CO7" i="3"/>
  <c r="BV7" i="3"/>
  <c r="BJ7" i="3"/>
  <c r="BL7" i="3" s="1"/>
  <c r="BX7" i="3"/>
  <c r="DG16" i="3"/>
  <c r="CL16" i="3"/>
  <c r="DJ16" i="3"/>
  <c r="DY16" i="3"/>
  <c r="CX16" i="3"/>
  <c r="CT16" i="3"/>
  <c r="DE16" i="3"/>
  <c r="DB16" i="3"/>
  <c r="DG22" i="3"/>
  <c r="DE22" i="3"/>
  <c r="CP22" i="3"/>
  <c r="CL22" i="3"/>
  <c r="DW22" i="3"/>
  <c r="DY22" i="3"/>
  <c r="DJ22" i="3"/>
  <c r="DQ22" i="3"/>
  <c r="CX22" i="3"/>
  <c r="CK24" i="3"/>
  <c r="CF24" i="3"/>
  <c r="BP24" i="3"/>
  <c r="BX24" i="3"/>
  <c r="CD24" i="3"/>
  <c r="BV24" i="3"/>
  <c r="CO24" i="3"/>
  <c r="BR24" i="3"/>
  <c r="CS24" i="3"/>
  <c r="BT24" i="3"/>
  <c r="BZ37" i="3"/>
  <c r="CB37" i="3"/>
  <c r="BX37" i="3"/>
  <c r="CD37" i="3"/>
  <c r="BV37" i="3"/>
  <c r="CH37" i="3"/>
  <c r="CK37" i="3"/>
  <c r="CO37" i="3"/>
  <c r="BP37" i="3"/>
  <c r="DA37" i="3"/>
  <c r="CS37" i="3"/>
  <c r="CF37" i="3"/>
  <c r="CW37" i="3"/>
  <c r="BT37" i="3"/>
  <c r="DP37" i="3"/>
  <c r="BR37" i="3"/>
  <c r="DP66" i="3"/>
  <c r="CS66" i="3"/>
  <c r="BJ66" i="3"/>
  <c r="BL66" i="3" s="1"/>
  <c r="BZ66" i="3"/>
  <c r="CW66" i="3"/>
  <c r="CK66" i="3"/>
  <c r="CH66" i="3"/>
  <c r="CF66" i="3"/>
  <c r="DA66" i="3"/>
  <c r="BX66" i="3"/>
  <c r="CD66" i="3"/>
  <c r="CO66" i="3"/>
  <c r="BV66" i="3"/>
  <c r="BT66" i="3"/>
  <c r="BR66" i="3"/>
  <c r="CB66" i="3"/>
  <c r="DV99" i="3"/>
  <c r="DW68" i="3"/>
  <c r="DW18" i="3"/>
  <c r="DT25" i="3"/>
  <c r="DG55" i="3"/>
  <c r="DG62" i="3"/>
  <c r="CX61" i="3"/>
  <c r="CF49" i="3"/>
  <c r="DJ72" i="3"/>
  <c r="DG72" i="3"/>
  <c r="DU100" i="3"/>
  <c r="CS14" i="3"/>
  <c r="D48" i="14" s="1"/>
  <c r="BP14" i="3"/>
  <c r="D9" i="14" s="1"/>
  <c r="CF14" i="3"/>
  <c r="D30" i="14" s="1"/>
  <c r="CK14" i="3"/>
  <c r="D38" i="14" s="1"/>
  <c r="CD14" i="3"/>
  <c r="D27" i="14" s="1"/>
  <c r="BV14" i="3"/>
  <c r="DP14" i="3"/>
  <c r="D84" i="14" s="1"/>
  <c r="BZ14" i="3"/>
  <c r="D21" i="14" s="1"/>
  <c r="CO14" i="3"/>
  <c r="D43" i="14" s="1"/>
  <c r="CH14" i="3"/>
  <c r="D33" i="14" s="1"/>
  <c r="CB14" i="3"/>
  <c r="D24" i="14" s="1"/>
  <c r="BX14" i="3"/>
  <c r="D18" i="14" s="1"/>
  <c r="DA14" i="3"/>
  <c r="D58" i="14" s="1"/>
  <c r="BR14" i="3"/>
  <c r="D12" i="14" s="1"/>
  <c r="CF54" i="3"/>
  <c r="CS54" i="3"/>
  <c r="CK54" i="3"/>
  <c r="BP54" i="3"/>
  <c r="CO54" i="3"/>
  <c r="CB54" i="3"/>
  <c r="BR54" i="3"/>
  <c r="BT54" i="3"/>
  <c r="CW54" i="3"/>
  <c r="BV54" i="3"/>
  <c r="DA54" i="3"/>
  <c r="DP54" i="3"/>
  <c r="BX54" i="3"/>
  <c r="CH54" i="3"/>
  <c r="CD54" i="3"/>
  <c r="DY25" i="3"/>
  <c r="C76" i="14" s="1"/>
  <c r="BJ25" i="3"/>
  <c r="BL25" i="3" s="1"/>
  <c r="CX68" i="3"/>
  <c r="CP68" i="3"/>
  <c r="DM68" i="3"/>
  <c r="DE68" i="3"/>
  <c r="CT68" i="3"/>
  <c r="DJ68" i="3"/>
  <c r="DG68" i="3"/>
  <c r="CR96" i="3"/>
  <c r="CF55" i="3"/>
  <c r="BZ55" i="3"/>
  <c r="CD55" i="3"/>
  <c r="CK55" i="3"/>
  <c r="BX55" i="3"/>
  <c r="CW55" i="3"/>
  <c r="DA55" i="3"/>
  <c r="CH55" i="3"/>
  <c r="BJ55" i="3"/>
  <c r="BL55" i="3" s="1"/>
  <c r="CB55" i="3"/>
  <c r="CO55" i="3"/>
  <c r="BV55" i="3"/>
  <c r="BP55" i="3"/>
  <c r="CS55" i="3"/>
  <c r="BT55" i="3"/>
  <c r="DP55" i="3"/>
  <c r="BR55" i="3"/>
  <c r="BS98" i="3"/>
  <c r="N101" i="3"/>
  <c r="N105" i="3" s="1"/>
  <c r="DY68" i="3"/>
  <c r="DW12" i="3"/>
  <c r="DJ50" i="3"/>
  <c r="DE18" i="3"/>
  <c r="CT10" i="3"/>
  <c r="DQ10" i="3"/>
  <c r="DE25" i="3"/>
  <c r="CL25" i="3"/>
  <c r="CP55" i="3"/>
  <c r="DT61" i="3"/>
  <c r="DT68" i="3"/>
  <c r="CO49" i="3"/>
  <c r="BX49" i="3"/>
  <c r="BR69" i="3"/>
  <c r="CH69" i="3"/>
  <c r="BX69" i="3"/>
  <c r="CW69" i="3"/>
  <c r="BT69" i="3"/>
  <c r="DP69" i="3"/>
  <c r="BZ69" i="3"/>
  <c r="BP69" i="3"/>
  <c r="CS69" i="3"/>
  <c r="CD69" i="3"/>
  <c r="BJ69" i="3"/>
  <c r="BL69" i="3" s="1"/>
  <c r="DA69" i="3"/>
  <c r="CO69" i="3"/>
  <c r="CK69" i="3"/>
  <c r="CB69" i="3"/>
  <c r="BV69" i="3"/>
  <c r="CF69" i="3"/>
  <c r="DW31" i="3"/>
  <c r="CT31" i="3"/>
  <c r="BJ31" i="3"/>
  <c r="BL31" i="3" s="1"/>
  <c r="DY30" i="3"/>
  <c r="DG30" i="3"/>
  <c r="CT71" i="3"/>
  <c r="DT71" i="3"/>
  <c r="DG71" i="3"/>
  <c r="DE71" i="3"/>
  <c r="DB71" i="3"/>
  <c r="CL71" i="3"/>
  <c r="DM71" i="3"/>
  <c r="DQ71" i="3"/>
  <c r="CP71" i="3"/>
  <c r="DY21" i="3"/>
  <c r="CX21" i="3"/>
  <c r="DJ21" i="3"/>
  <c r="DT21" i="3"/>
  <c r="DQ21" i="3"/>
  <c r="DG21" i="3"/>
  <c r="CP21" i="3"/>
  <c r="DW21" i="3"/>
  <c r="DE21" i="3"/>
  <c r="DM21" i="3"/>
  <c r="CL21" i="3"/>
  <c r="CT21" i="3"/>
  <c r="DK98" i="3"/>
  <c r="DA10" i="3"/>
  <c r="BT10" i="3"/>
  <c r="DP10" i="3"/>
  <c r="BJ10" i="3"/>
  <c r="BL10" i="3" s="1"/>
  <c r="CF10" i="3"/>
  <c r="CK10" i="3"/>
  <c r="CH10" i="3"/>
  <c r="CD10" i="3"/>
  <c r="BR10" i="3"/>
  <c r="CW10" i="3"/>
  <c r="BV10" i="3"/>
  <c r="BX10" i="3"/>
  <c r="BP10" i="3"/>
  <c r="BZ10" i="3"/>
  <c r="CS10" i="3"/>
  <c r="CO10" i="3"/>
  <c r="CB10" i="3"/>
  <c r="BX39" i="3"/>
  <c r="BJ17" i="3"/>
  <c r="BL17" i="3" s="1"/>
  <c r="CL68" i="3"/>
  <c r="CP18" i="3"/>
  <c r="DG25" i="3"/>
  <c r="DW25" i="3"/>
  <c r="DQ68" i="3"/>
  <c r="CF45" i="3"/>
  <c r="CB45" i="3"/>
  <c r="BR45" i="3"/>
  <c r="CW45" i="3"/>
  <c r="BT45" i="3"/>
  <c r="CS45" i="3"/>
  <c r="CK45" i="3"/>
  <c r="CD45" i="3"/>
  <c r="BX45" i="3"/>
  <c r="CH45" i="3"/>
  <c r="DA45" i="3"/>
  <c r="BV45" i="3"/>
  <c r="CO45" i="3"/>
  <c r="DP45" i="3"/>
  <c r="BP45" i="3"/>
  <c r="BZ45" i="3"/>
  <c r="DG61" i="3"/>
  <c r="CV96" i="3"/>
  <c r="CR100" i="3"/>
  <c r="DP73" i="3"/>
  <c r="BX73" i="3"/>
  <c r="CS73" i="3"/>
  <c r="CF73" i="3"/>
  <c r="CB73" i="3"/>
  <c r="CD73" i="3"/>
  <c r="BT73" i="3"/>
  <c r="CH73" i="3"/>
  <c r="BP73" i="3"/>
  <c r="DA73" i="3"/>
  <c r="BZ73" i="3"/>
  <c r="CO73" i="3"/>
  <c r="CK73" i="3"/>
  <c r="BV73" i="3"/>
  <c r="BR73" i="3"/>
  <c r="BJ73" i="3"/>
  <c r="BL73" i="3" s="1"/>
  <c r="CW73" i="3"/>
  <c r="BQ98" i="3"/>
  <c r="CF70" i="3"/>
  <c r="DP70" i="3"/>
  <c r="CH70" i="3"/>
  <c r="BZ70" i="3"/>
  <c r="CD70" i="3"/>
  <c r="BP70" i="3"/>
  <c r="CW70" i="3"/>
  <c r="BX70" i="3"/>
  <c r="BR70" i="3"/>
  <c r="CK70" i="3"/>
  <c r="CO70" i="3"/>
  <c r="BV70" i="3"/>
  <c r="BJ70" i="3"/>
  <c r="BL70" i="3" s="1"/>
  <c r="DA70" i="3"/>
  <c r="CS70" i="3"/>
  <c r="BT70" i="3"/>
  <c r="CB70" i="3"/>
  <c r="K101" i="3"/>
  <c r="K105" i="3" s="1"/>
  <c r="CP38" i="3"/>
  <c r="DQ18" i="3"/>
  <c r="DT18" i="3"/>
  <c r="DQ25" i="3"/>
  <c r="CP25" i="3"/>
  <c r="DB68" i="3"/>
  <c r="CM96" i="3"/>
  <c r="CP62" i="3"/>
  <c r="CX62" i="3"/>
  <c r="CT62" i="3"/>
  <c r="DW62" i="3"/>
  <c r="CL62" i="3"/>
  <c r="BJ62" i="3"/>
  <c r="BL62" i="3" s="1"/>
  <c r="DB62" i="3"/>
  <c r="DJ62" i="3"/>
  <c r="DM62" i="3"/>
  <c r="DY62" i="3"/>
  <c r="DX96" i="3"/>
  <c r="DB93" i="3"/>
  <c r="DT93" i="3"/>
  <c r="DM93" i="3"/>
  <c r="DJ93" i="3"/>
  <c r="DG93" i="3"/>
  <c r="CP93" i="3"/>
  <c r="DW93" i="3"/>
  <c r="CT93" i="3"/>
  <c r="DE93" i="3"/>
  <c r="DQ93" i="3"/>
  <c r="CA100" i="3"/>
  <c r="O101" i="3"/>
  <c r="O105" i="3" s="1"/>
  <c r="CT12" i="3"/>
  <c r="CP50" i="3"/>
  <c r="DB18" i="3"/>
  <c r="DT10" i="3"/>
  <c r="CX10" i="3"/>
  <c r="DB25" i="3"/>
  <c r="DY55" i="3"/>
  <c r="DB61" i="3"/>
  <c r="DY61" i="3"/>
  <c r="DP49" i="3"/>
  <c r="CW49" i="3"/>
  <c r="BR23" i="3"/>
  <c r="DA23" i="3"/>
  <c r="BP23" i="3"/>
  <c r="CF23" i="3"/>
  <c r="CO23" i="3"/>
  <c r="CK23" i="3"/>
  <c r="CS23" i="3"/>
  <c r="BX23" i="3"/>
  <c r="CB23" i="3"/>
  <c r="DP23" i="3"/>
  <c r="BZ23" i="3"/>
  <c r="BV23" i="3"/>
  <c r="CW23" i="3"/>
  <c r="CD23" i="3"/>
  <c r="CH23" i="3"/>
  <c r="DG78" i="3"/>
  <c r="DW78" i="3"/>
  <c r="CT78" i="3"/>
  <c r="DM78" i="3"/>
  <c r="DQ78" i="3"/>
  <c r="DJ78" i="3"/>
  <c r="CP78" i="3"/>
  <c r="CL78" i="3"/>
  <c r="DB78" i="3"/>
  <c r="CL60" i="3"/>
  <c r="DT60" i="3"/>
  <c r="CX60" i="3"/>
  <c r="DJ60" i="3"/>
  <c r="DY60" i="3"/>
  <c r="CP60" i="3"/>
  <c r="DM60" i="3"/>
  <c r="DE60" i="3"/>
  <c r="CT84" i="3"/>
  <c r="CX84" i="3"/>
  <c r="DY84" i="3"/>
  <c r="CP84" i="3"/>
  <c r="DQ84" i="3"/>
  <c r="DM84" i="3"/>
  <c r="DT84" i="3"/>
  <c r="DG84" i="3"/>
  <c r="DW84" i="3"/>
  <c r="CL84" i="3"/>
  <c r="DE84" i="3"/>
  <c r="DJ84" i="3"/>
  <c r="DB84" i="3"/>
  <c r="DI99" i="3"/>
  <c r="BV76" i="3"/>
  <c r="CS76" i="3"/>
  <c r="CB76" i="3"/>
  <c r="CO76" i="3"/>
  <c r="DP76" i="3"/>
  <c r="CH76" i="3"/>
  <c r="DA76" i="3"/>
  <c r="BZ76" i="3"/>
  <c r="CW76" i="3"/>
  <c r="BR76" i="3"/>
  <c r="CD76" i="3"/>
  <c r="BJ76" i="3"/>
  <c r="BL76" i="3" s="1"/>
  <c r="BT76" i="3"/>
  <c r="CK76" i="3"/>
  <c r="BP76" i="3"/>
  <c r="BX76" i="3"/>
  <c r="CF76" i="3"/>
  <c r="CF51" i="3"/>
  <c r="CH51" i="3"/>
  <c r="CD51" i="3"/>
  <c r="BZ51" i="3"/>
  <c r="BR51" i="3"/>
  <c r="CS51" i="3"/>
  <c r="BX51" i="3"/>
  <c r="CW51" i="3"/>
  <c r="BT51" i="3"/>
  <c r="BV51" i="3"/>
  <c r="BP51" i="3"/>
  <c r="CB51" i="3"/>
  <c r="CO51" i="3"/>
  <c r="DP51" i="3"/>
  <c r="DA51" i="3"/>
  <c r="CK51" i="3"/>
  <c r="CV100" i="3"/>
  <c r="DF96" i="3"/>
  <c r="DP75" i="3"/>
  <c r="CH75" i="3"/>
  <c r="CF75" i="3"/>
  <c r="CD75" i="3"/>
  <c r="BZ75" i="3"/>
  <c r="BV75" i="3"/>
  <c r="DA75" i="3"/>
  <c r="BR75" i="3"/>
  <c r="CO75" i="3"/>
  <c r="CW75" i="3"/>
  <c r="BJ75" i="3"/>
  <c r="BL75" i="3" s="1"/>
  <c r="CK75" i="3"/>
  <c r="BT75" i="3"/>
  <c r="CS75" i="3"/>
  <c r="BP75" i="3"/>
  <c r="BX75" i="3"/>
  <c r="CB75" i="3"/>
  <c r="CH27" i="3"/>
  <c r="CF27" i="3"/>
  <c r="CK27" i="3"/>
  <c r="BX27" i="3"/>
  <c r="CW27" i="3"/>
  <c r="BP27" i="3"/>
  <c r="CO27" i="3"/>
  <c r="BV27" i="3"/>
  <c r="BR27" i="3"/>
  <c r="CD27" i="3"/>
  <c r="BJ27" i="3"/>
  <c r="BL27" i="3" s="1"/>
  <c r="CB27" i="3"/>
  <c r="BT27" i="3"/>
  <c r="DP27" i="3"/>
  <c r="BZ27" i="3"/>
  <c r="CS27" i="3"/>
  <c r="DA27" i="3"/>
  <c r="DQ34" i="3"/>
  <c r="CT34" i="3"/>
  <c r="DJ34" i="3"/>
  <c r="BJ34" i="3"/>
  <c r="BL34" i="3" s="1"/>
  <c r="DE34" i="3"/>
  <c r="DY34" i="3"/>
  <c r="CL34" i="3"/>
  <c r="DT34" i="3"/>
  <c r="CX34" i="3"/>
  <c r="DM34" i="3"/>
  <c r="DW34" i="3"/>
  <c r="DB34" i="3"/>
  <c r="CP34" i="3"/>
  <c r="DG34" i="3"/>
  <c r="AA101" i="3"/>
  <c r="AA105" i="3" s="1"/>
  <c r="CF71" i="3"/>
  <c r="BJ71" i="3"/>
  <c r="BL71" i="3" s="1"/>
  <c r="BP71" i="3"/>
  <c r="BT71" i="3"/>
  <c r="CK71" i="3"/>
  <c r="CH71" i="3"/>
  <c r="BR71" i="3"/>
  <c r="CO71" i="3"/>
  <c r="BZ71" i="3"/>
  <c r="DP71" i="3"/>
  <c r="CD71" i="3"/>
  <c r="BX71" i="3"/>
  <c r="BV71" i="3"/>
  <c r="CS71" i="3"/>
  <c r="CB71" i="3"/>
  <c r="CW71" i="3"/>
  <c r="DA71" i="3"/>
  <c r="DX100" i="3"/>
  <c r="CZ94" i="3"/>
  <c r="K57" i="14" s="1"/>
  <c r="DR99" i="3"/>
  <c r="BH87" i="3"/>
  <c r="CF18" i="3"/>
  <c r="DA18" i="3"/>
  <c r="CO18" i="3"/>
  <c r="CB18" i="3"/>
  <c r="CH18" i="3"/>
  <c r="BR18" i="3"/>
  <c r="BT18" i="3"/>
  <c r="CS18" i="3"/>
  <c r="DP18" i="3"/>
  <c r="BZ18" i="3"/>
  <c r="CD18" i="3"/>
  <c r="BP18" i="3"/>
  <c r="BX18" i="3"/>
  <c r="CW18" i="3"/>
  <c r="CK18" i="3"/>
  <c r="BV18" i="3"/>
  <c r="BJ18" i="3"/>
  <c r="BL18" i="3" s="1"/>
  <c r="Y101" i="3"/>
  <c r="Y105" i="3" s="1"/>
  <c r="CV80" i="3"/>
  <c r="H52" i="14" s="1"/>
  <c r="BZ33" i="3"/>
  <c r="CK33" i="3"/>
  <c r="CS33" i="3"/>
  <c r="DP33" i="3"/>
  <c r="BT33" i="3"/>
  <c r="DA33" i="3"/>
  <c r="BV33" i="3"/>
  <c r="BJ33" i="3"/>
  <c r="BL33" i="3" s="1"/>
  <c r="BX33" i="3"/>
  <c r="CF33" i="3"/>
  <c r="CB33" i="3"/>
  <c r="CD33" i="3"/>
  <c r="CW33" i="3"/>
  <c r="BR33" i="3"/>
  <c r="CH33" i="3"/>
  <c r="CO33" i="3"/>
  <c r="BP33" i="3"/>
  <c r="CX92" i="3"/>
  <c r="DW92" i="3"/>
  <c r="CP92" i="3"/>
  <c r="DM92" i="3"/>
  <c r="DT92" i="3"/>
  <c r="DQ92" i="3"/>
  <c r="CT92" i="3"/>
  <c r="CL92" i="3"/>
  <c r="DJ92" i="3"/>
  <c r="DE92" i="3"/>
  <c r="DG92" i="3"/>
  <c r="BI100" i="3"/>
  <c r="BJ92" i="3"/>
  <c r="BL92" i="3" s="1"/>
  <c r="BI94" i="3"/>
  <c r="DB92" i="3"/>
  <c r="DY92" i="3"/>
  <c r="DM54" i="3"/>
  <c r="CT54" i="3"/>
  <c r="CP54" i="3"/>
  <c r="DE54" i="3"/>
  <c r="CX54" i="3"/>
  <c r="DG54" i="3"/>
  <c r="DB54" i="3"/>
  <c r="BJ54" i="3"/>
  <c r="BL54" i="3" s="1"/>
  <c r="CL54" i="3"/>
  <c r="DJ54" i="3"/>
  <c r="DT54" i="3"/>
  <c r="DY54" i="3"/>
  <c r="DQ54" i="3"/>
  <c r="DW54" i="3"/>
  <c r="BU99" i="3"/>
  <c r="CP85" i="3"/>
  <c r="DW85" i="3"/>
  <c r="DB85" i="3"/>
  <c r="DM85" i="3"/>
  <c r="DT85" i="3"/>
  <c r="DJ85" i="3"/>
  <c r="CX85" i="3"/>
  <c r="DE85" i="3"/>
  <c r="CT85" i="3"/>
  <c r="DQ85" i="3"/>
  <c r="BI87" i="3"/>
  <c r="DY85" i="3"/>
  <c r="BI98" i="3"/>
  <c r="DD80" i="3"/>
  <c r="H62" i="14" s="1"/>
  <c r="DN99" i="3"/>
  <c r="BZ63" i="3"/>
  <c r="CD63" i="3"/>
  <c r="CB63" i="3"/>
  <c r="BR63" i="3"/>
  <c r="BT63" i="3"/>
  <c r="BP63" i="3"/>
  <c r="CW63" i="3"/>
  <c r="BX63" i="3"/>
  <c r="CH63" i="3"/>
  <c r="CO63" i="3"/>
  <c r="DA63" i="3"/>
  <c r="BJ63" i="3"/>
  <c r="BL63" i="3" s="1"/>
  <c r="BV63" i="3"/>
  <c r="DP63" i="3"/>
  <c r="CS63" i="3"/>
  <c r="CK63" i="3"/>
  <c r="CF63" i="3"/>
  <c r="CW85" i="3"/>
  <c r="BR85" i="3"/>
  <c r="BX85" i="3"/>
  <c r="BT85" i="3"/>
  <c r="CH85" i="3"/>
  <c r="CF85" i="3"/>
  <c r="BL85" i="3"/>
  <c r="DA85" i="3"/>
  <c r="CS85" i="3"/>
  <c r="CB85" i="3"/>
  <c r="BV85" i="3"/>
  <c r="CO85" i="3"/>
  <c r="DP85" i="3"/>
  <c r="BP85" i="3"/>
  <c r="CK85" i="3"/>
  <c r="BZ85" i="3"/>
  <c r="CD85" i="3"/>
  <c r="BP64" i="3"/>
  <c r="BZ64" i="3"/>
  <c r="DA64" i="3"/>
  <c r="CK64" i="3"/>
  <c r="CO64" i="3"/>
  <c r="CH64" i="3"/>
  <c r="CD64" i="3"/>
  <c r="BX64" i="3"/>
  <c r="BV64" i="3"/>
  <c r="CS64" i="3"/>
  <c r="BR64" i="3"/>
  <c r="BJ64" i="3"/>
  <c r="BL64" i="3" s="1"/>
  <c r="CW64" i="3"/>
  <c r="DP64" i="3"/>
  <c r="CB64" i="3"/>
  <c r="CF64" i="3"/>
  <c r="BT64" i="3"/>
  <c r="CG96" i="3"/>
  <c r="BS80" i="3"/>
  <c r="H13" i="14" s="1"/>
  <c r="BP65" i="3"/>
  <c r="BZ65" i="3"/>
  <c r="BX65" i="3"/>
  <c r="BR65" i="3"/>
  <c r="CB65" i="3"/>
  <c r="CS65" i="3"/>
  <c r="CH65" i="3"/>
  <c r="DA65" i="3"/>
  <c r="CO65" i="3"/>
  <c r="BT65" i="3"/>
  <c r="CD65" i="3"/>
  <c r="DP65" i="3"/>
  <c r="CK65" i="3"/>
  <c r="CF65" i="3"/>
  <c r="BJ65" i="3"/>
  <c r="BL65" i="3" s="1"/>
  <c r="CW65" i="3"/>
  <c r="BV65" i="3"/>
  <c r="BU96" i="3"/>
  <c r="CZ80" i="3"/>
  <c r="H57" i="14" s="1"/>
  <c r="DY88" i="3"/>
  <c r="CT88" i="3"/>
  <c r="E49" i="14" s="1"/>
  <c r="CL88" i="3"/>
  <c r="E39" i="14" s="1"/>
  <c r="DW88" i="3"/>
  <c r="E93" i="14" s="1"/>
  <c r="DJ88" i="3"/>
  <c r="E70" i="14" s="1"/>
  <c r="CP88" i="3"/>
  <c r="E44" i="14" s="1"/>
  <c r="DM88" i="3"/>
  <c r="E80" i="14" s="1"/>
  <c r="DE88" i="3"/>
  <c r="E63" i="14" s="1"/>
  <c r="CX88" i="3"/>
  <c r="E54" i="14" s="1"/>
  <c r="DG88" i="3"/>
  <c r="E66" i="14" s="1"/>
  <c r="BI91" i="3"/>
  <c r="BI99" i="3"/>
  <c r="CP46" i="3"/>
  <c r="DY46" i="3"/>
  <c r="CL46" i="3"/>
  <c r="DE46" i="3"/>
  <c r="CT46" i="3"/>
  <c r="DJ46" i="3"/>
  <c r="DT46" i="3"/>
  <c r="DW46" i="3"/>
  <c r="DQ46" i="3"/>
  <c r="CX46" i="3"/>
  <c r="DB46" i="3"/>
  <c r="DG46" i="3"/>
  <c r="DM46" i="3"/>
  <c r="DT77" i="3"/>
  <c r="DY77" i="3"/>
  <c r="DG77" i="3"/>
  <c r="CL77" i="3"/>
  <c r="CX77" i="3"/>
  <c r="DB77" i="3"/>
  <c r="DM77" i="3"/>
  <c r="CT77" i="3"/>
  <c r="DW77" i="3"/>
  <c r="CP77" i="3"/>
  <c r="DQ77" i="3"/>
  <c r="DE77" i="3"/>
  <c r="DJ77" i="3"/>
  <c r="CU100" i="3"/>
  <c r="DQ24" i="3"/>
  <c r="DM24" i="3"/>
  <c r="DT24" i="3"/>
  <c r="DW24" i="3"/>
  <c r="CX24" i="3"/>
  <c r="DG24" i="3"/>
  <c r="CP24" i="3"/>
  <c r="CL24" i="3"/>
  <c r="DY24" i="3"/>
  <c r="DB24" i="3"/>
  <c r="CT24" i="3"/>
  <c r="DJ24" i="3"/>
  <c r="DE24" i="3"/>
  <c r="DH100" i="3"/>
  <c r="CM80" i="3"/>
  <c r="H40" i="14" s="1"/>
  <c r="CB43" i="3"/>
  <c r="CW43" i="3"/>
  <c r="BT43" i="3"/>
  <c r="CF43" i="3"/>
  <c r="BR43" i="3"/>
  <c r="CD43" i="3"/>
  <c r="BX43" i="3"/>
  <c r="DP43" i="3"/>
  <c r="CH43" i="3"/>
  <c r="DA43" i="3"/>
  <c r="BP43" i="3"/>
  <c r="BJ43" i="3"/>
  <c r="BL43" i="3" s="1"/>
  <c r="CK43" i="3"/>
  <c r="CS43" i="3"/>
  <c r="BV43" i="3"/>
  <c r="CO43" i="3"/>
  <c r="BZ43" i="3"/>
  <c r="CF26" i="3"/>
  <c r="CW26" i="3"/>
  <c r="BX26" i="3"/>
  <c r="DA26" i="3"/>
  <c r="BP26" i="3"/>
  <c r="BR26" i="3"/>
  <c r="CO26" i="3"/>
  <c r="CB26" i="3"/>
  <c r="BV26" i="3"/>
  <c r="CS26" i="3"/>
  <c r="DP26" i="3"/>
  <c r="CH26" i="3"/>
  <c r="CK26" i="3"/>
  <c r="CD26" i="3"/>
  <c r="BT26" i="3"/>
  <c r="BZ26" i="3"/>
  <c r="BJ26" i="3"/>
  <c r="BL26" i="3" s="1"/>
  <c r="CP20" i="3"/>
  <c r="DE20" i="3"/>
  <c r="DT20" i="3"/>
  <c r="CL20" i="3"/>
  <c r="DW20" i="3"/>
  <c r="DQ20" i="3"/>
  <c r="CT20" i="3"/>
  <c r="DY20" i="3"/>
  <c r="DM20" i="3"/>
  <c r="DG20" i="3"/>
  <c r="CJ98" i="3"/>
  <c r="CT45" i="3"/>
  <c r="DB45" i="3"/>
  <c r="DE45" i="3"/>
  <c r="DM45" i="3"/>
  <c r="CL45" i="3"/>
  <c r="DG45" i="3"/>
  <c r="DW45" i="3"/>
  <c r="CP45" i="3"/>
  <c r="DJ45" i="3"/>
  <c r="CX45" i="3"/>
  <c r="BJ45" i="3"/>
  <c r="BL45" i="3" s="1"/>
  <c r="DO100" i="3"/>
  <c r="AE101" i="3"/>
  <c r="AE105" i="3" s="1"/>
  <c r="BX30" i="3"/>
  <c r="CW30" i="3"/>
  <c r="CH30" i="3"/>
  <c r="BZ30" i="3"/>
  <c r="BR30" i="3"/>
  <c r="CD30" i="3"/>
  <c r="DP30" i="3"/>
  <c r="CO30" i="3"/>
  <c r="CK30" i="3"/>
  <c r="DA30" i="3"/>
  <c r="CS30" i="3"/>
  <c r="BV30" i="3"/>
  <c r="BJ30" i="3"/>
  <c r="BL30" i="3" s="1"/>
  <c r="CB30" i="3"/>
  <c r="CF36" i="3"/>
  <c r="BV36" i="3"/>
  <c r="BJ36" i="3"/>
  <c r="BL36" i="3" s="1"/>
  <c r="CK36" i="3"/>
  <c r="BX36" i="3"/>
  <c r="BR36" i="3"/>
  <c r="CD36" i="3"/>
  <c r="CB36" i="3"/>
  <c r="CS36" i="3"/>
  <c r="CO36" i="3"/>
  <c r="DP36" i="3"/>
  <c r="CH36" i="3"/>
  <c r="DA36" i="3"/>
  <c r="BT36" i="3"/>
  <c r="CW36" i="3"/>
  <c r="BP36" i="3"/>
  <c r="DG23" i="3"/>
  <c r="DM23" i="3"/>
  <c r="DY23" i="3"/>
  <c r="CL23" i="3"/>
  <c r="DB23" i="3"/>
  <c r="DQ23" i="3"/>
  <c r="CX23" i="3"/>
  <c r="CT23" i="3"/>
  <c r="DJ23" i="3"/>
  <c r="DE23" i="3"/>
  <c r="DT23" i="3"/>
  <c r="DW23" i="3"/>
  <c r="BJ23" i="3"/>
  <c r="BL23" i="3" s="1"/>
  <c r="CP23" i="3"/>
  <c r="CF72" i="3"/>
  <c r="BT72" i="3"/>
  <c r="CK72" i="3"/>
  <c r="CH72" i="3"/>
  <c r="BZ72" i="3"/>
  <c r="CS72" i="3"/>
  <c r="DA72" i="3"/>
  <c r="BR72" i="3"/>
  <c r="CB72" i="3"/>
  <c r="BV72" i="3"/>
  <c r="CD72" i="3"/>
  <c r="DP72" i="3"/>
  <c r="CO72" i="3"/>
  <c r="CW72" i="3"/>
  <c r="BX72" i="3"/>
  <c r="BJ72" i="3"/>
  <c r="BL72" i="3" s="1"/>
  <c r="CU80" i="3"/>
  <c r="H50" i="14" s="1"/>
  <c r="BV38" i="3"/>
  <c r="CK38" i="3"/>
  <c r="CW38" i="3"/>
  <c r="CD38" i="3"/>
  <c r="BT38" i="3"/>
  <c r="CO38" i="3"/>
  <c r="CB38" i="3"/>
  <c r="CF38" i="3"/>
  <c r="BJ38" i="3"/>
  <c r="BL38" i="3" s="1"/>
  <c r="BR38" i="3"/>
  <c r="DA38" i="3"/>
  <c r="CH38" i="3"/>
  <c r="BP38" i="3"/>
  <c r="DP38" i="3"/>
  <c r="BX38" i="3"/>
  <c r="BZ38" i="3"/>
  <c r="CS38" i="3"/>
  <c r="BZ59" i="3"/>
  <c r="CB59" i="3"/>
  <c r="CH59" i="3"/>
  <c r="CS59" i="3"/>
  <c r="CD59" i="3"/>
  <c r="BP59" i="3"/>
  <c r="BJ59" i="3"/>
  <c r="BL59" i="3" s="1"/>
  <c r="BT59" i="3"/>
  <c r="CW59" i="3"/>
  <c r="BV59" i="3"/>
  <c r="DP59" i="3"/>
  <c r="CF59" i="3"/>
  <c r="BX59" i="3"/>
  <c r="CO59" i="3"/>
  <c r="CK59" i="3"/>
  <c r="DA59" i="3"/>
  <c r="BR59" i="3"/>
  <c r="CL38" i="3"/>
  <c r="DY38" i="3"/>
  <c r="DG38" i="3"/>
  <c r="CX38" i="3"/>
  <c r="DQ38" i="3"/>
  <c r="DW38" i="3"/>
  <c r="CT38" i="3"/>
  <c r="DJ38" i="3"/>
  <c r="DM38" i="3"/>
  <c r="DE38" i="3"/>
  <c r="DT38" i="3"/>
  <c r="DM15" i="3"/>
  <c r="DE15" i="3"/>
  <c r="DW15" i="3"/>
  <c r="CT15" i="3"/>
  <c r="CL15" i="3"/>
  <c r="DQ15" i="3"/>
  <c r="CP15" i="3"/>
  <c r="DT15" i="3"/>
  <c r="DJ15" i="3"/>
  <c r="DG15" i="3"/>
  <c r="CX15" i="3"/>
  <c r="DY15" i="3"/>
  <c r="CW57" i="3"/>
  <c r="BZ57" i="3"/>
  <c r="BJ57" i="3"/>
  <c r="BL57" i="3" s="1"/>
  <c r="CB57" i="3"/>
  <c r="CH57" i="3"/>
  <c r="BX57" i="3"/>
  <c r="BV57" i="3"/>
  <c r="BT57" i="3"/>
  <c r="CF57" i="3"/>
  <c r="DA57" i="3"/>
  <c r="DP57" i="3"/>
  <c r="CK57" i="3"/>
  <c r="CD57" i="3"/>
  <c r="BP57" i="3"/>
  <c r="BR57" i="3"/>
  <c r="CO57" i="3"/>
  <c r="CS57" i="3"/>
  <c r="DB15" i="3"/>
  <c r="DM86" i="3"/>
  <c r="CX86" i="3"/>
  <c r="DQ86" i="3"/>
  <c r="CP86" i="3"/>
  <c r="DJ86" i="3"/>
  <c r="DE86" i="3"/>
  <c r="DW86" i="3"/>
  <c r="DG86" i="3"/>
  <c r="CL86" i="3"/>
  <c r="DY86" i="3"/>
  <c r="DB86" i="3"/>
  <c r="DT86" i="3"/>
  <c r="CT86" i="3"/>
  <c r="DN100" i="3"/>
  <c r="BJ88" i="3"/>
  <c r="BL88" i="3" s="1"/>
  <c r="BP67" i="3"/>
  <c r="CB67" i="3"/>
  <c r="CK67" i="3"/>
  <c r="BX67" i="3"/>
  <c r="BR67" i="3"/>
  <c r="BZ67" i="3"/>
  <c r="BJ67" i="3"/>
  <c r="BL67" i="3" s="1"/>
  <c r="DP67" i="3"/>
  <c r="DA67" i="3"/>
  <c r="BV67" i="3"/>
  <c r="BT67" i="3"/>
  <c r="CW67" i="3"/>
  <c r="CS67" i="3"/>
  <c r="CO67" i="3"/>
  <c r="CH67" i="3"/>
  <c r="CF67" i="3"/>
  <c r="CD67" i="3"/>
  <c r="DH99" i="3"/>
  <c r="DM37" i="3"/>
  <c r="BJ37" i="3"/>
  <c r="BL37" i="3" s="1"/>
  <c r="DY37" i="3"/>
  <c r="CT37" i="3"/>
  <c r="CX37" i="3"/>
  <c r="DT37" i="3"/>
  <c r="DW37" i="3"/>
  <c r="DG37" i="3"/>
  <c r="DQ37" i="3"/>
  <c r="CL37" i="3"/>
  <c r="DE37" i="3"/>
  <c r="DJ37" i="3"/>
  <c r="CP37" i="3"/>
  <c r="CX51" i="3"/>
  <c r="BJ51" i="3"/>
  <c r="BL51" i="3" s="1"/>
  <c r="DE51" i="3"/>
  <c r="DJ51" i="3"/>
  <c r="DW51" i="3"/>
  <c r="DQ51" i="3"/>
  <c r="CT51" i="3"/>
  <c r="CL51" i="3"/>
  <c r="DT51" i="3"/>
  <c r="DG51" i="3"/>
  <c r="CP51" i="3"/>
  <c r="DY51" i="3"/>
  <c r="DM51" i="3"/>
  <c r="DB51" i="3"/>
  <c r="DW63" i="3"/>
  <c r="DE63" i="3"/>
  <c r="CT63" i="3"/>
  <c r="DQ63" i="3"/>
  <c r="CX63" i="3"/>
  <c r="CL63" i="3"/>
  <c r="CP63" i="3"/>
  <c r="DY63" i="3"/>
  <c r="DG63" i="3"/>
  <c r="DM63" i="3"/>
  <c r="DJ63" i="3"/>
  <c r="DB63" i="3"/>
  <c r="DT63" i="3"/>
  <c r="CF82" i="3"/>
  <c r="BX82" i="3"/>
  <c r="BL82" i="3"/>
  <c r="CD82" i="3"/>
  <c r="BR82" i="3"/>
  <c r="CW82" i="3"/>
  <c r="BP82" i="3"/>
  <c r="BT82" i="3"/>
  <c r="CS82" i="3"/>
  <c r="DP82" i="3"/>
  <c r="BZ82" i="3"/>
  <c r="CO82" i="3"/>
  <c r="DA82" i="3"/>
  <c r="CK82" i="3"/>
  <c r="CB82" i="3"/>
  <c r="BV82" i="3"/>
  <c r="CH82" i="3"/>
  <c r="DA79" i="3"/>
  <c r="DP79" i="3"/>
  <c r="CB79" i="3"/>
  <c r="BR79" i="3"/>
  <c r="CS79" i="3"/>
  <c r="CO79" i="3"/>
  <c r="CF79" i="3"/>
  <c r="CH79" i="3"/>
  <c r="BZ79" i="3"/>
  <c r="BV79" i="3"/>
  <c r="BP79" i="3"/>
  <c r="CK79" i="3"/>
  <c r="BX79" i="3"/>
  <c r="BT79" i="3"/>
  <c r="BJ79" i="3"/>
  <c r="BL79" i="3" s="1"/>
  <c r="CD79" i="3"/>
  <c r="CW79" i="3"/>
  <c r="CH61" i="3"/>
  <c r="BV61" i="3"/>
  <c r="BP61" i="3"/>
  <c r="CB61" i="3"/>
  <c r="CS61" i="3"/>
  <c r="CO61" i="3"/>
  <c r="BZ61" i="3"/>
  <c r="BX61" i="3"/>
  <c r="DP61" i="3"/>
  <c r="CK61" i="3"/>
  <c r="BT61" i="3"/>
  <c r="CD61" i="3"/>
  <c r="CF61" i="3"/>
  <c r="DA61" i="3"/>
  <c r="BR61" i="3"/>
  <c r="BJ61" i="3"/>
  <c r="BL61" i="3" s="1"/>
  <c r="CW61" i="3"/>
  <c r="CE80" i="3"/>
  <c r="H28" i="14" s="1"/>
  <c r="DP29" i="3"/>
  <c r="BZ29" i="3"/>
  <c r="BT29" i="3"/>
  <c r="CO29" i="3"/>
  <c r="DA29" i="3"/>
  <c r="CH29" i="3"/>
  <c r="CW29" i="3"/>
  <c r="BP29" i="3"/>
  <c r="CB29" i="3"/>
  <c r="BV29" i="3"/>
  <c r="CD29" i="3"/>
  <c r="CF29" i="3"/>
  <c r="CS29" i="3"/>
  <c r="CK29" i="3"/>
  <c r="BJ29" i="3"/>
  <c r="BL29" i="3" s="1"/>
  <c r="BR29" i="3"/>
  <c r="BX29" i="3"/>
  <c r="BP77" i="3"/>
  <c r="CO77" i="3"/>
  <c r="CH77" i="3"/>
  <c r="BR77" i="3"/>
  <c r="BX77" i="3"/>
  <c r="CD77" i="3"/>
  <c r="CF77" i="3"/>
  <c r="BJ77" i="3"/>
  <c r="BL77" i="3" s="1"/>
  <c r="CK77" i="3"/>
  <c r="CB77" i="3"/>
  <c r="DA77" i="3"/>
  <c r="CW77" i="3"/>
  <c r="BV77" i="3"/>
  <c r="BZ77" i="3"/>
  <c r="DP77" i="3"/>
  <c r="CS77" i="3"/>
  <c r="BT77" i="3"/>
  <c r="CD90" i="3"/>
  <c r="BJ90" i="3"/>
  <c r="BL90" i="3" s="1"/>
  <c r="CO90" i="3"/>
  <c r="BT90" i="3"/>
  <c r="DA90" i="3"/>
  <c r="BR90" i="3"/>
  <c r="CW90" i="3"/>
  <c r="CK90" i="3"/>
  <c r="CF90" i="3"/>
  <c r="CH90" i="3"/>
  <c r="CS90" i="3"/>
  <c r="BX90" i="3"/>
  <c r="CB90" i="3"/>
  <c r="DP90" i="3"/>
  <c r="BV90" i="3"/>
  <c r="BZ90" i="3"/>
  <c r="BP90" i="3"/>
  <c r="DP68" i="3"/>
  <c r="BT68" i="3"/>
  <c r="CH68" i="3"/>
  <c r="CS68" i="3"/>
  <c r="BZ68" i="3"/>
  <c r="BX68" i="3"/>
  <c r="CW68" i="3"/>
  <c r="BP68" i="3"/>
  <c r="BJ68" i="3"/>
  <c r="BL68" i="3" s="1"/>
  <c r="BV68" i="3"/>
  <c r="DA68" i="3"/>
  <c r="CF68" i="3"/>
  <c r="CB68" i="3"/>
  <c r="BR68" i="3"/>
  <c r="CO68" i="3"/>
  <c r="CD68" i="3"/>
  <c r="CK68" i="3"/>
  <c r="BH80" i="3"/>
  <c r="CD15" i="3"/>
  <c r="CH15" i="3"/>
  <c r="CW15" i="3"/>
  <c r="BR15" i="3"/>
  <c r="DP15" i="3"/>
  <c r="CF15" i="3"/>
  <c r="CB15" i="3"/>
  <c r="CS15" i="3"/>
  <c r="CK15" i="3"/>
  <c r="CO15" i="3"/>
  <c r="BZ15" i="3"/>
  <c r="BT15" i="3"/>
  <c r="BV15" i="3"/>
  <c r="BP15" i="3"/>
  <c r="BX15" i="3"/>
  <c r="BJ15" i="3"/>
  <c r="BL15" i="3" s="1"/>
  <c r="DA15" i="3"/>
  <c r="L101" i="3"/>
  <c r="L105" i="3" s="1"/>
  <c r="CJ80" i="3"/>
  <c r="H37" i="14" s="1"/>
  <c r="DV96" i="3"/>
  <c r="DI98" i="3"/>
  <c r="BV93" i="3"/>
  <c r="CW93" i="3"/>
  <c r="CS93" i="3"/>
  <c r="CH93" i="3"/>
  <c r="CK93" i="3"/>
  <c r="CD93" i="3"/>
  <c r="DP93" i="3"/>
  <c r="BP93" i="3"/>
  <c r="BZ93" i="3"/>
  <c r="BJ93" i="3"/>
  <c r="BL93" i="3" s="1"/>
  <c r="CF93" i="3"/>
  <c r="CO93" i="3"/>
  <c r="CO94" i="3" s="1"/>
  <c r="K43" i="14" s="1"/>
  <c r="DA93" i="3"/>
  <c r="CB93" i="3"/>
  <c r="BR93" i="3"/>
  <c r="BH100" i="3"/>
  <c r="BX93" i="3"/>
  <c r="BT93" i="3"/>
  <c r="BH94" i="3"/>
  <c r="BY98" i="3"/>
  <c r="CQ99" i="3"/>
  <c r="DP21" i="3"/>
  <c r="BX21" i="3"/>
  <c r="CH21" i="3"/>
  <c r="CF21" i="3"/>
  <c r="BP21" i="3"/>
  <c r="BJ21" i="3"/>
  <c r="BL21" i="3" s="1"/>
  <c r="CK21" i="3"/>
  <c r="BR21" i="3"/>
  <c r="CW21" i="3"/>
  <c r="BV21" i="3"/>
  <c r="DA21" i="3"/>
  <c r="CD21" i="3"/>
  <c r="CB21" i="3"/>
  <c r="CS21" i="3"/>
  <c r="CO21" i="3"/>
  <c r="BT21" i="3"/>
  <c r="BZ21" i="3"/>
  <c r="CS58" i="3"/>
  <c r="BV58" i="3"/>
  <c r="CD58" i="3"/>
  <c r="CB58" i="3"/>
  <c r="CW58" i="3"/>
  <c r="CK58" i="3"/>
  <c r="DP58" i="3"/>
  <c r="BR58" i="3"/>
  <c r="BZ58" i="3"/>
  <c r="CO58" i="3"/>
  <c r="CH58" i="3"/>
  <c r="BJ58" i="3"/>
  <c r="BL58" i="3" s="1"/>
  <c r="BT58" i="3"/>
  <c r="DA58" i="3"/>
  <c r="CF58" i="3"/>
  <c r="BX58" i="3"/>
  <c r="BP58" i="3"/>
  <c r="BR53" i="3"/>
  <c r="CS53" i="3"/>
  <c r="BT53" i="3"/>
  <c r="CH53" i="3"/>
  <c r="CD53" i="3"/>
  <c r="CW53" i="3"/>
  <c r="CB53" i="3"/>
  <c r="BZ53" i="3"/>
  <c r="DP53" i="3"/>
  <c r="BJ53" i="3"/>
  <c r="BL53" i="3" s="1"/>
  <c r="BV53" i="3"/>
  <c r="CK53" i="3"/>
  <c r="CF53" i="3"/>
  <c r="BP53" i="3"/>
  <c r="DA53" i="3"/>
  <c r="BX53" i="3"/>
  <c r="CO53" i="3"/>
  <c r="BU100" i="3"/>
  <c r="CB20" i="3"/>
  <c r="CH20" i="3"/>
  <c r="BV20" i="3"/>
  <c r="CK20" i="3"/>
  <c r="CW20" i="3"/>
  <c r="BX20" i="3"/>
  <c r="BR20" i="3"/>
  <c r="CD20" i="3"/>
  <c r="BP20" i="3"/>
  <c r="CO20" i="3"/>
  <c r="BT20" i="3"/>
  <c r="BZ20" i="3"/>
  <c r="DA20" i="3"/>
  <c r="CS20" i="3"/>
  <c r="BJ20" i="3"/>
  <c r="BL20" i="3" s="1"/>
  <c r="CF20" i="3"/>
  <c r="DP20" i="3"/>
  <c r="CU98" i="3"/>
  <c r="BX40" i="3"/>
  <c r="BJ40" i="3"/>
  <c r="BL40" i="3" s="1"/>
  <c r="BV40" i="3"/>
  <c r="CS40" i="3"/>
  <c r="CF40" i="3"/>
  <c r="CW40" i="3"/>
  <c r="CD40" i="3"/>
  <c r="DP40" i="3"/>
  <c r="DA40" i="3"/>
  <c r="CH40" i="3"/>
  <c r="BP40" i="3"/>
  <c r="CK40" i="3"/>
  <c r="BT40" i="3"/>
  <c r="BZ40" i="3"/>
  <c r="BR40" i="3"/>
  <c r="CO40" i="3"/>
  <c r="CB40" i="3"/>
  <c r="BY99" i="3"/>
  <c r="CE96" i="3"/>
  <c r="BX42" i="3"/>
  <c r="CD42" i="3"/>
  <c r="BR42" i="3"/>
  <c r="CF42" i="3"/>
  <c r="BV42" i="3"/>
  <c r="BT42" i="3"/>
  <c r="CO42" i="3"/>
  <c r="BJ42" i="3"/>
  <c r="BL42" i="3" s="1"/>
  <c r="CB42" i="3"/>
  <c r="DP42" i="3"/>
  <c r="BP42" i="3"/>
  <c r="CW42" i="3"/>
  <c r="BZ42" i="3"/>
  <c r="CS42" i="3"/>
  <c r="DA42" i="3"/>
  <c r="CH42" i="3"/>
  <c r="CK42" i="3"/>
  <c r="DJ14" i="3"/>
  <c r="D70" i="14" s="1"/>
  <c r="DB14" i="3"/>
  <c r="D59" i="14" s="1"/>
  <c r="DT14" i="3"/>
  <c r="CP14" i="3"/>
  <c r="D44" i="14" s="1"/>
  <c r="DM14" i="3"/>
  <c r="D80" i="14" s="1"/>
  <c r="DY14" i="3"/>
  <c r="DW14" i="3"/>
  <c r="D93" i="14" s="1"/>
  <c r="DG14" i="3"/>
  <c r="D66" i="14" s="1"/>
  <c r="DQ14" i="3"/>
  <c r="D85" i="14" s="1"/>
  <c r="CT14" i="3"/>
  <c r="D49" i="14" s="1"/>
  <c r="CX14" i="3"/>
  <c r="D54" i="14" s="1"/>
  <c r="CL14" i="3"/>
  <c r="D39" i="14" s="1"/>
  <c r="DE14" i="3"/>
  <c r="D63" i="14" s="1"/>
  <c r="BI97" i="3"/>
  <c r="BJ14" i="3"/>
  <c r="BL14" i="3" s="1"/>
  <c r="BI80" i="3"/>
  <c r="DK99" i="3"/>
  <c r="BV46" i="3"/>
  <c r="BT46" i="3"/>
  <c r="CK46" i="3"/>
  <c r="CO46" i="3"/>
  <c r="BZ46" i="3"/>
  <c r="CW46" i="3"/>
  <c r="DA46" i="3"/>
  <c r="CH46" i="3"/>
  <c r="CD46" i="3"/>
  <c r="CS46" i="3"/>
  <c r="CB46" i="3"/>
  <c r="CF46" i="3"/>
  <c r="BR46" i="3"/>
  <c r="BP46" i="3"/>
  <c r="DP46" i="3"/>
  <c r="BX46" i="3"/>
  <c r="BJ46" i="3"/>
  <c r="BL46" i="3" s="1"/>
  <c r="E89" i="14" l="1"/>
  <c r="E76" i="14"/>
  <c r="D89" i="14"/>
  <c r="D76" i="14"/>
  <c r="F89" i="14"/>
  <c r="F76" i="14"/>
  <c r="H90" i="14"/>
  <c r="H77" i="14"/>
  <c r="I90" i="14"/>
  <c r="I77" i="14"/>
  <c r="DH98" i="3"/>
  <c r="CN98" i="3"/>
  <c r="CE100" i="3"/>
  <c r="CD94" i="3"/>
  <c r="K27" i="14" s="1"/>
  <c r="CL8" i="3"/>
  <c r="G39" i="14" s="1"/>
  <c r="DU98" i="3"/>
  <c r="CX8" i="3"/>
  <c r="G54" i="14" s="1"/>
  <c r="DN98" i="3"/>
  <c r="EA8" i="3"/>
  <c r="G73" i="14" s="1"/>
  <c r="CX94" i="3"/>
  <c r="K54" i="14" s="1"/>
  <c r="DX98" i="3"/>
  <c r="CH94" i="3"/>
  <c r="K33" i="14" s="1"/>
  <c r="BR94" i="3"/>
  <c r="K12" i="14" s="1"/>
  <c r="DS98" i="3"/>
  <c r="DO99" i="3"/>
  <c r="CF94" i="3"/>
  <c r="K30" i="14" s="1"/>
  <c r="CV99" i="3"/>
  <c r="DY8" i="3"/>
  <c r="DT8" i="3"/>
  <c r="DO97" i="3"/>
  <c r="DV97" i="3"/>
  <c r="DZ98" i="3"/>
  <c r="EA87" i="3"/>
  <c r="I73" i="14" s="1"/>
  <c r="DZ97" i="3"/>
  <c r="EA100" i="3"/>
  <c r="CM99" i="3"/>
  <c r="EA91" i="3"/>
  <c r="J73" i="14" s="1"/>
  <c r="EA80" i="3"/>
  <c r="H73" i="14" s="1"/>
  <c r="DD100" i="3"/>
  <c r="CV98" i="3"/>
  <c r="DD98" i="3"/>
  <c r="CR98" i="3"/>
  <c r="CE98" i="3"/>
  <c r="DL98" i="3"/>
  <c r="BP94" i="3"/>
  <c r="K9" i="14" s="1"/>
  <c r="DO98" i="3"/>
  <c r="CC97" i="3"/>
  <c r="BU97" i="3"/>
  <c r="CI98" i="3"/>
  <c r="CI99" i="3"/>
  <c r="BY97" i="3"/>
  <c r="DL97" i="3"/>
  <c r="CE99" i="3"/>
  <c r="CI97" i="3"/>
  <c r="DX97" i="3"/>
  <c r="DU97" i="3"/>
  <c r="CP8" i="3"/>
  <c r="G44" i="14" s="1"/>
  <c r="DW8" i="3"/>
  <c r="G93" i="14" s="1"/>
  <c r="DY94" i="3"/>
  <c r="DH97" i="3"/>
  <c r="DJ91" i="3"/>
  <c r="J70" i="14" s="1"/>
  <c r="CT8" i="3"/>
  <c r="G49" i="14" s="1"/>
  <c r="DD99" i="3"/>
  <c r="DC97" i="3"/>
  <c r="DG8" i="3"/>
  <c r="G66" i="14" s="1"/>
  <c r="DT94" i="3"/>
  <c r="DJ94" i="3"/>
  <c r="K70" i="14" s="1"/>
  <c r="DG91" i="3"/>
  <c r="J66" i="14" s="1"/>
  <c r="DC100" i="3"/>
  <c r="CY97" i="3"/>
  <c r="DE8" i="3"/>
  <c r="G63" i="14" s="1"/>
  <c r="DM8" i="3"/>
  <c r="G80" i="14" s="1"/>
  <c r="DJ8" i="3"/>
  <c r="G70" i="14" s="1"/>
  <c r="CX91" i="3"/>
  <c r="J54" i="14" s="1"/>
  <c r="CL94" i="3"/>
  <c r="K39" i="14" s="1"/>
  <c r="CZ98" i="3"/>
  <c r="DQ8" i="3"/>
  <c r="G85" i="14" s="1"/>
  <c r="CB94" i="3"/>
  <c r="K24" i="14" s="1"/>
  <c r="CW94" i="3"/>
  <c r="K53" i="14" s="1"/>
  <c r="DC96" i="3"/>
  <c r="BZ94" i="3"/>
  <c r="K21" i="14" s="1"/>
  <c r="CG97" i="3"/>
  <c r="DC98" i="3"/>
  <c r="DI97" i="3"/>
  <c r="DM94" i="3"/>
  <c r="K80" i="14" s="1"/>
  <c r="CA97" i="3"/>
  <c r="CT91" i="3"/>
  <c r="J49" i="14" s="1"/>
  <c r="BX94" i="3"/>
  <c r="K18" i="14" s="1"/>
  <c r="BV94" i="3"/>
  <c r="DS97" i="3"/>
  <c r="DB8" i="3"/>
  <c r="G59" i="14" s="1"/>
  <c r="CZ96" i="3"/>
  <c r="DQ94" i="3"/>
  <c r="K85" i="14" s="1"/>
  <c r="DK97" i="3"/>
  <c r="DL99" i="3"/>
  <c r="DW94" i="3"/>
  <c r="K93" i="14" s="1"/>
  <c r="BT94" i="3"/>
  <c r="K15" i="14" s="1"/>
  <c r="DP94" i="3"/>
  <c r="K84" i="14" s="1"/>
  <c r="CS94" i="3"/>
  <c r="K48" i="14" s="1"/>
  <c r="CK94" i="3"/>
  <c r="K38" i="14" s="1"/>
  <c r="BH98" i="3"/>
  <c r="CR97" i="3"/>
  <c r="DR97" i="3"/>
  <c r="CL87" i="3"/>
  <c r="I39" i="14" s="1"/>
  <c r="CZ99" i="3"/>
  <c r="DE94" i="3"/>
  <c r="K63" i="14" s="1"/>
  <c r="CN97" i="3"/>
  <c r="BQ97" i="3"/>
  <c r="DW91" i="3"/>
  <c r="J93" i="14" s="1"/>
  <c r="DB94" i="3"/>
  <c r="K59" i="14" s="1"/>
  <c r="DQ91" i="3"/>
  <c r="J85" i="14" s="1"/>
  <c r="DA94" i="3"/>
  <c r="K58" i="14" s="1"/>
  <c r="CM97" i="3"/>
  <c r="BS97" i="3"/>
  <c r="CT94" i="3"/>
  <c r="K49" i="14" s="1"/>
  <c r="DG87" i="3"/>
  <c r="I66" i="14" s="1"/>
  <c r="CL91" i="3"/>
  <c r="J39" i="14" s="1"/>
  <c r="DN97" i="3"/>
  <c r="DE91" i="3"/>
  <c r="J63" i="14" s="1"/>
  <c r="DT91" i="3"/>
  <c r="DC99" i="3"/>
  <c r="DG94" i="3"/>
  <c r="K66" i="14" s="1"/>
  <c r="CQ97" i="3"/>
  <c r="DF97" i="3"/>
  <c r="DM91" i="3"/>
  <c r="J80" i="14" s="1"/>
  <c r="CP91" i="3"/>
  <c r="J44" i="14" s="1"/>
  <c r="CM98" i="3"/>
  <c r="CP94" i="3"/>
  <c r="K44" i="14" s="1"/>
  <c r="DY91" i="3"/>
  <c r="DB91" i="3"/>
  <c r="J59" i="14" s="1"/>
  <c r="CX87" i="3"/>
  <c r="I54" i="14" s="1"/>
  <c r="DQ80" i="3"/>
  <c r="H85" i="14" s="1"/>
  <c r="DB80" i="3"/>
  <c r="H59" i="14" s="1"/>
  <c r="DG80" i="3"/>
  <c r="H66" i="14" s="1"/>
  <c r="BI101" i="3"/>
  <c r="CX80" i="3"/>
  <c r="H54" i="14" s="1"/>
  <c r="CP80" i="3"/>
  <c r="H44" i="14" s="1"/>
  <c r="CT87" i="3"/>
  <c r="I49" i="14" s="1"/>
  <c r="DW87" i="3"/>
  <c r="I93" i="14" s="1"/>
  <c r="CT80" i="3"/>
  <c r="H49" i="14" s="1"/>
  <c r="DT80" i="3"/>
  <c r="CD89" i="3"/>
  <c r="CD91" i="3" s="1"/>
  <c r="J27" i="14" s="1"/>
  <c r="BJ89" i="3"/>
  <c r="BL89" i="3" s="1"/>
  <c r="BR89" i="3"/>
  <c r="BR91" i="3" s="1"/>
  <c r="J12" i="14" s="1"/>
  <c r="CS89" i="3"/>
  <c r="CS91" i="3" s="1"/>
  <c r="J48" i="14" s="1"/>
  <c r="DA89" i="3"/>
  <c r="DA91" i="3" s="1"/>
  <c r="J58" i="14" s="1"/>
  <c r="CB89" i="3"/>
  <c r="CB91" i="3" s="1"/>
  <c r="J24" i="14" s="1"/>
  <c r="BT89" i="3"/>
  <c r="BT91" i="3" s="1"/>
  <c r="J15" i="14" s="1"/>
  <c r="BV89" i="3"/>
  <c r="BV91" i="3" s="1"/>
  <c r="BZ89" i="3"/>
  <c r="BZ91" i="3" s="1"/>
  <c r="J21" i="14" s="1"/>
  <c r="CH89" i="3"/>
  <c r="CH91" i="3" s="1"/>
  <c r="J33" i="14" s="1"/>
  <c r="BH91" i="3"/>
  <c r="CK89" i="3"/>
  <c r="CK91" i="3" s="1"/>
  <c r="J38" i="14" s="1"/>
  <c r="CW89" i="3"/>
  <c r="CW91" i="3" s="1"/>
  <c r="J53" i="14" s="1"/>
  <c r="DP89" i="3"/>
  <c r="DP91" i="3" s="1"/>
  <c r="J84" i="14" s="1"/>
  <c r="CO89" i="3"/>
  <c r="CO91" i="3" s="1"/>
  <c r="J43" i="14" s="1"/>
  <c r="BX89" i="3"/>
  <c r="BX91" i="3" s="1"/>
  <c r="J18" i="14" s="1"/>
  <c r="BH99" i="3"/>
  <c r="CF89" i="3"/>
  <c r="CF91" i="3" s="1"/>
  <c r="J30" i="14" s="1"/>
  <c r="BP89" i="3"/>
  <c r="BP91" i="3" s="1"/>
  <c r="J9" i="14" s="1"/>
  <c r="DE87" i="3"/>
  <c r="I63" i="14" s="1"/>
  <c r="CP87" i="3"/>
  <c r="I44" i="14" s="1"/>
  <c r="DJ80" i="3"/>
  <c r="H70" i="14" s="1"/>
  <c r="BH97" i="3"/>
  <c r="DD97" i="3"/>
  <c r="DJ87" i="3"/>
  <c r="I70" i="14" s="1"/>
  <c r="BL84" i="3"/>
  <c r="CO84" i="3"/>
  <c r="CO87" i="3" s="1"/>
  <c r="I43" i="14" s="1"/>
  <c r="BR84" i="3"/>
  <c r="BR87" i="3" s="1"/>
  <c r="I12" i="14" s="1"/>
  <c r="BX84" i="3"/>
  <c r="BX87" i="3" s="1"/>
  <c r="I18" i="14" s="1"/>
  <c r="CW84" i="3"/>
  <c r="CW87" i="3" s="1"/>
  <c r="I53" i="14" s="1"/>
  <c r="BZ84" i="3"/>
  <c r="BZ87" i="3" s="1"/>
  <c r="I21" i="14" s="1"/>
  <c r="BT84" i="3"/>
  <c r="BT87" i="3" s="1"/>
  <c r="I15" i="14" s="1"/>
  <c r="CH84" i="3"/>
  <c r="CH87" i="3" s="1"/>
  <c r="I33" i="14" s="1"/>
  <c r="CD84" i="3"/>
  <c r="CD87" i="3" s="1"/>
  <c r="I27" i="14" s="1"/>
  <c r="CB84" i="3"/>
  <c r="CB87" i="3" s="1"/>
  <c r="I24" i="14" s="1"/>
  <c r="CK84" i="3"/>
  <c r="CK87" i="3" s="1"/>
  <c r="I38" i="14" s="1"/>
  <c r="CS84" i="3"/>
  <c r="CS87" i="3" s="1"/>
  <c r="I48" i="14" s="1"/>
  <c r="BV84" i="3"/>
  <c r="BV87" i="3" s="1"/>
  <c r="CF84" i="3"/>
  <c r="CF87" i="3" s="1"/>
  <c r="I30" i="14" s="1"/>
  <c r="DP84" i="3"/>
  <c r="DP87" i="3" s="1"/>
  <c r="I84" i="14" s="1"/>
  <c r="BP84" i="3"/>
  <c r="BP87" i="3" s="1"/>
  <c r="I9" i="14" s="1"/>
  <c r="DA84" i="3"/>
  <c r="DA87" i="3" s="1"/>
  <c r="I58" i="14" s="1"/>
  <c r="CU97" i="3"/>
  <c r="DT87" i="3"/>
  <c r="CZ97" i="3"/>
  <c r="DY87" i="3"/>
  <c r="DW80" i="3"/>
  <c r="H93" i="14" s="1"/>
  <c r="DE80" i="3"/>
  <c r="H63" i="14" s="1"/>
  <c r="DY80" i="3"/>
  <c r="DM87" i="3"/>
  <c r="I80" i="14" s="1"/>
  <c r="CV97" i="3"/>
  <c r="CZ100" i="3"/>
  <c r="CL80" i="3"/>
  <c r="H39" i="14" s="1"/>
  <c r="DM80" i="3"/>
  <c r="H80" i="14" s="1"/>
  <c r="DQ87" i="3"/>
  <c r="I85" i="14" s="1"/>
  <c r="DB87" i="3"/>
  <c r="I59" i="14" s="1"/>
  <c r="CO16" i="3"/>
  <c r="CO80" i="3" s="1"/>
  <c r="H43" i="14" s="1"/>
  <c r="CH16" i="3"/>
  <c r="CH80" i="3" s="1"/>
  <c r="H33" i="14" s="1"/>
  <c r="CK16" i="3"/>
  <c r="CK80" i="3" s="1"/>
  <c r="H38" i="14" s="1"/>
  <c r="BZ16" i="3"/>
  <c r="BZ80" i="3" s="1"/>
  <c r="H21" i="14" s="1"/>
  <c r="CB16" i="3"/>
  <c r="CB80" i="3" s="1"/>
  <c r="H24" i="14" s="1"/>
  <c r="CS16" i="3"/>
  <c r="CS80" i="3" s="1"/>
  <c r="H48" i="14" s="1"/>
  <c r="BT16" i="3"/>
  <c r="BT80" i="3" s="1"/>
  <c r="H15" i="14" s="1"/>
  <c r="BX16" i="3"/>
  <c r="BX80" i="3" s="1"/>
  <c r="H18" i="14" s="1"/>
  <c r="BR16" i="3"/>
  <c r="BR80" i="3" s="1"/>
  <c r="H12" i="14" s="1"/>
  <c r="DP16" i="3"/>
  <c r="DP80" i="3" s="1"/>
  <c r="H84" i="14" s="1"/>
  <c r="CW16" i="3"/>
  <c r="CW80" i="3" s="1"/>
  <c r="H53" i="14" s="1"/>
  <c r="BJ16" i="3"/>
  <c r="BL16" i="3" s="1"/>
  <c r="DA16" i="3"/>
  <c r="DA80" i="3" s="1"/>
  <c r="H58" i="14" s="1"/>
  <c r="BV16" i="3"/>
  <c r="BV80" i="3" s="1"/>
  <c r="BV97" i="3" s="1"/>
  <c r="BP16" i="3"/>
  <c r="BP80" i="3" s="1"/>
  <c r="H9" i="14" s="1"/>
  <c r="CF16" i="3"/>
  <c r="CF80" i="3" s="1"/>
  <c r="H30" i="14" s="1"/>
  <c r="CD16" i="3"/>
  <c r="CD80" i="3" s="1"/>
  <c r="H27" i="14" s="1"/>
  <c r="CO100" i="3"/>
  <c r="CE97" i="3"/>
  <c r="BJ100" i="3"/>
  <c r="BJ94" i="3"/>
  <c r="CJ97" i="3"/>
  <c r="J89" i="14" l="1"/>
  <c r="J76" i="14"/>
  <c r="H89" i="14"/>
  <c r="H76" i="14"/>
  <c r="K89" i="14"/>
  <c r="K76" i="14"/>
  <c r="G89" i="14"/>
  <c r="G76" i="14"/>
  <c r="I89" i="14"/>
  <c r="I76" i="14"/>
  <c r="BV98" i="3"/>
  <c r="BV100" i="3"/>
  <c r="EA96" i="3"/>
  <c r="DY96" i="3"/>
  <c r="BV99" i="3"/>
  <c r="EA98" i="3"/>
  <c r="CL96" i="3"/>
  <c r="CD100" i="3"/>
  <c r="CF100" i="3"/>
  <c r="CX100" i="3"/>
  <c r="CX96" i="3"/>
  <c r="CH100" i="3"/>
  <c r="BR100" i="3"/>
  <c r="DT96" i="3"/>
  <c r="BP100" i="3"/>
  <c r="BZ100" i="3"/>
  <c r="CB100" i="3"/>
  <c r="DY100" i="3"/>
  <c r="DY99" i="3"/>
  <c r="EA99" i="3"/>
  <c r="DY98" i="3"/>
  <c r="DY97" i="3"/>
  <c r="EA97" i="3"/>
  <c r="CS100" i="3"/>
  <c r="CH99" i="3"/>
  <c r="DW96" i="3"/>
  <c r="CP96" i="3"/>
  <c r="DT100" i="3"/>
  <c r="DJ99" i="3"/>
  <c r="DP100" i="3"/>
  <c r="DG97" i="3"/>
  <c r="CT96" i="3"/>
  <c r="DG99" i="3"/>
  <c r="DJ100" i="3"/>
  <c r="DQ97" i="3"/>
  <c r="CT100" i="3"/>
  <c r="CX99" i="3"/>
  <c r="DG96" i="3"/>
  <c r="DE96" i="3"/>
  <c r="CW100" i="3"/>
  <c r="CL100" i="3"/>
  <c r="DM96" i="3"/>
  <c r="DQ96" i="3"/>
  <c r="DM100" i="3"/>
  <c r="DJ96" i="3"/>
  <c r="DE99" i="3"/>
  <c r="DB100" i="3"/>
  <c r="DW100" i="3"/>
  <c r="DB97" i="3"/>
  <c r="BX100" i="3"/>
  <c r="DB96" i="3"/>
  <c r="BT100" i="3"/>
  <c r="DE100" i="3"/>
  <c r="CX97" i="3"/>
  <c r="DQ100" i="3"/>
  <c r="CT99" i="3"/>
  <c r="DW99" i="3"/>
  <c r="CP100" i="3"/>
  <c r="DM97" i="3"/>
  <c r="CL99" i="3"/>
  <c r="CL98" i="3"/>
  <c r="DQ99" i="3"/>
  <c r="DM99" i="3"/>
  <c r="CX98" i="3"/>
  <c r="DG98" i="3"/>
  <c r="CP99" i="3"/>
  <c r="BJ98" i="3"/>
  <c r="BJ87" i="3"/>
  <c r="DA100" i="3"/>
  <c r="BJ99" i="3"/>
  <c r="BJ91" i="3"/>
  <c r="CK100" i="3"/>
  <c r="BX99" i="3"/>
  <c r="BP98" i="3"/>
  <c r="CB99" i="3"/>
  <c r="CW99" i="3"/>
  <c r="BJ97" i="3"/>
  <c r="CD99" i="3"/>
  <c r="DG100" i="3"/>
  <c r="CP97" i="3"/>
  <c r="DA98" i="3"/>
  <c r="DE97" i="3"/>
  <c r="BZ99" i="3"/>
  <c r="DW97" i="3"/>
  <c r="CO99" i="3"/>
  <c r="CL97" i="3"/>
  <c r="BT99" i="3"/>
  <c r="CT97" i="3"/>
  <c r="BP99" i="3"/>
  <c r="CK99" i="3"/>
  <c r="DT99" i="3"/>
  <c r="DB99" i="3"/>
  <c r="DP99" i="3"/>
  <c r="CW98" i="3"/>
  <c r="DT97" i="3"/>
  <c r="CB98" i="3"/>
  <c r="CS98" i="3"/>
  <c r="BT98" i="3"/>
  <c r="BX98" i="3"/>
  <c r="BZ98" i="3"/>
  <c r="BR98" i="3"/>
  <c r="DA99" i="3"/>
  <c r="CD98" i="3"/>
  <c r="CO98" i="3"/>
  <c r="CS99" i="3"/>
  <c r="CF99" i="3"/>
  <c r="BR99" i="3"/>
  <c r="CF98" i="3"/>
  <c r="DP98" i="3"/>
  <c r="CP98" i="3"/>
  <c r="CK98" i="3"/>
  <c r="DE98" i="3"/>
  <c r="CT98" i="3"/>
  <c r="CH98" i="3"/>
  <c r="DM98" i="3"/>
  <c r="DT98" i="3"/>
  <c r="DJ97" i="3"/>
  <c r="DB98" i="3"/>
  <c r="DQ98" i="3"/>
  <c r="DJ98" i="3"/>
  <c r="DW98" i="3"/>
  <c r="BZ97" i="3"/>
  <c r="CS97" i="3"/>
  <c r="DA97" i="3"/>
  <c r="CB97" i="3"/>
  <c r="CK97" i="3"/>
  <c r="CD97" i="3"/>
  <c r="BL91" i="3"/>
  <c r="BL99" i="3"/>
  <c r="BL87" i="3"/>
  <c r="BL98" i="3"/>
  <c r="BL97" i="3"/>
  <c r="BL80" i="3"/>
  <c r="BL100" i="3"/>
  <c r="BL94" i="3"/>
  <c r="BR97" i="3"/>
  <c r="CW97" i="3"/>
  <c r="BT97" i="3"/>
  <c r="BJ80" i="3"/>
  <c r="DP97" i="3"/>
  <c r="CH97" i="3"/>
  <c r="BX97" i="3"/>
  <c r="CO97" i="3"/>
  <c r="CF97" i="3"/>
  <c r="BP97" i="3"/>
  <c r="BX4" i="3" l="1"/>
  <c r="BX8" i="3" s="1"/>
  <c r="G18" i="14" s="1"/>
  <c r="BZ4" i="3"/>
  <c r="BZ8" i="3" s="1"/>
  <c r="G21" i="14" s="1"/>
  <c r="CB4" i="3"/>
  <c r="CB8" i="3" s="1"/>
  <c r="G24" i="14" s="1"/>
  <c r="BH8" i="3"/>
  <c r="BV4" i="3"/>
  <c r="BV8" i="3" s="1"/>
  <c r="DP4" i="3"/>
  <c r="DP8" i="3" s="1"/>
  <c r="G84" i="14" s="1"/>
  <c r="CO4" i="3"/>
  <c r="CO8" i="3" s="1"/>
  <c r="G43" i="14" s="1"/>
  <c r="CS4" i="3"/>
  <c r="CS8" i="3" s="1"/>
  <c r="G48" i="14" s="1"/>
  <c r="BR4" i="3"/>
  <c r="BR8" i="3" s="1"/>
  <c r="G12" i="14" s="1"/>
  <c r="CD4" i="3"/>
  <c r="CD8" i="3" s="1"/>
  <c r="G27" i="14" s="1"/>
  <c r="CF4" i="3"/>
  <c r="CF8" i="3" s="1"/>
  <c r="G30" i="14" s="1"/>
  <c r="BJ4" i="3"/>
  <c r="BT4" i="3"/>
  <c r="BT8" i="3" s="1"/>
  <c r="G15" i="14" s="1"/>
  <c r="CW4" i="3"/>
  <c r="CW8" i="3" s="1"/>
  <c r="G53" i="14" s="1"/>
  <c r="CH4" i="3"/>
  <c r="CH8" i="3" s="1"/>
  <c r="G33" i="14" s="1"/>
  <c r="DA4" i="3"/>
  <c r="DA8" i="3" s="1"/>
  <c r="G58" i="14" s="1"/>
  <c r="CK4" i="3"/>
  <c r="CK8" i="3" s="1"/>
  <c r="G38" i="14" s="1"/>
  <c r="BP4" i="3"/>
  <c r="BP8" i="3" s="1"/>
  <c r="G9" i="14" s="1"/>
  <c r="BH96" i="3"/>
  <c r="BH101" i="3" s="1"/>
  <c r="BV96" i="3" l="1"/>
  <c r="CS96" i="3"/>
  <c r="CW96" i="3"/>
  <c r="CO96" i="3"/>
  <c r="BT96" i="3"/>
  <c r="DP96" i="3"/>
  <c r="BL4" i="3"/>
  <c r="BJ8" i="3"/>
  <c r="BJ96" i="3"/>
  <c r="BJ101" i="3" s="1"/>
  <c r="CH96" i="3"/>
  <c r="BP96" i="3"/>
  <c r="CF96" i="3"/>
  <c r="CB96" i="3"/>
  <c r="CK96" i="3"/>
  <c r="CD96" i="3"/>
  <c r="BZ96" i="3"/>
  <c r="DA96" i="3"/>
  <c r="BR96" i="3"/>
  <c r="BX96" i="3"/>
  <c r="BL96" i="3" l="1"/>
  <c r="BL101" i="3" s="1"/>
  <c r="BL8" i="3"/>
</calcChain>
</file>

<file path=xl/sharedStrings.xml><?xml version="1.0" encoding="utf-8"?>
<sst xmlns="http://schemas.openxmlformats.org/spreadsheetml/2006/main" count="3246" uniqueCount="609">
  <si>
    <t xml:space="preserve">                  Please select a School</t>
  </si>
  <si>
    <t>Area</t>
  </si>
  <si>
    <t>Key Ratios</t>
  </si>
  <si>
    <t>School Data</t>
  </si>
  <si>
    <t>Nursery</t>
  </si>
  <si>
    <t>Primary</t>
  </si>
  <si>
    <t>Secondary</t>
  </si>
  <si>
    <t>Special</t>
  </si>
  <si>
    <t>Income</t>
  </si>
  <si>
    <t>As % of Total Revenue Income</t>
  </si>
  <si>
    <t>Income per pupil</t>
  </si>
  <si>
    <t>Expenditure</t>
  </si>
  <si>
    <t>E01,E02 &amp; E26 - Teaching Staff</t>
  </si>
  <si>
    <t>As % of Final Budget Share</t>
  </si>
  <si>
    <t>As % of Total Rev. Expenditure</t>
  </si>
  <si>
    <t>Cost / Expenditure per pupil</t>
  </si>
  <si>
    <t>E03 - Education Support Staff</t>
  </si>
  <si>
    <t>E04 - Premises Staff</t>
  </si>
  <si>
    <t>E05 - Admin &amp; Clerical Staff</t>
  </si>
  <si>
    <t>Total Employee Costs</t>
  </si>
  <si>
    <t>E12 - Building Maintenance</t>
  </si>
  <si>
    <t>E15 - Water</t>
  </si>
  <si>
    <t>E16 - Energy</t>
  </si>
  <si>
    <t>E18 - Other Occupation Costs</t>
  </si>
  <si>
    <t>E19 - Learning Resources</t>
  </si>
  <si>
    <t>E22 - Administrative Supplies</t>
  </si>
  <si>
    <t>Please choose a school</t>
  </si>
  <si>
    <t>Brookhill Nursery School</t>
  </si>
  <si>
    <t>Hampden Way Nursery School</t>
  </si>
  <si>
    <t>Moss Hall Nursery School</t>
  </si>
  <si>
    <t>St Margaret's Nursery School</t>
  </si>
  <si>
    <t xml:space="preserve">Akiva </t>
  </si>
  <si>
    <t>All Saints' CE School (N20)</t>
  </si>
  <si>
    <t>All Saints' CE School (NW2)</t>
  </si>
  <si>
    <t>Annunciation RC Infant School</t>
  </si>
  <si>
    <t>Annunciation RC Junior School</t>
  </si>
  <si>
    <t>Barnfield School</t>
  </si>
  <si>
    <t>Beis Yaakov</t>
  </si>
  <si>
    <t>Bell Lane School</t>
  </si>
  <si>
    <t>Blessed Dominic RC School</t>
  </si>
  <si>
    <t>Broadfields Primary School</t>
  </si>
  <si>
    <t>Brookland Infant School</t>
  </si>
  <si>
    <t>Brookland Junior School</t>
  </si>
  <si>
    <t>Brunswick Park School</t>
  </si>
  <si>
    <t>Chalgrove School</t>
  </si>
  <si>
    <t>Christ Church CE School</t>
  </si>
  <si>
    <t>Church Hill School</t>
  </si>
  <si>
    <t>Colindale School</t>
  </si>
  <si>
    <t>Coppetts Wood School</t>
  </si>
  <si>
    <t>Copthall School</t>
  </si>
  <si>
    <t>Courtland School</t>
  </si>
  <si>
    <t>Cromer Road School</t>
  </si>
  <si>
    <t>Danegrove School</t>
  </si>
  <si>
    <t>Deansbrook Infant School</t>
  </si>
  <si>
    <t>Deansbrook Junior School</t>
  </si>
  <si>
    <t>Fairway School</t>
  </si>
  <si>
    <t>Foulds School</t>
  </si>
  <si>
    <t>Frith Manor School</t>
  </si>
  <si>
    <t>Garden Suburb Infant School</t>
  </si>
  <si>
    <t>Garden Suburb Junior School</t>
  </si>
  <si>
    <t>Goldbeaters School</t>
  </si>
  <si>
    <t>Hasmonean Primary School</t>
  </si>
  <si>
    <t>Hollickwood School</t>
  </si>
  <si>
    <t>Holly Park School</t>
  </si>
  <si>
    <t>Holy Trinity CE School</t>
  </si>
  <si>
    <t>Livingstone School</t>
  </si>
  <si>
    <t xml:space="preserve">Manorside School </t>
  </si>
  <si>
    <t xml:space="preserve">Martin Primary </t>
  </si>
  <si>
    <t>Mathilda Marks Kennedy School</t>
  </si>
  <si>
    <t>Menorah Foundation School</t>
  </si>
  <si>
    <t>Menorah Primary School</t>
  </si>
  <si>
    <t>Monken Hadley CE School</t>
  </si>
  <si>
    <t>Monkfrith School</t>
  </si>
  <si>
    <t>Moss Hall Infant School</t>
  </si>
  <si>
    <t>Moss Hall Junior School</t>
  </si>
  <si>
    <t>Northside School</t>
  </si>
  <si>
    <t>Orion School</t>
  </si>
  <si>
    <t>Osidge School</t>
  </si>
  <si>
    <t>Our Lady of Lourdes RC School</t>
  </si>
  <si>
    <t>Pardes House School</t>
  </si>
  <si>
    <t>Queenswell Junior School</t>
  </si>
  <si>
    <t>Rosh Pinah School</t>
  </si>
  <si>
    <t>Sacred Heart RC School</t>
  </si>
  <si>
    <t>St. Agnes' RC School</t>
  </si>
  <si>
    <t>St. Andrew's CE School</t>
  </si>
  <si>
    <t>St. Catherine's RC School</t>
  </si>
  <si>
    <t>St. John's CE School (N11)</t>
  </si>
  <si>
    <t>St. John's CE School (N20)</t>
  </si>
  <si>
    <t>St. Mary's CE School (EN4)</t>
  </si>
  <si>
    <t>St. Mary's CE School (N3)</t>
  </si>
  <si>
    <t>St. Paul's CE School (N11)</t>
  </si>
  <si>
    <t>St. Paul's CE School (NW7)</t>
  </si>
  <si>
    <t>St. Theresa's RC School</t>
  </si>
  <si>
    <t>St. Vincent's RC School</t>
  </si>
  <si>
    <t>Sunnyfields School</t>
  </si>
  <si>
    <t>Trent CE School</t>
  </si>
  <si>
    <t>Tudor School</t>
  </si>
  <si>
    <t>Underhill Infant School</t>
  </si>
  <si>
    <t>Wessex Gardens School</t>
  </si>
  <si>
    <t>Whitings Hill School</t>
  </si>
  <si>
    <t>Woodcroft Primary School</t>
  </si>
  <si>
    <t>Woodridge School</t>
  </si>
  <si>
    <t>Finchley Catholic High School</t>
  </si>
  <si>
    <t>Friern Barnet School</t>
  </si>
  <si>
    <t>Hendon School</t>
  </si>
  <si>
    <t>Queen Elizabeth's Girls' School</t>
  </si>
  <si>
    <t>Queen Elizabeth's School, Barnet</t>
  </si>
  <si>
    <t>St James' Catholic High School</t>
  </si>
  <si>
    <t>St. Michael's Catholic Grammar School</t>
  </si>
  <si>
    <t>Whitefield School</t>
  </si>
  <si>
    <t>Mapledown School</t>
  </si>
  <si>
    <t>Northway School</t>
  </si>
  <si>
    <t>Oak Lodge School</t>
  </si>
  <si>
    <t>Oakleigh School</t>
  </si>
  <si>
    <t>School Name</t>
  </si>
  <si>
    <t>I13 Donations / Voluntary Funds</t>
  </si>
  <si>
    <t>Cost Centre</t>
  </si>
  <si>
    <t>School</t>
  </si>
  <si>
    <t>I01 - Funds Del. By LA</t>
  </si>
  <si>
    <t>I02 - Sixth form funding</t>
  </si>
  <si>
    <t>I03 - SEN Funding</t>
  </si>
  <si>
    <t>I04 - Ethnic Minority</t>
  </si>
  <si>
    <t xml:space="preserve">I06 - Other Gov. Grants </t>
  </si>
  <si>
    <t xml:space="preserve">I07 - Other Grants &amp; Payments </t>
  </si>
  <si>
    <t>I09 - Income from Catering</t>
  </si>
  <si>
    <t>I10 - Supply teacher ins claims</t>
  </si>
  <si>
    <t>I11 - receipts from other ins claims</t>
  </si>
  <si>
    <t xml:space="preserve">I12 - Income from Contributions </t>
  </si>
  <si>
    <t xml:space="preserve">I13 - Donations </t>
  </si>
  <si>
    <t xml:space="preserve">I15 - Pupil Focussed Extended School Funding and/or Grants </t>
  </si>
  <si>
    <t xml:space="preserve">I16 - Community Focussed Extended School Funding and/or Grants </t>
  </si>
  <si>
    <t>I17 - Community Focussed Extended School Facilities Income</t>
  </si>
  <si>
    <t xml:space="preserve">E01 - Teaching Staff </t>
  </si>
  <si>
    <t>E02 - Supply Staff</t>
  </si>
  <si>
    <t xml:space="preserve">E03 - Educ Support Staff </t>
  </si>
  <si>
    <t xml:space="preserve">E04 - Premises Staff </t>
  </si>
  <si>
    <t xml:space="preserve">E05 -Admin &amp; Clerical </t>
  </si>
  <si>
    <t>E06 - Catering Staff</t>
  </si>
  <si>
    <t xml:space="preserve">E07 - Cost of Other Staff </t>
  </si>
  <si>
    <t xml:space="preserve">E08 - Indirect Employee Exp </t>
  </si>
  <si>
    <t xml:space="preserve">E09 - Staff Dev &amp; Training </t>
  </si>
  <si>
    <t xml:space="preserve">E10 - Supply Teacher Ins </t>
  </si>
  <si>
    <t xml:space="preserve">E11  - Staff Related Ins </t>
  </si>
  <si>
    <t>E12 - Building Maint &amp; Imp</t>
  </si>
  <si>
    <t xml:space="preserve">E13 - Grounds Maint &amp; Impt </t>
  </si>
  <si>
    <t xml:space="preserve">E14 - Contract Cleaning </t>
  </si>
  <si>
    <t xml:space="preserve">E16 - Energy </t>
  </si>
  <si>
    <t xml:space="preserve">E17 - Rates </t>
  </si>
  <si>
    <t xml:space="preserve">E18 - Other Occup. Costs </t>
  </si>
  <si>
    <t xml:space="preserve">E19 - Learning Resources </t>
  </si>
  <si>
    <t xml:space="preserve">E21 - Exam fees </t>
  </si>
  <si>
    <t>E22 - Admin Supplies</t>
  </si>
  <si>
    <t>E23 - Other Ins Premiums</t>
  </si>
  <si>
    <t xml:space="preserve">E24 - Special Facilities </t>
  </si>
  <si>
    <t xml:space="preserve">E25 - Catering Supplies </t>
  </si>
  <si>
    <t>E26 - Agency Supply Staff</t>
  </si>
  <si>
    <t xml:space="preserve">E27 - Bought in Proff. Services (Curric) </t>
  </si>
  <si>
    <t xml:space="preserve">E29 - Loan Interest </t>
  </si>
  <si>
    <t xml:space="preserve">E30 - RCCO </t>
  </si>
  <si>
    <t xml:space="preserve">E31 - Community Focussed Extended School Staff  </t>
  </si>
  <si>
    <t xml:space="preserve">E32 - Community Focussed Extended School Costs </t>
  </si>
  <si>
    <t>Total Revenue Income</t>
  </si>
  <si>
    <t>Total Revenue Expenditure</t>
  </si>
  <si>
    <t>Net in Year Rev Inc / (Exp)</t>
  </si>
  <si>
    <t>Income Per Pupil</t>
  </si>
  <si>
    <t>As % of Total Rev Expenditure</t>
  </si>
  <si>
    <t>Cost per Pupil</t>
  </si>
  <si>
    <t>As % of in year Revenue Income</t>
  </si>
  <si>
    <t>Cost / Expenditure per Pupil</t>
  </si>
  <si>
    <t>Cost per pupil</t>
  </si>
  <si>
    <t>Expenditure per Pupil</t>
  </si>
  <si>
    <t>N</t>
  </si>
  <si>
    <t>Nursery Sector Average</t>
  </si>
  <si>
    <t>P</t>
  </si>
  <si>
    <t>Primary Sector Average</t>
  </si>
  <si>
    <t>S</t>
  </si>
  <si>
    <t>Secondary Sector Average</t>
  </si>
  <si>
    <t>C</t>
  </si>
  <si>
    <t>Special Sector Average</t>
  </si>
  <si>
    <t>I01</t>
  </si>
  <si>
    <t>I02</t>
  </si>
  <si>
    <t>I03</t>
  </si>
  <si>
    <t>I04</t>
  </si>
  <si>
    <t>I05</t>
  </si>
  <si>
    <t>I06</t>
  </si>
  <si>
    <t>I07</t>
  </si>
  <si>
    <t>I09</t>
  </si>
  <si>
    <t>I10</t>
  </si>
  <si>
    <t>I11</t>
  </si>
  <si>
    <t>I12</t>
  </si>
  <si>
    <t>I13</t>
  </si>
  <si>
    <t>I15</t>
  </si>
  <si>
    <t>I16</t>
  </si>
  <si>
    <t>I17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</si>
  <si>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</si>
  <si>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</si>
  <si>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</si>
  <si>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</si>
  <si>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</si>
  <si>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</si>
  <si>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</si>
  <si>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</si>
  <si>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</si>
  <si>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</si>
  <si>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</si>
  <si>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</si>
  <si>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</si>
  <si>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</si>
  <si>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</si>
  <si>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</si>
  <si>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</si>
  <si>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</si>
  <si>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</si>
  <si>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E21</t>
  </si>
  <si>
    <t>E22</t>
  </si>
  <si>
    <t>E23</t>
  </si>
  <si>
    <t>E24</t>
  </si>
  <si>
    <t>E25</t>
  </si>
  <si>
    <t>E26</t>
  </si>
  <si>
    <t>E27</t>
  </si>
  <si>
    <t>E29</t>
  </si>
  <si>
    <t>E30</t>
  </si>
  <si>
    <t>E31</t>
  </si>
  <si>
    <t>E32</t>
  </si>
  <si>
    <t xml:space="preserve">Excludes Community Focussed Extended Schools Income </t>
  </si>
  <si>
    <t>Excludes Community Focussed Extended Schools Expenditure</t>
  </si>
  <si>
    <t>I01 - Funds Delegated by LA</t>
  </si>
  <si>
    <t>I06 - Other Gov. Grants</t>
  </si>
  <si>
    <t>I12 Inc. from Contributions</t>
  </si>
  <si>
    <t>Akiva School</t>
  </si>
  <si>
    <t>Barnfield Primary School</t>
  </si>
  <si>
    <t>Beis Yaakov Primary School</t>
  </si>
  <si>
    <t>Brookland Infant and Nursery School</t>
  </si>
  <si>
    <t>Brunswick Park Primary and Nursery School</t>
  </si>
  <si>
    <t>Chalgrove Primary School</t>
  </si>
  <si>
    <t>Christ Church Primary School</t>
  </si>
  <si>
    <t>Claremont Primary School</t>
  </si>
  <si>
    <t>Colindale Primary School</t>
  </si>
  <si>
    <t>Coppetts Wood Primary School</t>
  </si>
  <si>
    <t>Cromer Road Primary School</t>
  </si>
  <si>
    <t>Danegrove Primary School</t>
  </si>
  <si>
    <t>Frith Manor Primary School</t>
  </si>
  <si>
    <t>Goldbeaters Primary School</t>
  </si>
  <si>
    <t>Hollickwood Primary School</t>
  </si>
  <si>
    <t>Holly Park Primary School</t>
  </si>
  <si>
    <t>Holy Trinity CofE Primary School</t>
  </si>
  <si>
    <t>Manorside Primary School</t>
  </si>
  <si>
    <t>Martin Primary School</t>
  </si>
  <si>
    <t>Mathilda Marks-Kennedy Jewish Primary School</t>
  </si>
  <si>
    <t>Monken Hadley CofE Primary School</t>
  </si>
  <si>
    <t>Monkfrith Primary School</t>
  </si>
  <si>
    <t>Northside Primary School</t>
  </si>
  <si>
    <t>Osidge Primary School</t>
  </si>
  <si>
    <t>Pardes House Primary School</t>
  </si>
  <si>
    <t>Parkfield Primary School</t>
  </si>
  <si>
    <t>Rosh Pinah Primary School</t>
  </si>
  <si>
    <t>Sacred Heart Roman Catholic Primary School</t>
  </si>
  <si>
    <t>St Catherine's RC School</t>
  </si>
  <si>
    <t>St Mary's CofE Primary School, East Barnet</t>
  </si>
  <si>
    <t>St Paul's CofE Primary School N11</t>
  </si>
  <si>
    <t>Sunnyfields Primary School</t>
  </si>
  <si>
    <t>The Annunciation RC Junior School</t>
  </si>
  <si>
    <t>The Hyde School</t>
  </si>
  <si>
    <t>The Orion Primary School</t>
  </si>
  <si>
    <t>Trent CofE Primary School</t>
  </si>
  <si>
    <t>Tudor Primary School</t>
  </si>
  <si>
    <t>Wessex Gardens Primary School</t>
  </si>
  <si>
    <t>Whitings Hill Primary School</t>
  </si>
  <si>
    <t>Woodridge Primary School</t>
  </si>
  <si>
    <t>Bishop Douglass School Finchley</t>
  </si>
  <si>
    <t>Christ's College Finchley</t>
  </si>
  <si>
    <t>St Michael's Catholic Grammar School</t>
  </si>
  <si>
    <t>The Henrietta Barnett School</t>
  </si>
  <si>
    <t>OB01</t>
  </si>
  <si>
    <t>OB02</t>
  </si>
  <si>
    <t>OB03</t>
  </si>
  <si>
    <t>CI01</t>
  </si>
  <si>
    <t>CI03</t>
  </si>
  <si>
    <t>CE01</t>
  </si>
  <si>
    <t>CE02</t>
  </si>
  <si>
    <t>CE03</t>
  </si>
  <si>
    <t>JCoSS</t>
  </si>
  <si>
    <t>E01, E02, E26 - Teaching Staff</t>
  </si>
  <si>
    <t>Pupil Numbers</t>
  </si>
  <si>
    <t>The Totteridge Academy</t>
  </si>
  <si>
    <t>Mill Hill County High School</t>
  </si>
  <si>
    <t>Ashmole Academy</t>
  </si>
  <si>
    <t>Nursery Sector</t>
  </si>
  <si>
    <t>Primary Sector</t>
  </si>
  <si>
    <t>Secondary Sector</t>
  </si>
  <si>
    <t>Special Sector</t>
  </si>
  <si>
    <t>London Academy</t>
  </si>
  <si>
    <t>Pavilion Study Centre</t>
  </si>
  <si>
    <t>Northgate</t>
  </si>
  <si>
    <t>Beit Shvidler</t>
  </si>
  <si>
    <t xml:space="preserve">I05 - Pupil Premium </t>
  </si>
  <si>
    <t>Check</t>
  </si>
  <si>
    <t>DfE Number</t>
  </si>
  <si>
    <t>Sector Averages</t>
  </si>
  <si>
    <t>St Paul's CofE Primary School NW7</t>
  </si>
  <si>
    <t>I05 - Pupil Premium</t>
  </si>
  <si>
    <t>PRU's</t>
  </si>
  <si>
    <t>PRU Sector Average</t>
  </si>
  <si>
    <t>Pupil Referral Unit</t>
  </si>
  <si>
    <t>PR</t>
  </si>
  <si>
    <t>Northgate School</t>
  </si>
  <si>
    <t>Etz Chaim Jewish Primary School</t>
  </si>
  <si>
    <t>Rimon Jewish Primary School</t>
  </si>
  <si>
    <t>Brookland Infant  &amp; Nursery School</t>
  </si>
  <si>
    <t>Brunswick Park Primary &amp; Nursery School</t>
  </si>
  <si>
    <t>Alma Primary</t>
  </si>
  <si>
    <t>Woodridge  Primary School</t>
  </si>
  <si>
    <t>Wessex  Gardens Primary School</t>
  </si>
  <si>
    <t>The Annunciation Catholic Infant School</t>
  </si>
  <si>
    <t>St Vincent's Catholic Primary School</t>
  </si>
  <si>
    <t>Independent Jewish Day School</t>
  </si>
  <si>
    <t>Beit Shvidler Primary School</t>
  </si>
  <si>
    <t>St Andrew the Apostle Greek Orthodox School</t>
  </si>
  <si>
    <t>The Archer Academy</t>
  </si>
  <si>
    <t>East Barnet School</t>
  </si>
  <si>
    <t>The Compton School</t>
  </si>
  <si>
    <t>St. James' Catholic High School</t>
  </si>
  <si>
    <t>Millbrook Park Primary School</t>
  </si>
  <si>
    <t>DfE No</t>
  </si>
  <si>
    <t>St. Joseph's RC Primary</t>
  </si>
  <si>
    <t>Edgware Primary School</t>
  </si>
  <si>
    <t>St Joseph's Catholic Primary School</t>
  </si>
  <si>
    <t xml:space="preserve">Pupil Premium Free School Meals </t>
  </si>
  <si>
    <t>Sacks Morasha Jewish Primary School</t>
  </si>
  <si>
    <t>School Type</t>
  </si>
  <si>
    <t>Mainstream Academy</t>
  </si>
  <si>
    <t>Fairway Primary School and Children's Centre</t>
  </si>
  <si>
    <t>Livingstone Primary and Nursery School</t>
  </si>
  <si>
    <t>Queenswell Infant &amp; Nursery School</t>
  </si>
  <si>
    <t>All Saints' CofE Primary School NW2</t>
  </si>
  <si>
    <t>St John's CofE Junior Mixed and Infant School</t>
  </si>
  <si>
    <t>St Mary's CofE Primary School</t>
  </si>
  <si>
    <t>St Andrew's CofE Voluntary Aided Primary School, Totteridge</t>
  </si>
  <si>
    <t>St Theresa's Catholic Primary School</t>
  </si>
  <si>
    <t>Oakleigh School &amp; Acorn Assessment Centre</t>
  </si>
  <si>
    <t>Barnet</t>
  </si>
  <si>
    <t>Menorah High School for Girls</t>
  </si>
  <si>
    <t>Underhill School</t>
  </si>
  <si>
    <t>Difference</t>
  </si>
  <si>
    <t>Excl Community Focussed Revenue Balance</t>
  </si>
  <si>
    <t>Watling Park School</t>
  </si>
  <si>
    <t>Ashmole Primary School</t>
  </si>
  <si>
    <t>Blessed Dominic Catholic Primary School</t>
  </si>
  <si>
    <t>St Mary's and St John's CofE School</t>
  </si>
  <si>
    <t>Special Academy</t>
  </si>
  <si>
    <t>BEYA</t>
  </si>
  <si>
    <t>E28a - Bought in Prof Services (other)</t>
  </si>
  <si>
    <t>E28b - Bought in Prof Services (PFI)</t>
  </si>
  <si>
    <t>Pupil referral unit</t>
  </si>
  <si>
    <t>Summerside Primary Academy</t>
  </si>
  <si>
    <t>Oak Hill School</t>
  </si>
  <si>
    <t>Menorah High School (Girls)</t>
  </si>
  <si>
    <t>Saracens High School</t>
  </si>
  <si>
    <t>E27 - Bought in Prof Services Curriculum</t>
  </si>
  <si>
    <t xml:space="preserve">I08b - Income from other Facilities &amp; Services </t>
  </si>
  <si>
    <t>I08a - Income from Lettings</t>
  </si>
  <si>
    <t>Dollis Primary School</t>
  </si>
  <si>
    <t>Hasmonean High School for Girls</t>
  </si>
  <si>
    <t>Kisharon School</t>
  </si>
  <si>
    <t>I08a &amp;b  Inc. from Lettings &amp; Other Facilities &amp; Services</t>
  </si>
  <si>
    <t>E03 Education Support Staff</t>
  </si>
  <si>
    <t>E04 Premises Staff</t>
  </si>
  <si>
    <t>E05 Admin &amp; Clerical Staff</t>
  </si>
  <si>
    <t>E12 Building Maintenance &amp; Improvement</t>
  </si>
  <si>
    <t>E15 Water</t>
  </si>
  <si>
    <t>E16 Energy</t>
  </si>
  <si>
    <t>E18 Other Occupation Costs</t>
  </si>
  <si>
    <t>E19 Learning Resources</t>
  </si>
  <si>
    <t>E22 Administrative Supplies</t>
  </si>
  <si>
    <t>E27 Brought in Prof Services- Curriculum</t>
  </si>
  <si>
    <t>E25 Catering Supplies</t>
  </si>
  <si>
    <t xml:space="preserve">nursery </t>
  </si>
  <si>
    <t>primary</t>
  </si>
  <si>
    <t>secondary</t>
  </si>
  <si>
    <t>special</t>
  </si>
  <si>
    <t>pru</t>
  </si>
  <si>
    <t>St. Joseph's RC Primary School</t>
  </si>
  <si>
    <t>St. Mary's &amp; St. John's All-through</t>
  </si>
  <si>
    <t>Childs Hill Primary School</t>
  </si>
  <si>
    <t>Hasmonean High School for Boys</t>
  </si>
  <si>
    <t>Ark Pioneer Academy</t>
  </si>
  <si>
    <t>Shalom Noam Primary School</t>
  </si>
  <si>
    <t>I18c</t>
  </si>
  <si>
    <t>I18d</t>
  </si>
  <si>
    <t xml:space="preserve">I08a &amp; I08b - Income from Facilities &amp; Services </t>
  </si>
  <si>
    <t>As % of Total Rev. Income</t>
  </si>
  <si>
    <t>LEA Number</t>
  </si>
  <si>
    <t>Estab Number</t>
  </si>
  <si>
    <t>Federated Submission</t>
  </si>
  <si>
    <t>Federated Schools</t>
  </si>
  <si>
    <t>Status</t>
  </si>
  <si>
    <t>Errors</t>
  </si>
  <si>
    <t>OK Errors</t>
  </si>
  <si>
    <t>Financial Year</t>
  </si>
  <si>
    <t>Input System</t>
  </si>
  <si>
    <t>Data Prep</t>
  </si>
  <si>
    <t>Data Version</t>
  </si>
  <si>
    <t>Full Year</t>
  </si>
  <si>
    <t>Cash Or Accrual</t>
  </si>
  <si>
    <t>Rates Exempt</t>
  </si>
  <si>
    <t>Insurance</t>
  </si>
  <si>
    <t>I08a</t>
  </si>
  <si>
    <t>I08b</t>
  </si>
  <si>
    <t>E28a</t>
  </si>
  <si>
    <t>E28b</t>
  </si>
  <si>
    <t xml:space="preserve"> CI04</t>
  </si>
  <si>
    <t>DeMinimis</t>
  </si>
  <si>
    <t>B01</t>
  </si>
  <si>
    <t>B02</t>
  </si>
  <si>
    <t>B03</t>
  </si>
  <si>
    <t>B05</t>
  </si>
  <si>
    <t>B06</t>
  </si>
  <si>
    <t>B07</t>
  </si>
  <si>
    <t>Yes</t>
  </si>
  <si>
    <t xml:space="preserve">3021001, 3021003  </t>
  </si>
  <si>
    <t>Authorised</t>
  </si>
  <si>
    <t>Y</t>
  </si>
  <si>
    <t>Final</t>
  </si>
  <si>
    <t>Accruals</t>
  </si>
  <si>
    <t>No</t>
  </si>
  <si>
    <t xml:space="preserve">3022071  , </t>
  </si>
  <si>
    <t>St Agnes' Catholic Primary School</t>
  </si>
  <si>
    <t>St John's CofE Primary and Nursery School</t>
  </si>
  <si>
    <t>Queenswell Federation</t>
  </si>
  <si>
    <t>Parliamentary Constituency</t>
  </si>
  <si>
    <t>Number of Primary pupils eligible for the Deprivation Pupil Premium</t>
  </si>
  <si>
    <t>Number of Secondary pupils eligible for the Deprivation Pupil Premium</t>
  </si>
  <si>
    <t>Total number of pupils eligible for the Deprivation Pupil Premium</t>
  </si>
  <si>
    <t>Mainstream</t>
  </si>
  <si>
    <t>Hendon</t>
  </si>
  <si>
    <t>Finchley and Golders Green</t>
  </si>
  <si>
    <t>Chipping Barnet</t>
  </si>
  <si>
    <t>E14 Contract Cleaning</t>
  </si>
  <si>
    <t>E14 - Contract Cleaning</t>
  </si>
  <si>
    <t>E25 - Catering Supplies</t>
  </si>
  <si>
    <t>Unique Reference Number (URN)</t>
  </si>
  <si>
    <t>Local Authority Establishment Number (LAEstab)</t>
  </si>
  <si>
    <t>Local Authority Code</t>
  </si>
  <si>
    <t>Local Authority Name</t>
  </si>
  <si>
    <t>Establishment Number</t>
  </si>
  <si>
    <t>Number of pupils on roll</t>
  </si>
  <si>
    <t>Number of Primary pupils on roll</t>
  </si>
  <si>
    <t>Percentage of Primary pupils eligible for the Deprivation Pupil Premium (%)</t>
  </si>
  <si>
    <t>Deprivation Pupil Premium Allocation (£)</t>
  </si>
  <si>
    <t>Number of Secondary pupils on roll</t>
  </si>
  <si>
    <t>Percentage of Secondary pupils eligible for the Deprivation Pupil Premium (%)</t>
  </si>
  <si>
    <t>Total allocation for the Deprivation Pupil Premium (£)</t>
  </si>
  <si>
    <t>St John's CofE Junior Mixed and Infant School N11</t>
  </si>
  <si>
    <t>St John's CofE Primary and Nursery School N20</t>
  </si>
  <si>
    <t>St Mary's CofE Primary School N3</t>
  </si>
  <si>
    <t>Menorah Primary School for Girls</t>
  </si>
  <si>
    <t xml:space="preserve">3022061  , </t>
  </si>
  <si>
    <t>The Windmill School</t>
  </si>
  <si>
    <t>Wren Academy Finchley</t>
  </si>
  <si>
    <t>Benchmark Data Status Report</t>
  </si>
  <si>
    <t>E20A</t>
  </si>
  <si>
    <t>E20B</t>
  </si>
  <si>
    <t>E20C</t>
  </si>
  <si>
    <t>E20D</t>
  </si>
  <si>
    <t>E20E</t>
  </si>
  <si>
    <t>E20F</t>
  </si>
  <si>
    <t>E20G</t>
  </si>
  <si>
    <t>CE04A</t>
  </si>
  <si>
    <t>CE04B</t>
  </si>
  <si>
    <t>CE04C</t>
  </si>
  <si>
    <t>CE04D</t>
  </si>
  <si>
    <t>CE04E</t>
  </si>
  <si>
    <t>20242025</t>
  </si>
  <si>
    <t>XG25</t>
  </si>
  <si>
    <t>St Mary's CofE Primary School, East Barnet EN4</t>
  </si>
  <si>
    <t>Trent  CofE Primary School</t>
  </si>
  <si>
    <t>All Saints' CofE Nursery and Primary School N20</t>
  </si>
  <si>
    <t>St Catherine's R C School</t>
  </si>
  <si>
    <t>St Mary's &amp; St John's CofE School</t>
  </si>
  <si>
    <t>Hornsey and Friern Barnet</t>
  </si>
  <si>
    <t>Saracens Bell Lane</t>
  </si>
  <si>
    <t>Brent East</t>
  </si>
  <si>
    <t>XG26</t>
  </si>
  <si>
    <t>20252026</t>
  </si>
  <si>
    <t>Nancy Reuben Primary School</t>
  </si>
  <si>
    <t>E20a - Connectivity</t>
  </si>
  <si>
    <t>E20b - Onsite Servers</t>
  </si>
  <si>
    <t>E20c - IT Learning Resources</t>
  </si>
  <si>
    <t>E20d - Admin, Software &amp; Systems</t>
  </si>
  <si>
    <t>E20e - Laptops, Desktops &amp; Tablets</t>
  </si>
  <si>
    <t>E20f - Other Hardware</t>
  </si>
  <si>
    <t>E20g - IT Support</t>
  </si>
  <si>
    <t>2025-26 CFR Data Return to DfE</t>
  </si>
  <si>
    <t>Local Benchmarking Data for Barnet Schools - As per Income and Expenditure in 2025-26</t>
  </si>
  <si>
    <t>Rev Balance b/fwd from 2024-25</t>
  </si>
  <si>
    <t>Rev Balance C/fwd to 2026-27</t>
  </si>
  <si>
    <t>Pupil Nos 2025-26</t>
  </si>
  <si>
    <t>Menorah Primary School for Boys</t>
  </si>
  <si>
    <t>Final Budget Share 2025-26</t>
  </si>
  <si>
    <t>Provider</t>
  </si>
  <si>
    <t>1st Estimates Hours</t>
  </si>
  <si>
    <t>80% Advanced</t>
  </si>
  <si>
    <r>
      <t xml:space="preserve">Child Adjustment or </t>
    </r>
    <r>
      <rPr>
        <b/>
        <sz val="11"/>
        <color rgb="FFFF0000"/>
        <rFont val="Calibri"/>
        <family val="2"/>
        <scheme val="minor"/>
      </rPr>
      <t>B/F</t>
    </r>
  </si>
  <si>
    <t>JANUARY Split Payment 1</t>
  </si>
  <si>
    <t>JANUARY     Total Payment 1</t>
  </si>
  <si>
    <t>2nd Estimates</t>
  </si>
  <si>
    <t>FEBRUARY        Split Payment 2</t>
  </si>
  <si>
    <t>Total</t>
  </si>
  <si>
    <t>No. Of Children</t>
  </si>
  <si>
    <t>Term Length (weeks)</t>
  </si>
  <si>
    <t>Expanded Funded Hours</t>
  </si>
  <si>
    <t>Expanded Funding Amount @ Provider Rate</t>
  </si>
  <si>
    <t>Expanded Funding From Child Weightings</t>
  </si>
  <si>
    <t>Expanded Funding Amount</t>
  </si>
  <si>
    <t>Total Funded Hours</t>
  </si>
  <si>
    <t>Total  Funding  Amount</t>
  </si>
  <si>
    <t>Interim Paid Amount  To Date</t>
  </si>
  <si>
    <t>Adjustments</t>
  </si>
  <si>
    <t>March          Balance payment</t>
  </si>
  <si>
    <t>Beis Soroh Schneirer - 1832 - Independent School</t>
  </si>
  <si>
    <t>Broadfields Primary School - 5286 - Maintained Nursery Class</t>
  </si>
  <si>
    <t>Brookhill Nursery School - 5352 - Nursery School</t>
  </si>
  <si>
    <t>Fairway Primary School - 5297 - Maintained Nursery Class</t>
  </si>
  <si>
    <t>Finchley Yochien - 82 - Nursery School</t>
  </si>
  <si>
    <t>Frith Manor - 5298 - Maintained Nursery Class</t>
  </si>
  <si>
    <t>Livingstone Primary and Nursery  School - 1676 - Primary School</t>
  </si>
  <si>
    <t>St Anthony's School For Girls - 8056 - Independent School</t>
  </si>
  <si>
    <t>St Catherine's Catholic - 5315 - Maintained Nursery Class</t>
  </si>
  <si>
    <t>Funded Hours</t>
  </si>
  <si>
    <t xml:space="preserve"> Funding Amount @ Provider Rate</t>
  </si>
  <si>
    <t xml:space="preserve">Funding From Child Weightings </t>
  </si>
  <si>
    <t>Funding Amount</t>
  </si>
  <si>
    <t>Total Funding Amount</t>
  </si>
  <si>
    <t>Adjustments Amount</t>
  </si>
  <si>
    <t>March        Balance payment</t>
  </si>
  <si>
    <t>Bell Lane Children's Centre - 4176 - Children's Centre - Main Centre Site</t>
  </si>
  <si>
    <t>Colindale Primary School - 5292 - Maintained Nursery Class</t>
  </si>
  <si>
    <t>Coppetts Wood - 5293 - Maintained Nursery Class</t>
  </si>
  <si>
    <t>Dollis Infant - 1669 - Primary School</t>
  </si>
  <si>
    <t>Hampden Way Nursery - 6163 - Nursery School</t>
  </si>
  <si>
    <t>Hasmonean Primary School - 5330 - Maintained Nursery Class</t>
  </si>
  <si>
    <t>Hollickwood Primary School - 5300 - Maintained Nursery Class</t>
  </si>
  <si>
    <t>Holy Trinity Ce - 5302 - Maintained Nursery Class</t>
  </si>
  <si>
    <t>Manorside Primary School - 5305 - Maintained Nursery Class</t>
  </si>
  <si>
    <t>Moss Hall Nursery School - 1764 - Nursery School</t>
  </si>
  <si>
    <t>Nancy Reuben Primary School - 369 - Maintained Nursery Class</t>
  </si>
  <si>
    <t>Newstead Children's Centre - 1343 - Day Nursery</t>
  </si>
  <si>
    <t>Northside Primary School - 5310 - Maintained Nursery Class</t>
  </si>
  <si>
    <t>Parkfield Primary Academy - 5311 - Academy</t>
  </si>
  <si>
    <t>Peninim - 5813 - Independant School - Nursery Unit</t>
  </si>
  <si>
    <t>Queenswell Infant &amp; Nursery School - 1689 - Maintained Nursery Class</t>
  </si>
  <si>
    <t>St Johns Ce - 5316 - Maintained Nursery Class</t>
  </si>
  <si>
    <t>St Margaret's Nursery School - 1776 - Nursery School</t>
  </si>
  <si>
    <t>St Martin's School - 543 - Independant School - Nursery Unit</t>
  </si>
  <si>
    <t>St Theresa's Rc School Nursery - 8327 - Maintained Nursery Class</t>
  </si>
  <si>
    <t>St Vincents Catholic Primary School - 8293 - Maintained Nursery Class</t>
  </si>
  <si>
    <t>The Hyde - 5323 - Maintained Nursery Class</t>
  </si>
  <si>
    <t>The Orion - 5324 - Maintained Nursery Class</t>
  </si>
  <si>
    <t>Underhill School &amp; Children''s Centre - 7956 - Maintained Nursery Class</t>
  </si>
  <si>
    <t>Wessex Gardens - 5326 - Maintained Nursery Class</t>
  </si>
  <si>
    <t>Woodcroft - 1766 - Maintained Nursery Class</t>
  </si>
  <si>
    <t>1st Estimates</t>
  </si>
  <si>
    <t>JANUARY        Total Payment 1</t>
  </si>
  <si>
    <t>FEBRUARY                  Split Payment 2</t>
  </si>
  <si>
    <t>Total Estimate payments</t>
  </si>
  <si>
    <t>Funding Amount @ Provider Rate</t>
  </si>
  <si>
    <t>Funding From Child Weightings</t>
  </si>
  <si>
    <t>Extended Funded Hours</t>
  </si>
  <si>
    <t>Extended Funding Amount @ Provider Rate</t>
  </si>
  <si>
    <t>Extended Funding From Child Weightings</t>
  </si>
  <si>
    <t>Extended Funding Amount</t>
  </si>
  <si>
    <t>March         Balance Payment</t>
  </si>
  <si>
    <t>All Saints C Of E Primary School - 5282 - Maintained Nursery Class</t>
  </si>
  <si>
    <t>Annuciation Catholic Infant School - 5331 - Maintained Nursery Class</t>
  </si>
  <si>
    <t>Barnfield Primary School - 5281 - Maintained Nursery Class</t>
  </si>
  <si>
    <t>Beis Yaakov Primary School - 5238 - Maintained Nursery Class</t>
  </si>
  <si>
    <t>Beit Shvidler Primary School - 5459 - Maintained Nursery Class</t>
  </si>
  <si>
    <t>Blessed Dominic Rc School - 5285 - Maintained Nursery Class</t>
  </si>
  <si>
    <t>Brookland Infants &amp; Primary School - 5287 - Maintained Nursery Class</t>
  </si>
  <si>
    <t>Brunswick Park - 5288 - Maintained Nursery Class</t>
  </si>
  <si>
    <t>Childs Hill School - 5289 - Maintained Nursery Class</t>
  </si>
  <si>
    <t>Christ Church Primary School - 5290 - Maintained Nursery Class</t>
  </si>
  <si>
    <t>Claremont Primary School - 5291 - Maintained Nursery Class</t>
  </si>
  <si>
    <t>Deansbrook Infant School - 5294 - Maintained Nursery Class</t>
  </si>
  <si>
    <t>Edgware Jewish Girls - Beis Chinuch - 6671 - Independant School - Nursery Unit</t>
  </si>
  <si>
    <t>Edgware Primary School - 5296 - Maintained Nursery Class</t>
  </si>
  <si>
    <t>Goldbeaters - 5299 - Maintained Nursery Class</t>
  </si>
  <si>
    <t>Hendon Preparatory And Pre-School - 111 - Independant School - Nursery Unit</t>
  </si>
  <si>
    <t>Holly Park - 5301 - Maintained Nursery Class</t>
  </si>
  <si>
    <t>Independent Jewish Day - 5303 - Maintained Nursery Class</t>
  </si>
  <si>
    <t>Lyonsdown School - 419 - Independant School - Nursery Unit</t>
  </si>
  <si>
    <t>Martin Primary School - 5306 - Maintained Nursery Class</t>
  </si>
  <si>
    <t>Mathilda Marks Kennedy - 5307 - Maintained Nursery Class</t>
  </si>
  <si>
    <t>Menorah Foundation - 5308 - Maintained Nursery Class</t>
  </si>
  <si>
    <t>Menorah Primary School - 5309 - Maintained Nursery Class</t>
  </si>
  <si>
    <t>Millbrook Park Church Of England Primary School - 7026 - Independent School</t>
  </si>
  <si>
    <t>Noam Primary School - 7761 - Nursery School</t>
  </si>
  <si>
    <t>Our Lady Of Lourdes Catholic Primary School - 5461 - Maintained Nursery Class</t>
  </si>
  <si>
    <t>Rosh Pinah Primary School - 5313 - Maintained Nursery Class</t>
  </si>
  <si>
    <t>St Agnes Catholic School - 5314 - Maintained Nursery Class</t>
  </si>
  <si>
    <t>St Johns Ce N20 - 5317 - Primary School</t>
  </si>
  <si>
    <t>St Joseph's Catholic School - 5329 - Maintained Nursery Class</t>
  </si>
  <si>
    <t>St Mary's &amp; John's Cofe Primary School - 5319 - Maintained Nursery Class</t>
  </si>
  <si>
    <t>St Mary's Ce N3 - 5318 - Maintained Nursery Class</t>
  </si>
  <si>
    <t>St Paul's Ce N11 - 5320 - Maintained Nursery Class</t>
  </si>
  <si>
    <t>Summerside Academy - 5321 - Maintained Nursery Class</t>
  </si>
  <si>
    <t>Sunnyfields - 5322 - Maintained Nursery Class</t>
  </si>
  <si>
    <t>Whitings Hill - 5327 - Maintained Nursery Class</t>
  </si>
  <si>
    <t>Pupil Premium Free School Meals Data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</si>
</sst>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8" formatCode="&quot;£&quot;#,##0.00;[Red]\-&quot;£&quot;#,##0.00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  <numFmt numFmtId="165" formatCode="_-* #,##0_-;\-* #,##0_-;_-* &quot;-&quot;??_-;_-@_-"/>
    <numFmt numFmtId="166" formatCode="&quot;£&quot;#,##0"/>
    <numFmt numFmtId="167" formatCode="0.0%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#,##0.00_ ;[Red]\-#,##0.00\ "/>
    <numFmt numFmtId="171" formatCode="#,##0.0_);\(#,##0.0\)"/>
    <numFmt numFmtId="172" formatCode="_(* #,##0.0000_);_(* \(#,##0.0000\);_(* &quot;-&quot;??_);_(@_)"/>
    <numFmt numFmtId="173" formatCode="#."/>
    <numFmt numFmtId="174" formatCode="0.0%;\(0.0%\)"/>
    <numFmt numFmtId="175" formatCode="_-* #,##0\ _F_-;\-* #,##0\ _F_-;_-* &quot;-&quot;\ _F_-;_-@_-"/>
    <numFmt numFmtId="176" formatCode="_-* #,##0.00\ _F_-;\-* #,##0.00\ _F_-;_-* &quot;-&quot;??\ _F_-;_-@_-"/>
    <numFmt numFmtId="177" formatCode="_-* #,##0\ &quot;F&quot;_-;\-* #,##0\ &quot;F&quot;_-;_-* &quot;-&quot;\ &quot;F&quot;_-;_-@_-"/>
    <numFmt numFmtId="178" formatCode="_-* #,##0.00\ &quot;F&quot;_-;\-* #,##0.00\ &quot;F&quot;_-;_-* &quot;-&quot;??\ &quot;F&quot;_-;_-@_-"/>
    <numFmt numFmtId="179" formatCode="0.00_)"/>
    <numFmt numFmtId="180" formatCode="_ * #,##0.00_ ;_ * \-#,##0.00_ ;_ * &quot;-&quot;??_ ;_ @_ "/>
    <numFmt numFmtId="181" formatCode="_ * #,##0_ ;_ * \-#,##0_ ;_ * &quot;-&quot;_ ;_ @_ "/>
    <numFmt numFmtId="182" formatCode="_(&quot;Rp&quot;* #,##0.00_);_(&quot;Rp&quot;* \(#,##0.00\);_(&quot;Rp&quot;* &quot;-&quot;??_);_(@_)"/>
    <numFmt numFmtId="183" formatCode="dd\-mmm\-yyyy"/>
    <numFmt numFmtId="184" formatCode="0.000000000"/>
    <numFmt numFmtId="185" formatCode="_(* #,##0.00000_);_(* \(#,##0.00000\);_(* &quot;-&quot;??_);_(@_)"/>
    <numFmt numFmtId="186" formatCode="_-[$€-2]* #,##0.00_-;\-[$€-2]* #,##0.00_-;_-[$€-2]* &quot;-&quot;??_-"/>
    <numFmt numFmtId="187" formatCode="#,##0;[Red]\(#,##0\)"/>
    <numFmt numFmtId="188" formatCode="#,##0_ ;[Red]\-#,##0\ "/>
    <numFmt numFmtId="189" formatCode="_(&quot;£&quot;* #,##0.00_);_(&quot;£&quot;* \(#,##0.00\);_(&quot;£&quot;* &quot;-&quot;??_);_(@_)"/>
    <numFmt numFmtId="190" formatCode="#,##0.0"/>
    <numFmt numFmtId="191" formatCode="&quot;£&quot;#,##0.0"/>
    <numFmt numFmtId="192" formatCode="[$-10409]&quot;£&quot;#,##0.00"/>
  </numFmts>
  <fonts count="1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.5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indexed="12"/>
      <name val="Arial"/>
      <family val="2"/>
    </font>
    <font>
      <b/>
      <u/>
      <sz val="12"/>
      <name val="Arial"/>
      <family val="2"/>
    </font>
    <font>
      <b/>
      <sz val="12"/>
      <color indexed="54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12"/>
      <name val="Arial"/>
      <family val="2"/>
    </font>
    <font>
      <b/>
      <sz val="12"/>
      <color indexed="5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sz val="12"/>
      <color indexed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1"/>
      <name val="System"/>
      <family val="2"/>
    </font>
    <font>
      <i/>
      <sz val="11"/>
      <color indexed="23"/>
      <name val="Calibri"/>
      <family val="2"/>
    </font>
    <font>
      <sz val="9"/>
      <color indexed="18"/>
      <name val="Arial"/>
      <family val="2"/>
    </font>
    <font>
      <sz val="11"/>
      <color indexed="17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8"/>
      <name val="System"/>
      <family val="2"/>
    </font>
    <font>
      <sz val="9"/>
      <color indexed="12"/>
      <name val="Arial"/>
      <family val="2"/>
    </font>
    <font>
      <sz val="11"/>
      <color indexed="52"/>
      <name val="Calibri"/>
      <family val="2"/>
    </font>
    <font>
      <i/>
      <sz val="10"/>
      <color indexed="17"/>
      <name val="System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14"/>
      <name val="System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name val="Arial"/>
      <family val="2"/>
    </font>
    <font>
      <sz val="10"/>
      <color indexed="17"/>
      <name val="System"/>
      <family val="2"/>
    </font>
    <font>
      <sz val="11"/>
      <color indexed="10"/>
      <name val="Calibri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name val="Times New Roman"/>
      <family val="1"/>
    </font>
    <font>
      <sz val="12"/>
      <color indexed="9"/>
      <name val="Arial"/>
      <family val="2"/>
    </font>
    <font>
      <sz val="12"/>
      <color indexed="20"/>
      <name val="Arial"/>
      <family val="2"/>
    </font>
    <font>
      <b/>
      <sz val="12"/>
      <color indexed="52"/>
      <name val="Arial"/>
      <family val="2"/>
    </font>
    <font>
      <sz val="9"/>
      <name val="Times New Roman"/>
      <family val="1"/>
    </font>
    <font>
      <b/>
      <sz val="12"/>
      <color indexed="8"/>
      <name val="Arial"/>
      <family val="2"/>
    </font>
    <font>
      <i/>
      <sz val="12"/>
      <color indexed="23"/>
      <name val="Arial"/>
      <family val="2"/>
    </font>
    <font>
      <sz val="9"/>
      <color indexed="12"/>
      <name val="Times New Roman"/>
      <family val="1"/>
    </font>
    <font>
      <b/>
      <sz val="14"/>
      <color indexed="10"/>
      <name val="Arial"/>
      <family val="2"/>
    </font>
    <font>
      <sz val="12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2"/>
      <color indexed="62"/>
      <name val="Arial"/>
      <family val="2"/>
    </font>
    <font>
      <sz val="12"/>
      <color indexed="52"/>
      <name val="Arial"/>
      <family val="2"/>
    </font>
    <font>
      <sz val="12"/>
      <color indexed="60"/>
      <name val="Arial"/>
      <family val="2"/>
    </font>
    <font>
      <sz val="10"/>
      <color indexed="8"/>
      <name val="Arial"/>
      <family val="2"/>
    </font>
    <font>
      <b/>
      <sz val="12"/>
      <color indexed="63"/>
      <name val="Arial"/>
      <family val="2"/>
    </font>
    <font>
      <b/>
      <sz val="18"/>
      <color indexed="8"/>
      <name val="Cambria"/>
      <family val="1"/>
    </font>
    <font>
      <b/>
      <sz val="9"/>
      <name val="Times New Roman"/>
      <family val="1"/>
    </font>
    <font>
      <sz val="12"/>
      <color indexed="10"/>
      <name val="Arial"/>
      <family val="2"/>
    </font>
    <font>
      <sz val="10"/>
      <color indexed="8"/>
      <name val="Times New Roman"/>
      <family val="1"/>
    </font>
    <font>
      <b/>
      <sz val="7"/>
      <name val="Geometr706 Md BT"/>
    </font>
    <font>
      <sz val="10"/>
      <name val="Helv"/>
    </font>
    <font>
      <sz val="1"/>
      <color indexed="16"/>
      <name val="Courier"/>
      <family val="3"/>
    </font>
    <font>
      <b/>
      <sz val="12"/>
      <name val="Helv"/>
    </font>
    <font>
      <sz val="11"/>
      <color indexed="62"/>
      <name val="Calibri"/>
      <family val="2"/>
    </font>
    <font>
      <b/>
      <i/>
      <sz val="16"/>
      <name val="Helv"/>
    </font>
    <font>
      <sz val="8"/>
      <color indexed="72"/>
      <name val="MS Sans Serif"/>
      <family val="2"/>
    </font>
    <font>
      <sz val="12"/>
      <color indexed="21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color indexed="8"/>
      <name val="Verdana"/>
      <family val="2"/>
    </font>
    <font>
      <sz val="12"/>
      <name val="Arial"/>
      <family val="2"/>
    </font>
    <font>
      <sz val="10"/>
      <name val="Helv"/>
      <charset val="204"/>
    </font>
    <font>
      <sz val="12"/>
      <name val="Helv"/>
    </font>
    <font>
      <sz val="10"/>
      <color indexed="8"/>
      <name val="Tahoma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Tahoma"/>
      <family val="2"/>
    </font>
    <font>
      <sz val="10"/>
      <color rgb="FF000000"/>
      <name val="Arial"/>
      <family val="2"/>
    </font>
    <font>
      <b/>
      <sz val="12"/>
      <color rgb="FF0000FF"/>
      <name val="Arial"/>
      <family val="2"/>
    </font>
    <font>
      <b/>
      <sz val="10"/>
      <color rgb="FF0000FF"/>
      <name val="Arial"/>
      <family val="2"/>
    </font>
    <font>
      <sz val="12"/>
      <color rgb="FF0000FF"/>
      <name val="Arial"/>
      <family val="2"/>
    </font>
    <font>
      <sz val="10"/>
      <color rgb="FF0000FF"/>
      <name val="Arial"/>
      <family val="2"/>
    </font>
    <font>
      <sz val="10"/>
      <color rgb="FFFF00FF"/>
      <name val="Arial"/>
      <family val="2"/>
    </font>
    <font>
      <b/>
      <sz val="12"/>
      <color rgb="FFFF00FF"/>
      <name val="Arial"/>
      <family val="2"/>
    </font>
    <font>
      <b/>
      <sz val="12"/>
      <color theme="0"/>
      <name val="Arial"/>
      <family val="2"/>
    </font>
    <font>
      <sz val="10"/>
      <color rgb="FF000000"/>
      <name val="Tahoma"/>
      <family val="2"/>
    </font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</font>
    <font>
      <sz val="8"/>
      <color rgb="FF000000"/>
      <name val="MS Sans Serif"/>
    </font>
    <font>
      <b/>
      <sz val="10"/>
      <color rgb="FF000000"/>
      <name val="Arial"/>
      <family val="2"/>
    </font>
    <font>
      <b/>
      <sz val="12"/>
      <color theme="2" tint="-0.749992370372631"/>
      <name val="Arial"/>
      <family val="2"/>
    </font>
    <font>
      <b/>
      <sz val="10"/>
      <color theme="2" tint="-0.749992370372631"/>
      <name val="Arial"/>
      <family val="2"/>
    </font>
    <font>
      <sz val="12"/>
      <color theme="2" tint="-0.749992370372631"/>
      <name val="Arial"/>
      <family val="2"/>
    </font>
    <font>
      <sz val="10"/>
      <color theme="2" tint="-0.749992370372631"/>
      <name val="Arial"/>
      <family val="2"/>
    </font>
    <font>
      <b/>
      <sz val="10"/>
      <color theme="0"/>
      <name val="Arial"/>
      <family val="2"/>
    </font>
    <font>
      <b/>
      <u/>
      <sz val="14.5"/>
      <color rgb="FF0000FF"/>
      <name val="Arial"/>
      <family val="2"/>
    </font>
    <font>
      <b/>
      <sz val="24"/>
      <color rgb="FF104F75"/>
      <name val="arial"/>
    </font>
    <font>
      <b/>
      <sz val="12"/>
      <color rgb="FF000000"/>
      <name val="Arial"/>
    </font>
    <font>
      <sz val="12"/>
      <color rgb="FF000000"/>
      <name val="Arial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4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  <fill>
      <patternFill patternType="solid">
        <fgColor indexed="3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FDCE3"/>
        <bgColor rgb="FFCFDCE3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7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13"/>
      </top>
      <bottom style="thin">
        <color indexed="1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33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083">
    <xf numFmtId="0" fontId="0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1" fillId="0" borderId="0"/>
    <xf numFmtId="0" fontId="79" fillId="0" borderId="0">
      <alignment horizontal="left" vertical="center"/>
    </xf>
    <xf numFmtId="0" fontId="79" fillId="0" borderId="0">
      <alignment horizontal="left" vertical="center"/>
    </xf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2" borderId="0" applyNumberFormat="0" applyBorder="0" applyAlignment="0" applyProtection="0"/>
    <xf numFmtId="0" fontId="16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16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16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16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16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16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8" borderId="0" applyNumberFormat="0" applyBorder="0" applyAlignment="0" applyProtection="0"/>
    <xf numFmtId="0" fontId="16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16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16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16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16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16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2" borderId="0" applyNumberFormat="0" applyBorder="0" applyAlignment="0" applyProtection="0"/>
    <xf numFmtId="0" fontId="58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58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58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58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58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58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58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58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58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3" borderId="0" applyNumberFormat="0" applyBorder="0" applyAlignment="0" applyProtection="0"/>
    <xf numFmtId="0" fontId="58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58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9" borderId="0" applyNumberFormat="0" applyBorder="0" applyAlignment="0" applyProtection="0"/>
    <xf numFmtId="0" fontId="58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7" fillId="0" borderId="0" applyNumberFormat="0" applyAlignment="0"/>
    <xf numFmtId="0" fontId="53" fillId="0" borderId="0" applyNumberFormat="0" applyFill="0" applyBorder="0" applyAlignment="0" applyProtection="0"/>
    <xf numFmtId="0" fontId="30" fillId="3" borderId="0" applyNumberFormat="0" applyBorder="0" applyAlignment="0" applyProtection="0"/>
    <xf numFmtId="0" fontId="59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73" fillId="0" borderId="0" applyFill="0" applyBorder="0" applyAlignment="0"/>
    <xf numFmtId="171" fontId="80" fillId="0" borderId="0" applyFill="0" applyBorder="0" applyAlignment="0"/>
    <xf numFmtId="172" fontId="80" fillId="0" borderId="0" applyFill="0" applyBorder="0" applyAlignment="0"/>
    <xf numFmtId="173" fontId="6" fillId="0" borderId="0" applyFill="0" applyBorder="0" applyAlignment="0"/>
    <xf numFmtId="172" fontId="6" fillId="0" borderId="0" applyFill="0" applyBorder="0" applyAlignment="0"/>
    <xf numFmtId="168" fontId="80" fillId="0" borderId="0" applyFill="0" applyBorder="0" applyAlignment="0"/>
    <xf numFmtId="174" fontId="80" fillId="0" borderId="0" applyFill="0" applyBorder="0" applyAlignment="0"/>
    <xf numFmtId="171" fontId="80" fillId="0" borderId="0" applyFill="0" applyBorder="0" applyAlignment="0"/>
    <xf numFmtId="0" fontId="31" fillId="20" borderId="1" applyNumberFormat="0" applyAlignment="0" applyProtection="0"/>
    <xf numFmtId="0" fontId="31" fillId="20" borderId="1" applyNumberFormat="0" applyAlignment="0" applyProtection="0"/>
    <xf numFmtId="0" fontId="60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60" fillId="20" borderId="1" applyNumberFormat="0" applyAlignment="0" applyProtection="0"/>
    <xf numFmtId="0" fontId="60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60" fillId="20" borderId="1" applyNumberFormat="0" applyAlignment="0" applyProtection="0"/>
    <xf numFmtId="0" fontId="60" fillId="20" borderId="1" applyNumberFormat="0" applyAlignment="0" applyProtection="0"/>
    <xf numFmtId="0" fontId="31" fillId="20" borderId="1" applyNumberFormat="0" applyAlignment="0" applyProtection="0"/>
    <xf numFmtId="0" fontId="60" fillId="20" borderId="1" applyNumberFormat="0" applyAlignment="0" applyProtection="0"/>
    <xf numFmtId="0" fontId="60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31" fillId="20" borderId="1" applyNumberFormat="0" applyAlignment="0" applyProtection="0"/>
    <xf numFmtId="0" fontId="44" fillId="0" borderId="2" applyNumberFormat="0" applyFill="0" applyAlignment="0" applyProtection="0"/>
    <xf numFmtId="0" fontId="20" fillId="0" borderId="0" applyNumberFormat="0" applyFont="0" applyFill="0" applyBorder="0" applyProtection="0">
      <alignment horizontal="centerContinuous" wrapText="1"/>
    </xf>
    <xf numFmtId="0" fontId="32" fillId="21" borderId="3" applyNumberFormat="0" applyAlignment="0" applyProtection="0"/>
    <xf numFmtId="0" fontId="56" fillId="21" borderId="3" applyNumberFormat="0" applyAlignment="0" applyProtection="0"/>
    <xf numFmtId="0" fontId="32" fillId="21" borderId="3" applyNumberFormat="0" applyAlignment="0" applyProtection="0"/>
    <xf numFmtId="0" fontId="32" fillId="21" borderId="3" applyNumberFormat="0" applyAlignment="0" applyProtection="0"/>
    <xf numFmtId="0" fontId="32" fillId="21" borderId="3" applyNumberFormat="0" applyAlignment="0" applyProtection="0"/>
    <xf numFmtId="0" fontId="32" fillId="21" borderId="3" applyNumberFormat="0" applyAlignment="0" applyProtection="0"/>
    <xf numFmtId="43" fontId="6" fillId="0" borderId="0" applyFont="0" applyFill="0" applyBorder="0" applyAlignment="0" applyProtection="0"/>
    <xf numFmtId="168" fontId="8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7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81" fillId="0" borderId="0">
      <protection locked="0"/>
    </xf>
    <xf numFmtId="0" fontId="6" fillId="22" borderId="4" applyNumberFormat="0" applyFont="0" applyAlignment="0" applyProtection="0"/>
    <xf numFmtId="171" fontId="8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94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3" fontId="81" fillId="0" borderId="0">
      <protection locked="0"/>
    </xf>
    <xf numFmtId="0" fontId="82" fillId="0" borderId="5" applyNumberFormat="0" applyBorder="0">
      <alignment horizontal="centerContinuous"/>
    </xf>
    <xf numFmtId="173" fontId="81" fillId="0" borderId="0">
      <protection locked="0"/>
    </xf>
    <xf numFmtId="14" fontId="73" fillId="0" borderId="0" applyFill="0" applyBorder="0" applyAlignment="0"/>
    <xf numFmtId="0" fontId="61" fillId="0" borderId="0">
      <alignment horizontal="left"/>
    </xf>
    <xf numFmtId="0" fontId="62" fillId="23" borderId="0" applyNumberFormat="0" applyBorder="0" applyAlignment="0" applyProtection="0"/>
    <xf numFmtId="0" fontId="62" fillId="24" borderId="0" applyNumberFormat="0" applyBorder="0" applyAlignment="0" applyProtection="0"/>
    <xf numFmtId="0" fontId="62" fillId="24" borderId="0" applyNumberFormat="0" applyBorder="0" applyAlignment="0" applyProtection="0"/>
    <xf numFmtId="168" fontId="80" fillId="0" borderId="0" applyFill="0" applyBorder="0" applyAlignment="0"/>
    <xf numFmtId="171" fontId="80" fillId="0" borderId="0" applyFill="0" applyBorder="0" applyAlignment="0"/>
    <xf numFmtId="168" fontId="80" fillId="0" borderId="0" applyFill="0" applyBorder="0" applyAlignment="0"/>
    <xf numFmtId="174" fontId="80" fillId="0" borderId="0" applyFill="0" applyBorder="0" applyAlignment="0"/>
    <xf numFmtId="171" fontId="80" fillId="0" borderId="0" applyFill="0" applyBorder="0" applyAlignment="0"/>
    <xf numFmtId="0" fontId="83" fillId="7" borderId="1" applyNumberFormat="0" applyAlignment="0" applyProtection="0"/>
    <xf numFmtId="0" fontId="33" fillId="0" borderId="0" applyNumberFormat="0" applyFill="0" applyBorder="0" applyAlignment="0" applyProtection="0">
      <protection locked="0"/>
    </xf>
    <xf numFmtId="186" fontId="6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" fontId="35" fillId="0" borderId="0" applyNumberFormat="0" applyFill="0" applyBorder="0" applyAlignment="0" applyProtection="0"/>
    <xf numFmtId="0" fontId="64" fillId="0" borderId="0">
      <alignment horizontal="center" vertical="center" wrapText="1"/>
    </xf>
    <xf numFmtId="173" fontId="81" fillId="0" borderId="0">
      <protection locked="0"/>
    </xf>
    <xf numFmtId="0" fontId="65" fillId="0" borderId="6">
      <alignment vertical="center" wrapText="1"/>
    </xf>
    <xf numFmtId="0" fontId="65" fillId="0" borderId="6">
      <alignment vertical="center" wrapText="1"/>
    </xf>
    <xf numFmtId="0" fontId="65" fillId="0" borderId="6">
      <alignment vertical="center" wrapText="1"/>
    </xf>
    <xf numFmtId="0" fontId="65" fillId="0" borderId="6">
      <alignment vertical="center" wrapText="1"/>
    </xf>
    <xf numFmtId="0" fontId="65" fillId="0" borderId="6">
      <alignment vertical="center" wrapText="1"/>
    </xf>
    <xf numFmtId="0" fontId="36" fillId="4" borderId="0" applyNumberFormat="0" applyBorder="0" applyAlignment="0" applyProtection="0"/>
    <xf numFmtId="0" fontId="6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38" fontId="7" fillId="25" borderId="0" applyNumberFormat="0" applyBorder="0" applyAlignment="0" applyProtection="0"/>
    <xf numFmtId="0" fontId="37" fillId="0" borderId="0">
      <alignment horizontal="center" vertical="center" wrapText="1"/>
    </xf>
    <xf numFmtId="0" fontId="10" fillId="0" borderId="7" applyNumberFormat="0" applyAlignment="0" applyProtection="0">
      <alignment horizontal="left" vertical="center"/>
    </xf>
    <xf numFmtId="0" fontId="10" fillId="0" borderId="8">
      <alignment horizontal="left" vertical="center"/>
    </xf>
    <xf numFmtId="0" fontId="38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7" fillId="0" borderId="8">
      <alignment horizontal="center" vertical="center" wrapText="1"/>
    </xf>
    <xf numFmtId="0" fontId="37" fillId="0" borderId="0">
      <alignment horizontal="left" wrapText="1"/>
    </xf>
    <xf numFmtId="0" fontId="39" fillId="0" borderId="9" applyNumberFormat="0" applyFill="0" applyAlignment="0" applyProtection="0"/>
    <xf numFmtId="0" fontId="67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68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0" fillId="0" borderId="10" applyNumberFormat="0" applyFill="0" applyAlignment="0" applyProtection="0"/>
    <xf numFmtId="0" fontId="41" fillId="0" borderId="11" applyNumberFormat="0" applyFill="0" applyAlignment="0" applyProtection="0"/>
    <xf numFmtId="0" fontId="69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11" applyNumberFormat="0" applyFill="0" applyAlignment="0" applyProtection="0"/>
    <xf numFmtId="0" fontId="4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95" fillId="0" borderId="0" applyNumberFormat="0" applyFill="0" applyBorder="0" applyAlignment="0" applyProtection="0"/>
    <xf numFmtId="1" fontId="42" fillId="0" borderId="0" applyNumberFormat="0" applyFill="0" applyBorder="0" applyAlignment="0" applyProtection="0"/>
    <xf numFmtId="1" fontId="43" fillId="26" borderId="0" applyNumberFormat="0" applyFill="0" applyBorder="0" applyAlignment="0" applyProtection="0"/>
    <xf numFmtId="10" fontId="7" fillId="27" borderId="6" applyNumberFormat="0" applyBorder="0" applyAlignment="0" applyProtection="0"/>
    <xf numFmtId="0" fontId="70" fillId="7" borderId="1" applyNumberFormat="0" applyAlignment="0" applyProtection="0"/>
    <xf numFmtId="1" fontId="43" fillId="26" borderId="0" applyNumberFormat="0" applyFill="0" applyBorder="0" applyAlignment="0" applyProtection="0"/>
    <xf numFmtId="0" fontId="70" fillId="7" borderId="1" applyNumberFormat="0" applyAlignment="0" applyProtection="0"/>
    <xf numFmtId="0" fontId="70" fillId="7" borderId="1" applyNumberFormat="0" applyAlignment="0" applyProtection="0"/>
    <xf numFmtId="0" fontId="70" fillId="7" borderId="1" applyNumberFormat="0" applyAlignment="0" applyProtection="0"/>
    <xf numFmtId="0" fontId="70" fillId="7" borderId="1" applyNumberFormat="0" applyAlignment="0" applyProtection="0"/>
    <xf numFmtId="0" fontId="70" fillId="7" borderId="1" applyNumberFormat="0" applyAlignment="0" applyProtection="0"/>
    <xf numFmtId="0" fontId="70" fillId="7" borderId="1" applyNumberFormat="0" applyAlignment="0" applyProtection="0"/>
    <xf numFmtId="0" fontId="70" fillId="7" borderId="1" applyNumberFormat="0" applyAlignment="0" applyProtection="0"/>
    <xf numFmtId="0" fontId="70" fillId="7" borderId="1" applyNumberFormat="0" applyAlignment="0" applyProtection="0"/>
    <xf numFmtId="0" fontId="70" fillId="7" borderId="1" applyNumberFormat="0" applyAlignment="0" applyProtection="0"/>
    <xf numFmtId="0" fontId="70" fillId="7" borderId="1" applyNumberFormat="0" applyAlignment="0" applyProtection="0"/>
    <xf numFmtId="0" fontId="70" fillId="7" borderId="1" applyNumberFormat="0" applyAlignment="0" applyProtection="0"/>
    <xf numFmtId="0" fontId="70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83" fillId="7" borderId="1" applyNumberFormat="0" applyAlignment="0" applyProtection="0"/>
    <xf numFmtId="0" fontId="30" fillId="3" borderId="0" applyNumberFormat="0" applyBorder="0" applyAlignment="0" applyProtection="0"/>
    <xf numFmtId="0" fontId="38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38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168" fontId="80" fillId="0" borderId="0" applyFill="0" applyBorder="0" applyAlignment="0"/>
    <xf numFmtId="171" fontId="80" fillId="0" borderId="0" applyFill="0" applyBorder="0" applyAlignment="0"/>
    <xf numFmtId="168" fontId="80" fillId="0" borderId="0" applyFill="0" applyBorder="0" applyAlignment="0"/>
    <xf numFmtId="174" fontId="80" fillId="0" borderId="0" applyFill="0" applyBorder="0" applyAlignment="0"/>
    <xf numFmtId="171" fontId="80" fillId="0" borderId="0" applyFill="0" applyBorder="0" applyAlignment="0"/>
    <xf numFmtId="0" fontId="44" fillId="0" borderId="2" applyNumberFormat="0" applyFill="0" applyAlignment="0" applyProtection="0"/>
    <xf numFmtId="0" fontId="71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0" fontId="44" fillId="0" borderId="2" applyNumberFormat="0" applyFill="0" applyAlignment="0" applyProtection="0"/>
    <xf numFmtId="10" fontId="45" fillId="0" borderId="12" applyFill="0" applyAlignment="0" applyProtection="0">
      <protection locked="0"/>
    </xf>
    <xf numFmtId="10" fontId="45" fillId="0" borderId="12" applyFill="0" applyAlignment="0" applyProtection="0">
      <protection locked="0"/>
    </xf>
    <xf numFmtId="10" fontId="45" fillId="0" borderId="12" applyFill="0" applyAlignment="0" applyProtection="0">
      <protection locked="0"/>
    </xf>
    <xf numFmtId="10" fontId="45" fillId="0" borderId="12" applyFill="0" applyAlignment="0" applyProtection="0">
      <protection locked="0"/>
    </xf>
    <xf numFmtId="10" fontId="45" fillId="0" borderId="12" applyFill="0" applyAlignment="0" applyProtection="0">
      <protection locked="0"/>
    </xf>
    <xf numFmtId="10" fontId="45" fillId="0" borderId="12" applyFill="0" applyAlignment="0" applyProtection="0">
      <protection locked="0"/>
    </xf>
    <xf numFmtId="10" fontId="45" fillId="0" borderId="12" applyFill="0" applyAlignment="0" applyProtection="0">
      <protection locked="0"/>
    </xf>
    <xf numFmtId="10" fontId="45" fillId="0" borderId="12" applyFill="0" applyAlignment="0" applyProtection="0">
      <protection locked="0"/>
    </xf>
    <xf numFmtId="10" fontId="45" fillId="0" borderId="12" applyFill="0" applyAlignment="0" applyProtection="0">
      <protection locked="0"/>
    </xf>
    <xf numFmtId="10" fontId="45" fillId="0" borderId="12" applyFill="0" applyAlignment="0" applyProtection="0">
      <protection locked="0"/>
    </xf>
    <xf numFmtId="10" fontId="45" fillId="0" borderId="12" applyFill="0" applyAlignment="0" applyProtection="0">
      <protection locked="0"/>
    </xf>
    <xf numFmtId="10" fontId="45" fillId="0" borderId="12" applyFill="0" applyAlignment="0" applyProtection="0">
      <protection locked="0"/>
    </xf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46" fillId="28" borderId="0" applyNumberFormat="0" applyBorder="0" applyAlignment="0" applyProtection="0"/>
    <xf numFmtId="0" fontId="72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2" fontId="61" fillId="29" borderId="0"/>
    <xf numFmtId="179" fontId="84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4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6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6" fillId="0" borderId="0"/>
    <xf numFmtId="0" fontId="14" fillId="0" borderId="0"/>
    <xf numFmtId="0" fontId="16" fillId="0" borderId="0"/>
    <xf numFmtId="0" fontId="6" fillId="0" borderId="0"/>
    <xf numFmtId="0" fontId="6" fillId="0" borderId="0"/>
    <xf numFmtId="0" fontId="14" fillId="0" borderId="0"/>
    <xf numFmtId="0" fontId="16" fillId="0" borderId="0"/>
    <xf numFmtId="0" fontId="97" fillId="0" borderId="0"/>
    <xf numFmtId="0" fontId="6" fillId="0" borderId="0"/>
    <xf numFmtId="0" fontId="6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97" fillId="0" borderId="0"/>
    <xf numFmtId="0" fontId="85" fillId="0" borderId="0" applyAlignment="0">
      <alignment vertical="top" wrapText="1"/>
      <protection locked="0"/>
    </xf>
    <xf numFmtId="0" fontId="2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28" fillId="0" borderId="0"/>
    <xf numFmtId="0" fontId="2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4" fillId="0" borderId="0"/>
    <xf numFmtId="0" fontId="6" fillId="0" borderId="0"/>
    <xf numFmtId="0" fontId="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4" fillId="0" borderId="0"/>
    <xf numFmtId="0" fontId="6" fillId="0" borderId="0"/>
    <xf numFmtId="0" fontId="97" fillId="0" borderId="0"/>
    <xf numFmtId="0" fontId="1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9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4" fillId="0" borderId="0"/>
    <xf numFmtId="0" fontId="14" fillId="0" borderId="0"/>
    <xf numFmtId="0" fontId="97" fillId="0" borderId="0"/>
    <xf numFmtId="0" fontId="28" fillId="0" borderId="0"/>
    <xf numFmtId="0" fontId="9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6" fillId="0" borderId="0"/>
    <xf numFmtId="0" fontId="9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3" fillId="0" borderId="0">
      <alignment vertical="top"/>
    </xf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98" fillId="0" borderId="0"/>
    <xf numFmtId="0" fontId="6" fillId="0" borderId="0"/>
    <xf numFmtId="0" fontId="97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4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" fontId="61" fillId="0" borderId="0">
      <alignment horizontal="right"/>
    </xf>
    <xf numFmtId="0" fontId="61" fillId="0" borderId="0">
      <alignment horizontal="left"/>
    </xf>
    <xf numFmtId="0" fontId="14" fillId="22" borderId="4" applyNumberFormat="0" applyFont="0" applyAlignment="0" applyProtection="0"/>
    <xf numFmtId="0" fontId="14" fillId="22" borderId="4" applyNumberFormat="0" applyFont="0" applyAlignment="0" applyProtection="0"/>
    <xf numFmtId="0" fontId="14" fillId="22" borderId="4" applyNumberFormat="0" applyFont="0" applyAlignment="0" applyProtection="0"/>
    <xf numFmtId="0" fontId="14" fillId="22" borderId="4" applyNumberFormat="0" applyFont="0" applyAlignment="0" applyProtection="0"/>
    <xf numFmtId="0" fontId="14" fillId="22" borderId="4" applyNumberFormat="0" applyFont="0" applyAlignment="0" applyProtection="0"/>
    <xf numFmtId="0" fontId="14" fillId="22" borderId="4" applyNumberFormat="0" applyFont="0" applyAlignment="0" applyProtection="0"/>
    <xf numFmtId="0" fontId="14" fillId="22" borderId="4" applyNumberFormat="0" applyFont="0" applyAlignment="0" applyProtection="0"/>
    <xf numFmtId="0" fontId="14" fillId="22" borderId="4" applyNumberFormat="0" applyFont="0" applyAlignment="0" applyProtection="0"/>
    <xf numFmtId="0" fontId="14" fillId="22" borderId="4" applyNumberFormat="0" applyFont="0" applyAlignment="0" applyProtection="0"/>
    <xf numFmtId="0" fontId="14" fillId="22" borderId="4" applyNumberFormat="0" applyFont="0" applyAlignment="0" applyProtection="0"/>
    <xf numFmtId="0" fontId="14" fillId="22" borderId="4" applyNumberFormat="0" applyFont="0" applyAlignment="0" applyProtection="0"/>
    <xf numFmtId="0" fontId="14" fillId="22" borderId="4" applyNumberFormat="0" applyFont="0" applyAlignment="0" applyProtection="0"/>
    <xf numFmtId="0" fontId="14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0" fontId="6" fillId="22" borderId="4" applyNumberFormat="0" applyFont="0" applyAlignment="0" applyProtection="0"/>
    <xf numFmtId="3" fontId="38" fillId="0" borderId="0">
      <alignment horizontal="right"/>
    </xf>
    <xf numFmtId="3" fontId="7" fillId="0" borderId="0">
      <alignment horizontal="right"/>
    </xf>
    <xf numFmtId="3" fontId="7" fillId="0" borderId="0">
      <alignment horizontal="right"/>
    </xf>
    <xf numFmtId="180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0" fontId="47" fillId="20" borderId="13" applyNumberFormat="0" applyAlignment="0" applyProtection="0"/>
    <xf numFmtId="0" fontId="74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74" fillId="20" borderId="13" applyNumberFormat="0" applyAlignment="0" applyProtection="0"/>
    <xf numFmtId="0" fontId="74" fillId="20" borderId="13" applyNumberFormat="0" applyAlignment="0" applyProtection="0"/>
    <xf numFmtId="0" fontId="47" fillId="20" borderId="13" applyNumberFormat="0" applyAlignment="0" applyProtection="0"/>
    <xf numFmtId="0" fontId="74" fillId="20" borderId="13" applyNumberFormat="0" applyAlignment="0" applyProtection="0"/>
    <xf numFmtId="0" fontId="74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47" fillId="20" borderId="13" applyNumberFormat="0" applyAlignment="0" applyProtection="0"/>
    <xf numFmtId="0" fontId="86" fillId="0" borderId="0" applyFill="0">
      <alignment vertical="center"/>
    </xf>
    <xf numFmtId="9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7" fillId="0" borderId="0" applyFont="0" applyFill="0" applyBorder="0" applyAlignment="0" applyProtection="0"/>
    <xf numFmtId="168" fontId="80" fillId="0" borderId="0" applyFill="0" applyBorder="0" applyAlignment="0"/>
    <xf numFmtId="171" fontId="80" fillId="0" borderId="0" applyFill="0" applyBorder="0" applyAlignment="0"/>
    <xf numFmtId="168" fontId="80" fillId="0" borderId="0" applyFill="0" applyBorder="0" applyAlignment="0"/>
    <xf numFmtId="174" fontId="80" fillId="0" borderId="0" applyFill="0" applyBorder="0" applyAlignment="0"/>
    <xf numFmtId="171" fontId="80" fillId="0" borderId="0" applyFill="0" applyBorder="0" applyAlignment="0"/>
    <xf numFmtId="1" fontId="48" fillId="0" borderId="14" applyNumberFormat="0" applyFill="0" applyBorder="0" applyAlignment="0" applyProtection="0"/>
    <xf numFmtId="0" fontId="87" fillId="0" borderId="0" applyNumberFormat="0" applyFont="0" applyFill="0" applyBorder="0" applyAlignment="0" applyProtection="0">
      <alignment horizontal="left"/>
    </xf>
    <xf numFmtId="15" fontId="87" fillId="0" borderId="0" applyFont="0" applyFill="0" applyBorder="0" applyAlignment="0" applyProtection="0"/>
    <xf numFmtId="4" fontId="87" fillId="0" borderId="0" applyFont="0" applyFill="0" applyBorder="0" applyAlignment="0" applyProtection="0"/>
    <xf numFmtId="0" fontId="88" fillId="0" borderId="15">
      <alignment horizontal="center"/>
    </xf>
    <xf numFmtId="3" fontId="87" fillId="0" borderId="0" applyFont="0" applyFill="0" applyBorder="0" applyAlignment="0" applyProtection="0"/>
    <xf numFmtId="0" fontId="87" fillId="30" borderId="0" applyNumberFormat="0" applyFon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4" fontId="73" fillId="31" borderId="13" applyNumberFormat="0" applyProtection="0">
      <alignment horizontal="right" vertical="center"/>
    </xf>
    <xf numFmtId="4" fontId="73" fillId="31" borderId="13" applyNumberFormat="0" applyProtection="0">
      <alignment horizontal="right" vertical="center"/>
    </xf>
    <xf numFmtId="4" fontId="73" fillId="31" borderId="13" applyNumberFormat="0" applyProtection="0">
      <alignment horizontal="right" vertical="center"/>
    </xf>
    <xf numFmtId="4" fontId="73" fillId="31" borderId="13" applyNumberFormat="0" applyProtection="0">
      <alignment horizontal="right" vertical="center"/>
    </xf>
    <xf numFmtId="4" fontId="73" fillId="31" borderId="13" applyNumberFormat="0" applyProtection="0">
      <alignment horizontal="right" vertical="center"/>
    </xf>
    <xf numFmtId="4" fontId="73" fillId="31" borderId="13" applyNumberFormat="0" applyProtection="0">
      <alignment horizontal="right" vertical="center"/>
    </xf>
    <xf numFmtId="4" fontId="73" fillId="31" borderId="13" applyNumberFormat="0" applyProtection="0">
      <alignment horizontal="right" vertical="center"/>
    </xf>
    <xf numFmtId="4" fontId="73" fillId="31" borderId="13" applyNumberFormat="0" applyProtection="0">
      <alignment horizontal="right" vertical="center"/>
    </xf>
    <xf numFmtId="4" fontId="73" fillId="31" borderId="13" applyNumberFormat="0" applyProtection="0">
      <alignment horizontal="right" vertical="center"/>
    </xf>
    <xf numFmtId="4" fontId="73" fillId="31" borderId="13" applyNumberFormat="0" applyProtection="0">
      <alignment horizontal="right" vertical="center"/>
    </xf>
    <xf numFmtId="4" fontId="73" fillId="31" borderId="13" applyNumberFormat="0" applyProtection="0">
      <alignment horizontal="right" vertical="center"/>
    </xf>
    <xf numFmtId="0" fontId="36" fillId="4" borderId="0" applyNumberFormat="0" applyBorder="0" applyAlignment="0" applyProtection="0"/>
    <xf numFmtId="0" fontId="75" fillId="0" borderId="0" applyNumberFormat="0" applyFill="0" applyBorder="0" applyAlignment="0" applyProtection="0"/>
    <xf numFmtId="0" fontId="47" fillId="20" borderId="13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49" fontId="89" fillId="0" borderId="0" applyFill="0" applyBorder="0" applyProtection="0">
      <alignment horizontal="left"/>
    </xf>
    <xf numFmtId="49" fontId="89" fillId="0" borderId="0" applyFill="0" applyBorder="0" applyProtection="0">
      <alignment horizontal="left" wrapText="1"/>
    </xf>
    <xf numFmtId="2" fontId="89" fillId="29" borderId="0" applyBorder="0" applyProtection="0">
      <alignment horizontal="left"/>
    </xf>
    <xf numFmtId="2" fontId="89" fillId="32" borderId="0" applyBorder="0" applyProtection="0">
      <alignment horizontal="left"/>
    </xf>
    <xf numFmtId="183" fontId="89" fillId="0" borderId="0" applyFill="0" applyBorder="0" applyProtection="0">
      <alignment horizontal="center" wrapText="1"/>
    </xf>
    <xf numFmtId="183" fontId="89" fillId="0" borderId="0" applyFill="0" applyBorder="0" applyProtection="0">
      <alignment horizontal="center"/>
    </xf>
    <xf numFmtId="0" fontId="7" fillId="0" borderId="16" applyBorder="0">
      <alignment horizontal="right"/>
    </xf>
    <xf numFmtId="168" fontId="5" fillId="0" borderId="0"/>
    <xf numFmtId="168" fontId="6" fillId="0" borderId="0"/>
    <xf numFmtId="168" fontId="6" fillId="0" borderId="0"/>
    <xf numFmtId="168" fontId="5" fillId="0" borderId="0"/>
    <xf numFmtId="168" fontId="6" fillId="0" borderId="0"/>
    <xf numFmtId="168" fontId="6" fillId="0" borderId="0"/>
    <xf numFmtId="168" fontId="5" fillId="0" borderId="0"/>
    <xf numFmtId="168" fontId="6" fillId="0" borderId="0"/>
    <xf numFmtId="168" fontId="6" fillId="0" borderId="0"/>
    <xf numFmtId="49" fontId="73" fillId="0" borderId="0" applyFill="0" applyBorder="0" applyAlignment="0"/>
    <xf numFmtId="184" fontId="6" fillId="0" borderId="0" applyFill="0" applyBorder="0" applyAlignment="0"/>
    <xf numFmtId="185" fontId="6" fillId="0" borderId="0" applyFill="0" applyBorder="0" applyAlignment="0"/>
    <xf numFmtId="0" fontId="3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1" fillId="0" borderId="11" applyNumberFormat="0" applyFill="0" applyAlignment="0" applyProtection="0"/>
    <xf numFmtId="0" fontId="41" fillId="0" borderId="0" applyNumberFormat="0" applyFill="0" applyBorder="0" applyAlignment="0" applyProtection="0"/>
    <xf numFmtId="0" fontId="50" fillId="0" borderId="17" applyNumberFormat="0" applyFill="0" applyAlignment="0" applyProtection="0"/>
    <xf numFmtId="0" fontId="62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50" fillId="0" borderId="17" applyNumberFormat="0" applyFill="0" applyAlignment="0" applyProtection="0"/>
    <xf numFmtId="0" fontId="62" fillId="0" borderId="17" applyNumberFormat="0" applyFill="0" applyAlignment="0" applyProtection="0"/>
    <xf numFmtId="0" fontId="62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4" fontId="76" fillId="0" borderId="18">
      <alignment horizontal="right"/>
    </xf>
    <xf numFmtId="0" fontId="76" fillId="0" borderId="18">
      <alignment horizontal="left"/>
    </xf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21" borderId="3" applyNumberFormat="0" applyAlignment="0" applyProtection="0"/>
    <xf numFmtId="0" fontId="53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08" fillId="0" borderId="0"/>
    <xf numFmtId="0" fontId="4" fillId="0" borderId="0"/>
    <xf numFmtId="0" fontId="110" fillId="0" borderId="0"/>
    <xf numFmtId="0" fontId="111" fillId="0" borderId="0" applyNumberFormat="0" applyBorder="0" applyAlignment="0">
      <protection locked="0"/>
    </xf>
    <xf numFmtId="9" fontId="110" fillId="0" borderId="0" applyFont="0" applyFill="0" applyBorder="0" applyAlignment="0" applyProtection="0"/>
    <xf numFmtId="0" fontId="99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0" fontId="99" fillId="0" borderId="0">
      <alignment vertical="center"/>
    </xf>
    <xf numFmtId="0" fontId="3" fillId="0" borderId="0"/>
    <xf numFmtId="44" fontId="3" fillId="0" borderId="0" applyFont="0" applyFill="0" applyBorder="0" applyAlignment="0" applyProtection="0"/>
    <xf numFmtId="0" fontId="99" fillId="0" borderId="0">
      <alignment vertical="center"/>
    </xf>
    <xf numFmtId="0" fontId="2" fillId="0" borderId="0"/>
    <xf numFmtId="44" fontId="2" fillId="0" borderId="0" applyFont="0" applyFill="0" applyBorder="0" applyAlignment="0" applyProtection="0"/>
    <xf numFmtId="0" fontId="99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9">
    <xf numFmtId="0" fontId="0" fillId="0" borderId="0" xfId="0"/>
    <xf numFmtId="0" fontId="9" fillId="0" borderId="19" xfId="0" applyFont="1" applyBorder="1" applyAlignment="1">
      <alignment horizontal="center" vertical="center"/>
    </xf>
    <xf numFmtId="0" fontId="14" fillId="0" borderId="0" xfId="0" applyFont="1" applyAlignment="1">
      <alignment horizontal="right" vertical="center" wrapText="1" shrinkToFit="1"/>
    </xf>
    <xf numFmtId="0" fontId="14" fillId="0" borderId="0" xfId="0" applyFont="1" applyAlignment="1">
      <alignment horizontal="left" vertical="center" wrapText="1" shrinkToFit="1"/>
    </xf>
    <xf numFmtId="0" fontId="14" fillId="0" borderId="0" xfId="0" applyFont="1" applyAlignment="1">
      <alignment vertical="center" wrapText="1" shrinkToFit="1"/>
    </xf>
    <xf numFmtId="0" fontId="14" fillId="0" borderId="0" xfId="0" applyFont="1"/>
    <xf numFmtId="0" fontId="0" fillId="0" borderId="0" xfId="0" applyAlignment="1">
      <alignment horizontal="center"/>
    </xf>
    <xf numFmtId="167" fontId="0" fillId="0" borderId="0" xfId="0" applyNumberFormat="1"/>
    <xf numFmtId="0" fontId="14" fillId="0" borderId="0" xfId="0" applyFont="1" applyAlignment="1">
      <alignment horizontal="left"/>
    </xf>
    <xf numFmtId="0" fontId="14" fillId="0" borderId="0" xfId="312" applyNumberFormat="1" applyFont="1" applyBorder="1" applyAlignment="1">
      <alignment horizontal="left" wrapText="1"/>
    </xf>
    <xf numFmtId="0" fontId="54" fillId="0" borderId="0" xfId="0" applyFont="1"/>
    <xf numFmtId="0" fontId="6" fillId="0" borderId="0" xfId="0" applyFont="1"/>
    <xf numFmtId="0" fontId="0" fillId="0" borderId="36" xfId="0" applyBorder="1"/>
    <xf numFmtId="187" fontId="0" fillId="0" borderId="0" xfId="0" applyNumberFormat="1"/>
    <xf numFmtId="0" fontId="20" fillId="0" borderId="0" xfId="0" applyFont="1"/>
    <xf numFmtId="170" fontId="0" fillId="0" borderId="36" xfId="0" applyNumberFormat="1" applyBorder="1"/>
    <xf numFmtId="170" fontId="0" fillId="0" borderId="0" xfId="0" applyNumberFormat="1"/>
    <xf numFmtId="0" fontId="103" fillId="0" borderId="0" xfId="0" applyFont="1"/>
    <xf numFmtId="166" fontId="103" fillId="0" borderId="0" xfId="0" applyNumberFormat="1" applyFont="1"/>
    <xf numFmtId="0" fontId="104" fillId="0" borderId="0" xfId="0" applyFont="1"/>
    <xf numFmtId="166" fontId="104" fillId="0" borderId="0" xfId="0" applyNumberFormat="1" applyFont="1"/>
    <xf numFmtId="166" fontId="14" fillId="0" borderId="0" xfId="0" applyNumberFormat="1" applyFont="1" applyAlignment="1">
      <alignment horizontal="center"/>
    </xf>
    <xf numFmtId="167" fontId="104" fillId="0" borderId="0" xfId="0" applyNumberFormat="1" applyFont="1"/>
    <xf numFmtId="167" fontId="103" fillId="0" borderId="0" xfId="0" applyNumberFormat="1" applyFont="1"/>
    <xf numFmtId="0" fontId="101" fillId="34" borderId="36" xfId="0" applyFont="1" applyFill="1" applyBorder="1"/>
    <xf numFmtId="0" fontId="109" fillId="0" borderId="0" xfId="1066" applyFont="1"/>
    <xf numFmtId="0" fontId="27" fillId="0" borderId="0" xfId="0" applyFont="1"/>
    <xf numFmtId="0" fontId="116" fillId="0" borderId="0" xfId="0" applyFont="1"/>
    <xf numFmtId="166" fontId="116" fillId="0" borderId="0" xfId="0" applyNumberFormat="1" applyFont="1"/>
    <xf numFmtId="0" fontId="5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0" fillId="0" borderId="20" xfId="0" applyBorder="1"/>
    <xf numFmtId="0" fontId="0" fillId="0" borderId="28" xfId="0" applyBorder="1"/>
    <xf numFmtId="0" fontId="0" fillId="0" borderId="37" xfId="0" applyBorder="1"/>
    <xf numFmtId="0" fontId="12" fillId="0" borderId="21" xfId="0" applyFont="1" applyBorder="1"/>
    <xf numFmtId="0" fontId="0" fillId="0" borderId="29" xfId="0" applyBorder="1"/>
    <xf numFmtId="0" fontId="13" fillId="0" borderId="33" xfId="0" applyFont="1" applyBorder="1"/>
    <xf numFmtId="0" fontId="15" fillId="0" borderId="21" xfId="0" applyFont="1" applyBorder="1"/>
    <xf numFmtId="0" fontId="14" fillId="0" borderId="29" xfId="0" applyFont="1" applyBorder="1" applyAlignment="1">
      <alignment horizontal="left" wrapText="1"/>
    </xf>
    <xf numFmtId="10" fontId="17" fillId="0" borderId="33" xfId="929" applyNumberFormat="1" applyFont="1" applyBorder="1" applyProtection="1"/>
    <xf numFmtId="10" fontId="14" fillId="0" borderId="31" xfId="929" applyNumberFormat="1" applyFont="1" applyBorder="1" applyProtection="1"/>
    <xf numFmtId="0" fontId="14" fillId="0" borderId="29" xfId="0" applyFont="1" applyBorder="1" applyAlignment="1">
      <alignment horizontal="left" vertical="top" wrapText="1"/>
    </xf>
    <xf numFmtId="164" fontId="17" fillId="0" borderId="33" xfId="929" applyNumberFormat="1" applyFont="1" applyBorder="1" applyProtection="1"/>
    <xf numFmtId="164" fontId="15" fillId="0" borderId="31" xfId="929" applyNumberFormat="1" applyFont="1" applyBorder="1" applyProtection="1"/>
    <xf numFmtId="0" fontId="0" fillId="0" borderId="31" xfId="0" applyBorder="1"/>
    <xf numFmtId="0" fontId="0" fillId="0" borderId="6" xfId="0" applyBorder="1"/>
    <xf numFmtId="0" fontId="0" fillId="0" borderId="22" xfId="0" applyBorder="1"/>
    <xf numFmtId="10" fontId="15" fillId="0" borderId="22" xfId="929" applyNumberFormat="1" applyFont="1" applyFill="1" applyBorder="1" applyProtection="1"/>
    <xf numFmtId="164" fontId="15" fillId="0" borderId="22" xfId="929" applyNumberFormat="1" applyFont="1" applyFill="1" applyBorder="1" applyProtection="1"/>
    <xf numFmtId="0" fontId="0" fillId="0" borderId="33" xfId="0" applyBorder="1"/>
    <xf numFmtId="0" fontId="14" fillId="0" borderId="21" xfId="0" applyFont="1" applyBorder="1" applyAlignment="1">
      <alignment wrapText="1"/>
    </xf>
    <xf numFmtId="0" fontId="14" fillId="0" borderId="29" xfId="0" applyFont="1" applyBorder="1"/>
    <xf numFmtId="0" fontId="14" fillId="0" borderId="21" xfId="0" applyFont="1" applyBorder="1"/>
    <xf numFmtId="0" fontId="18" fillId="0" borderId="33" xfId="0" applyFont="1" applyBorder="1"/>
    <xf numFmtId="0" fontId="10" fillId="0" borderId="21" xfId="0" applyFont="1" applyBorder="1"/>
    <xf numFmtId="10" fontId="17" fillId="0" borderId="33" xfId="929" applyNumberFormat="1" applyFont="1" applyFill="1" applyBorder="1" applyProtection="1"/>
    <xf numFmtId="164" fontId="17" fillId="0" borderId="33" xfId="929" applyNumberFormat="1" applyFont="1" applyFill="1" applyBorder="1" applyProtection="1"/>
    <xf numFmtId="0" fontId="19" fillId="0" borderId="33" xfId="0" applyFont="1" applyBorder="1"/>
    <xf numFmtId="164" fontId="100" fillId="0" borderId="33" xfId="929" applyNumberFormat="1" applyFont="1" applyBorder="1" applyProtection="1"/>
    <xf numFmtId="0" fontId="14" fillId="0" borderId="23" xfId="0" applyFont="1" applyBorder="1"/>
    <xf numFmtId="0" fontId="14" fillId="0" borderId="30" xfId="0" applyFont="1" applyBorder="1"/>
    <xf numFmtId="0" fontId="14" fillId="0" borderId="34" xfId="0" applyFont="1" applyBorder="1"/>
    <xf numFmtId="0" fontId="14" fillId="0" borderId="32" xfId="0" applyFont="1" applyBorder="1"/>
    <xf numFmtId="0" fontId="14" fillId="0" borderId="24" xfId="0" applyFont="1" applyBorder="1"/>
    <xf numFmtId="0" fontId="14" fillId="0" borderId="25" xfId="0" applyFont="1" applyBorder="1"/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167" fontId="22" fillId="0" borderId="26" xfId="0" applyNumberFormat="1" applyFont="1" applyBorder="1" applyAlignment="1">
      <alignment horizontal="left" vertical="top" wrapText="1"/>
    </xf>
    <xf numFmtId="166" fontId="22" fillId="0" borderId="27" xfId="0" applyNumberFormat="1" applyFont="1" applyBorder="1" applyAlignment="1">
      <alignment horizontal="left" vertical="top" wrapText="1"/>
    </xf>
    <xf numFmtId="167" fontId="114" fillId="0" borderId="26" xfId="0" applyNumberFormat="1" applyFont="1" applyBorder="1" applyAlignment="1">
      <alignment horizontal="left" vertical="top" wrapText="1"/>
    </xf>
    <xf numFmtId="166" fontId="114" fillId="0" borderId="27" xfId="0" applyNumberFormat="1" applyFont="1" applyBorder="1" applyAlignment="1">
      <alignment horizontal="left" vertical="top" wrapText="1"/>
    </xf>
    <xf numFmtId="166" fontId="114" fillId="0" borderId="49" xfId="0" applyNumberFormat="1" applyFont="1" applyBorder="1" applyAlignment="1">
      <alignment horizontal="left" vertical="top" wrapText="1"/>
    </xf>
    <xf numFmtId="167" fontId="101" fillId="0" borderId="26" xfId="0" applyNumberFormat="1" applyFont="1" applyBorder="1" applyAlignment="1">
      <alignment horizontal="left" vertical="top" wrapText="1"/>
    </xf>
    <xf numFmtId="166" fontId="101" fillId="0" borderId="27" xfId="0" applyNumberFormat="1" applyFont="1" applyBorder="1" applyAlignment="1">
      <alignment horizontal="left" vertical="top" wrapText="1"/>
    </xf>
    <xf numFmtId="167" fontId="101" fillId="0" borderId="26" xfId="0" applyNumberFormat="1" applyFont="1" applyBorder="1" applyAlignment="1">
      <alignment horizontal="center" vertical="top" wrapText="1"/>
    </xf>
    <xf numFmtId="167" fontId="101" fillId="0" borderId="15" xfId="0" applyNumberFormat="1" applyFont="1" applyBorder="1" applyAlignment="1">
      <alignment horizontal="left" vertical="top" wrapText="1"/>
    </xf>
    <xf numFmtId="0" fontId="101" fillId="0" borderId="27" xfId="0" applyFont="1" applyBorder="1" applyAlignment="1">
      <alignment horizontal="left" vertical="top" wrapText="1"/>
    </xf>
    <xf numFmtId="167" fontId="114" fillId="0" borderId="15" xfId="0" applyNumberFormat="1" applyFont="1" applyBorder="1" applyAlignment="1">
      <alignment horizontal="left" vertical="top" wrapText="1"/>
    </xf>
    <xf numFmtId="0" fontId="114" fillId="0" borderId="27" xfId="0" applyFont="1" applyBorder="1" applyAlignment="1">
      <alignment horizontal="left" vertical="top" wrapText="1"/>
    </xf>
    <xf numFmtId="0" fontId="114" fillId="0" borderId="26" xfId="0" applyFont="1" applyBorder="1" applyAlignment="1">
      <alignment horizontal="left" vertical="top" wrapText="1"/>
    </xf>
    <xf numFmtId="0" fontId="114" fillId="0" borderId="15" xfId="0" applyFont="1" applyBorder="1" applyAlignment="1">
      <alignment horizontal="left" vertical="top" wrapText="1"/>
    </xf>
    <xf numFmtId="0" fontId="101" fillId="0" borderId="26" xfId="0" applyFont="1" applyBorder="1" applyAlignment="1">
      <alignment horizontal="left" vertical="top" wrapText="1"/>
    </xf>
    <xf numFmtId="0" fontId="101" fillId="0" borderId="15" xfId="0" applyFont="1" applyBorder="1" applyAlignment="1">
      <alignment horizontal="left" vertical="top" wrapText="1"/>
    </xf>
    <xf numFmtId="0" fontId="114" fillId="0" borderId="26" xfId="0" applyFont="1" applyBorder="1" applyAlignment="1">
      <alignment horizontal="center" vertical="top" wrapText="1"/>
    </xf>
    <xf numFmtId="0" fontId="5" fillId="0" borderId="0" xfId="312" applyNumberFormat="1" applyFont="1" applyFill="1" applyBorder="1" applyAlignment="1" applyProtection="1">
      <alignment horizontal="center" wrapText="1"/>
    </xf>
    <xf numFmtId="0" fontId="5" fillId="0" borderId="0" xfId="0" applyFont="1" applyAlignment="1">
      <alignment vertical="center" wrapText="1" shrinkToFit="1"/>
    </xf>
    <xf numFmtId="187" fontId="93" fillId="0" borderId="65" xfId="0" applyNumberFormat="1" applyFont="1" applyBorder="1" applyAlignment="1">
      <alignment vertical="top" wrapText="1" readingOrder="1"/>
    </xf>
    <xf numFmtId="187" fontId="5" fillId="0" borderId="0" xfId="0" applyNumberFormat="1" applyFont="1"/>
    <xf numFmtId="187" fontId="5" fillId="0" borderId="0" xfId="312" applyNumberFormat="1" applyFont="1" applyFill="1" applyProtection="1"/>
    <xf numFmtId="1" fontId="5" fillId="0" borderId="0" xfId="0" applyNumberFormat="1" applyFont="1"/>
    <xf numFmtId="10" fontId="23" fillId="0" borderId="54" xfId="929" applyNumberFormat="1" applyFont="1" applyFill="1" applyBorder="1" applyProtection="1"/>
    <xf numFmtId="164" fontId="23" fillId="0" borderId="49" xfId="0" applyNumberFormat="1" applyFont="1" applyBorder="1"/>
    <xf numFmtId="10" fontId="115" fillId="0" borderId="54" xfId="929" applyNumberFormat="1" applyFont="1" applyFill="1" applyBorder="1" applyProtection="1"/>
    <xf numFmtId="164" fontId="115" fillId="0" borderId="49" xfId="0" applyNumberFormat="1" applyFont="1" applyBorder="1"/>
    <xf numFmtId="164" fontId="115" fillId="0" borderId="0" xfId="929" applyNumberFormat="1" applyFont="1" applyFill="1" applyBorder="1" applyProtection="1"/>
    <xf numFmtId="10" fontId="102" fillId="0" borderId="0" xfId="929" applyNumberFormat="1" applyFont="1" applyFill="1" applyBorder="1" applyProtection="1"/>
    <xf numFmtId="164" fontId="102" fillId="0" borderId="49" xfId="0" applyNumberFormat="1" applyFont="1" applyBorder="1"/>
    <xf numFmtId="10" fontId="102" fillId="0" borderId="54" xfId="929" applyNumberFormat="1" applyFont="1" applyFill="1" applyBorder="1" applyProtection="1"/>
    <xf numFmtId="10" fontId="115" fillId="0" borderId="0" xfId="929" applyNumberFormat="1" applyFont="1" applyFill="1" applyBorder="1" applyProtection="1"/>
    <xf numFmtId="191" fontId="115" fillId="0" borderId="49" xfId="0" applyNumberFormat="1" applyFont="1" applyBorder="1"/>
    <xf numFmtId="164" fontId="102" fillId="0" borderId="49" xfId="929" applyNumberFormat="1" applyFont="1" applyFill="1" applyBorder="1" applyProtection="1"/>
    <xf numFmtId="1" fontId="5" fillId="0" borderId="0" xfId="0" applyNumberFormat="1" applyFont="1" applyAlignment="1">
      <alignment horizontal="center"/>
    </xf>
    <xf numFmtId="0" fontId="0" fillId="0" borderId="0" xfId="0" applyAlignment="1">
      <alignment vertical="center" wrapText="1" shrinkToFit="1"/>
    </xf>
    <xf numFmtId="0" fontId="101" fillId="0" borderId="36" xfId="0" applyFont="1" applyBorder="1"/>
    <xf numFmtId="0" fontId="24" fillId="0" borderId="36" xfId="0" applyFont="1" applyBorder="1"/>
    <xf numFmtId="0" fontId="24" fillId="0" borderId="36" xfId="0" applyFont="1" applyBorder="1" applyAlignment="1">
      <alignment horizontal="right"/>
    </xf>
    <xf numFmtId="187" fontId="20" fillId="0" borderId="36" xfId="312" applyNumberFormat="1" applyFont="1" applyFill="1" applyBorder="1" applyProtection="1"/>
    <xf numFmtId="10" fontId="11" fillId="0" borderId="55" xfId="929" applyNumberFormat="1" applyFont="1" applyFill="1" applyBorder="1" applyProtection="1"/>
    <xf numFmtId="164" fontId="11" fillId="0" borderId="56" xfId="929" applyNumberFormat="1" applyFont="1" applyFill="1" applyBorder="1" applyProtection="1"/>
    <xf numFmtId="10" fontId="113" fillId="0" borderId="55" xfId="929" applyNumberFormat="1" applyFont="1" applyFill="1" applyBorder="1" applyProtection="1"/>
    <xf numFmtId="164" fontId="113" fillId="0" borderId="56" xfId="929" applyNumberFormat="1" applyFont="1" applyFill="1" applyBorder="1" applyProtection="1"/>
    <xf numFmtId="164" fontId="113" fillId="0" borderId="36" xfId="929" applyNumberFormat="1" applyFont="1" applyFill="1" applyBorder="1" applyProtection="1"/>
    <xf numFmtId="10" fontId="100" fillId="0" borderId="36" xfId="929" applyNumberFormat="1" applyFont="1" applyFill="1" applyBorder="1" applyProtection="1"/>
    <xf numFmtId="164" fontId="100" fillId="0" borderId="56" xfId="0" applyNumberFormat="1" applyFont="1" applyBorder="1"/>
    <xf numFmtId="164" fontId="113" fillId="0" borderId="56" xfId="0" applyNumberFormat="1" applyFont="1" applyBorder="1"/>
    <xf numFmtId="10" fontId="100" fillId="0" borderId="55" xfId="929" applyNumberFormat="1" applyFont="1" applyFill="1" applyBorder="1" applyProtection="1"/>
    <xf numFmtId="10" fontId="113" fillId="0" borderId="36" xfId="929" applyNumberFormat="1" applyFont="1" applyFill="1" applyBorder="1" applyProtection="1"/>
    <xf numFmtId="191" fontId="113" fillId="0" borderId="56" xfId="0" applyNumberFormat="1" applyFont="1" applyBorder="1"/>
    <xf numFmtId="187" fontId="20" fillId="0" borderId="36" xfId="312" applyNumberFormat="1" applyFont="1" applyFill="1" applyBorder="1" applyAlignment="1" applyProtection="1">
      <alignment horizontal="center"/>
    </xf>
    <xf numFmtId="0" fontId="26" fillId="0" borderId="0" xfId="0" applyFont="1"/>
    <xf numFmtId="0" fontId="26" fillId="0" borderId="0" xfId="312" applyNumberFormat="1" applyFont="1" applyFill="1" applyBorder="1" applyAlignment="1" applyProtection="1">
      <alignment horizontal="center" wrapText="1"/>
    </xf>
    <xf numFmtId="0" fontId="26" fillId="0" borderId="0" xfId="0" applyFont="1" applyAlignment="1">
      <alignment vertical="center" wrapText="1" shrinkToFit="1"/>
    </xf>
    <xf numFmtId="187" fontId="26" fillId="0" borderId="0" xfId="0" applyNumberFormat="1" applyFont="1"/>
    <xf numFmtId="0" fontId="27" fillId="0" borderId="0" xfId="312" applyNumberFormat="1" applyFont="1" applyFill="1" applyBorder="1" applyAlignment="1" applyProtection="1">
      <alignment horizontal="center" wrapText="1"/>
    </xf>
    <xf numFmtId="187" fontId="27" fillId="0" borderId="0" xfId="0" applyNumberFormat="1" applyFont="1"/>
    <xf numFmtId="0" fontId="6" fillId="0" borderId="4" xfId="0" applyFont="1" applyBorder="1"/>
    <xf numFmtId="0" fontId="107" fillId="0" borderId="66" xfId="0" applyFont="1" applyBorder="1" applyAlignment="1">
      <alignment vertical="top" wrapText="1" readingOrder="1"/>
    </xf>
    <xf numFmtId="1" fontId="20" fillId="0" borderId="36" xfId="0" applyNumberFormat="1" applyFont="1" applyBorder="1" applyAlignment="1">
      <alignment horizontal="center"/>
    </xf>
    <xf numFmtId="0" fontId="20" fillId="0" borderId="4" xfId="0" applyFont="1" applyBorder="1"/>
    <xf numFmtId="0" fontId="20" fillId="0" borderId="36" xfId="0" applyFont="1" applyBorder="1" applyAlignment="1">
      <alignment horizontal="right"/>
    </xf>
    <xf numFmtId="43" fontId="20" fillId="0" borderId="36" xfId="312" applyFont="1" applyFill="1" applyBorder="1" applyProtection="1"/>
    <xf numFmtId="10" fontId="11" fillId="0" borderId="57" xfId="929" applyNumberFormat="1" applyFont="1" applyFill="1" applyBorder="1" applyProtection="1"/>
    <xf numFmtId="164" fontId="11" fillId="0" borderId="58" xfId="929" applyNumberFormat="1" applyFont="1" applyFill="1" applyBorder="1" applyProtection="1"/>
    <xf numFmtId="10" fontId="113" fillId="0" borderId="57" xfId="929" applyNumberFormat="1" applyFont="1" applyFill="1" applyBorder="1" applyProtection="1"/>
    <xf numFmtId="164" fontId="113" fillId="0" borderId="58" xfId="929" applyNumberFormat="1" applyFont="1" applyFill="1" applyBorder="1" applyProtection="1"/>
    <xf numFmtId="164" fontId="113" fillId="0" borderId="15" xfId="929" applyNumberFormat="1" applyFont="1" applyFill="1" applyBorder="1" applyProtection="1"/>
    <xf numFmtId="10" fontId="100" fillId="0" borderId="59" xfId="929" applyNumberFormat="1" applyFont="1" applyFill="1" applyBorder="1" applyProtection="1"/>
    <xf numFmtId="164" fontId="100" fillId="0" borderId="58" xfId="0" applyNumberFormat="1" applyFont="1" applyBorder="1"/>
    <xf numFmtId="164" fontId="113" fillId="0" borderId="58" xfId="0" applyNumberFormat="1" applyFont="1" applyBorder="1"/>
    <xf numFmtId="10" fontId="100" fillId="0" borderId="57" xfId="929" applyNumberFormat="1" applyFont="1" applyFill="1" applyBorder="1" applyProtection="1"/>
    <xf numFmtId="10" fontId="113" fillId="0" borderId="59" xfId="929" applyNumberFormat="1" applyFont="1" applyFill="1" applyBorder="1" applyProtection="1"/>
    <xf numFmtId="191" fontId="113" fillId="0" borderId="58" xfId="0" applyNumberFormat="1" applyFont="1" applyBorder="1"/>
    <xf numFmtId="40" fontId="0" fillId="0" borderId="0" xfId="0" applyNumberFormat="1"/>
    <xf numFmtId="10" fontId="0" fillId="0" borderId="0" xfId="0" applyNumberFormat="1"/>
    <xf numFmtId="164" fontId="0" fillId="0" borderId="0" xfId="0" applyNumberFormat="1"/>
    <xf numFmtId="10" fontId="116" fillId="0" borderId="0" xfId="0" applyNumberFormat="1" applyFont="1"/>
    <xf numFmtId="164" fontId="116" fillId="0" borderId="0" xfId="0" applyNumberFormat="1" applyFont="1"/>
    <xf numFmtId="10" fontId="103" fillId="0" borderId="0" xfId="0" applyNumberFormat="1" applyFont="1"/>
    <xf numFmtId="164" fontId="103" fillId="0" borderId="0" xfId="0" applyNumberFormat="1" applyFont="1"/>
    <xf numFmtId="191" fontId="116" fillId="0" borderId="0" xfId="0" applyNumberFormat="1" applyFont="1"/>
    <xf numFmtId="166" fontId="5" fillId="0" borderId="0" xfId="0" applyNumberFormat="1" applyFont="1" applyAlignment="1">
      <alignment horizontal="center"/>
    </xf>
    <xf numFmtId="187" fontId="0" fillId="33" borderId="0" xfId="0" applyNumberFormat="1" applyFill="1"/>
    <xf numFmtId="10" fontId="23" fillId="0" borderId="41" xfId="929" applyNumberFormat="1" applyFont="1" applyBorder="1" applyProtection="1"/>
    <xf numFmtId="164" fontId="23" fillId="0" borderId="43" xfId="0" applyNumberFormat="1" applyFont="1" applyBorder="1"/>
    <xf numFmtId="10" fontId="115" fillId="0" borderId="41" xfId="929" applyNumberFormat="1" applyFont="1" applyBorder="1" applyProtection="1"/>
    <xf numFmtId="164" fontId="115" fillId="0" borderId="43" xfId="0" applyNumberFormat="1" applyFont="1" applyBorder="1"/>
    <xf numFmtId="10" fontId="102" fillId="0" borderId="41" xfId="929" applyNumberFormat="1" applyFont="1" applyBorder="1" applyProtection="1"/>
    <xf numFmtId="164" fontId="102" fillId="0" borderId="43" xfId="0" applyNumberFormat="1" applyFont="1" applyBorder="1"/>
    <xf numFmtId="10" fontId="102" fillId="0" borderId="42" xfId="929" applyNumberFormat="1" applyFont="1" applyBorder="1" applyProtection="1"/>
    <xf numFmtId="10" fontId="115" fillId="0" borderId="42" xfId="929" applyNumberFormat="1" applyFont="1" applyBorder="1" applyProtection="1"/>
    <xf numFmtId="191" fontId="115" fillId="0" borderId="43" xfId="0" applyNumberFormat="1" applyFont="1" applyBorder="1"/>
    <xf numFmtId="10" fontId="102" fillId="0" borderId="41" xfId="929" applyNumberFormat="1" applyFont="1" applyFill="1" applyBorder="1" applyProtection="1"/>
    <xf numFmtId="10" fontId="115" fillId="0" borderId="41" xfId="929" applyNumberFormat="1" applyFont="1" applyFill="1" applyBorder="1" applyProtection="1"/>
    <xf numFmtId="10" fontId="23" fillId="0" borderId="44" xfId="929" applyNumberFormat="1" applyFont="1" applyBorder="1" applyProtection="1"/>
    <xf numFmtId="164" fontId="23" fillId="0" borderId="45" xfId="0" applyNumberFormat="1" applyFont="1" applyBorder="1"/>
    <xf numFmtId="10" fontId="115" fillId="0" borderId="44" xfId="929" applyNumberFormat="1" applyFont="1" applyBorder="1" applyProtection="1"/>
    <xf numFmtId="164" fontId="115" fillId="0" borderId="45" xfId="0" applyNumberFormat="1" applyFont="1" applyBorder="1"/>
    <xf numFmtId="10" fontId="102" fillId="0" borderId="44" xfId="929" applyNumberFormat="1" applyFont="1" applyBorder="1" applyProtection="1"/>
    <xf numFmtId="164" fontId="102" fillId="0" borderId="45" xfId="0" applyNumberFormat="1" applyFont="1" applyBorder="1"/>
    <xf numFmtId="10" fontId="102" fillId="0" borderId="0" xfId="929" applyNumberFormat="1" applyFont="1" applyBorder="1" applyProtection="1"/>
    <xf numFmtId="10" fontId="115" fillId="0" borderId="0" xfId="929" applyNumberFormat="1" applyFont="1" applyBorder="1" applyProtection="1"/>
    <xf numFmtId="191" fontId="115" fillId="0" borderId="45" xfId="0" applyNumberFormat="1" applyFont="1" applyBorder="1"/>
    <xf numFmtId="10" fontId="102" fillId="0" borderId="44" xfId="929" applyNumberFormat="1" applyFont="1" applyFill="1" applyBorder="1" applyProtection="1"/>
    <xf numFmtId="10" fontId="115" fillId="0" borderId="44" xfId="929" applyNumberFormat="1" applyFont="1" applyFill="1" applyBorder="1" applyProtection="1"/>
    <xf numFmtId="165" fontId="0" fillId="33" borderId="0" xfId="0" applyNumberFormat="1" applyFill="1"/>
    <xf numFmtId="164" fontId="115" fillId="0" borderId="45" xfId="929" applyNumberFormat="1" applyFont="1" applyBorder="1" applyProtection="1"/>
    <xf numFmtId="164" fontId="102" fillId="0" borderId="45" xfId="929" applyNumberFormat="1" applyFont="1" applyBorder="1" applyProtection="1"/>
    <xf numFmtId="10" fontId="23" fillId="0" borderId="46" xfId="929" applyNumberFormat="1" applyFont="1" applyBorder="1" applyProtection="1"/>
    <xf numFmtId="164" fontId="23" fillId="0" borderId="38" xfId="0" applyNumberFormat="1" applyFont="1" applyBorder="1"/>
    <xf numFmtId="10" fontId="115" fillId="0" borderId="46" xfId="929" applyNumberFormat="1" applyFont="1" applyBorder="1" applyProtection="1"/>
    <xf numFmtId="164" fontId="115" fillId="0" borderId="38" xfId="0" applyNumberFormat="1" applyFont="1" applyBorder="1"/>
    <xf numFmtId="10" fontId="102" fillId="0" borderId="46" xfId="929" applyNumberFormat="1" applyFont="1" applyBorder="1" applyProtection="1"/>
    <xf numFmtId="164" fontId="102" fillId="0" borderId="38" xfId="0" applyNumberFormat="1" applyFont="1" applyBorder="1"/>
    <xf numFmtId="10" fontId="102" fillId="0" borderId="16" xfId="929" applyNumberFormat="1" applyFont="1" applyBorder="1" applyProtection="1"/>
    <xf numFmtId="10" fontId="115" fillId="0" borderId="16" xfId="929" applyNumberFormat="1" applyFont="1" applyBorder="1" applyProtection="1"/>
    <xf numFmtId="191" fontId="115" fillId="0" borderId="38" xfId="0" applyNumberFormat="1" applyFont="1" applyBorder="1"/>
    <xf numFmtId="164" fontId="115" fillId="0" borderId="38" xfId="929" applyNumberFormat="1" applyFont="1" applyBorder="1" applyProtection="1"/>
    <xf numFmtId="164" fontId="102" fillId="0" borderId="38" xfId="929" applyNumberFormat="1" applyFont="1" applyBorder="1" applyProtection="1"/>
    <xf numFmtId="188" fontId="20" fillId="33" borderId="36" xfId="0" applyNumberFormat="1" applyFont="1" applyFill="1" applyBorder="1"/>
    <xf numFmtId="187" fontId="20" fillId="33" borderId="36" xfId="0" applyNumberFormat="1" applyFont="1" applyFill="1" applyBorder="1"/>
    <xf numFmtId="187" fontId="20" fillId="0" borderId="24" xfId="0" applyNumberFormat="1" applyFont="1" applyBorder="1" applyAlignment="1">
      <alignment horizontal="center"/>
    </xf>
    <xf numFmtId="170" fontId="5" fillId="0" borderId="36" xfId="0" applyNumberFormat="1" applyFont="1" applyBorder="1"/>
    <xf numFmtId="170" fontId="24" fillId="0" borderId="36" xfId="0" applyNumberFormat="1" applyFont="1" applyBorder="1"/>
    <xf numFmtId="170" fontId="24" fillId="0" borderId="36" xfId="0" applyNumberFormat="1" applyFont="1" applyBorder="1" applyAlignment="1">
      <alignment horizontal="right"/>
    </xf>
    <xf numFmtId="188" fontId="20" fillId="0" borderId="36" xfId="312" applyNumberFormat="1" applyFont="1" applyBorder="1" applyProtection="1"/>
    <xf numFmtId="170" fontId="11" fillId="0" borderId="0" xfId="929" applyNumberFormat="1" applyFont="1" applyBorder="1" applyProtection="1"/>
    <xf numFmtId="170" fontId="105" fillId="0" borderId="0" xfId="929" applyNumberFormat="1" applyFont="1" applyBorder="1" applyProtection="1"/>
    <xf numFmtId="170" fontId="100" fillId="0" borderId="0" xfId="929" applyNumberFormat="1" applyFont="1" applyBorder="1" applyProtection="1"/>
    <xf numFmtId="170" fontId="100" fillId="0" borderId="0" xfId="0" applyNumberFormat="1" applyFont="1"/>
    <xf numFmtId="170" fontId="105" fillId="0" borderId="0" xfId="0" applyNumberFormat="1" applyFont="1"/>
    <xf numFmtId="170" fontId="100" fillId="0" borderId="0" xfId="929" applyNumberFormat="1" applyFont="1" applyFill="1" applyBorder="1" applyProtection="1"/>
    <xf numFmtId="170" fontId="113" fillId="0" borderId="0" xfId="929" applyNumberFormat="1" applyFont="1" applyFill="1" applyBorder="1" applyProtection="1"/>
    <xf numFmtId="170" fontId="113" fillId="0" borderId="0" xfId="0" applyNumberFormat="1" applyFont="1"/>
    <xf numFmtId="170" fontId="5" fillId="0" borderId="0" xfId="312" applyNumberFormat="1" applyFont="1" applyBorder="1" applyAlignment="1" applyProtection="1">
      <alignment horizontal="center"/>
    </xf>
    <xf numFmtId="43" fontId="0" fillId="0" borderId="0" xfId="0" applyNumberFormat="1"/>
    <xf numFmtId="188" fontId="0" fillId="0" borderId="0" xfId="0" applyNumberFormat="1"/>
    <xf numFmtId="0" fontId="106" fillId="36" borderId="0" xfId="0" applyFont="1" applyFill="1" applyAlignment="1">
      <alignment horizontal="center" vertical="top" wrapText="1"/>
    </xf>
    <xf numFmtId="0" fontId="118" fillId="0" borderId="0" xfId="0" applyFont="1" applyAlignment="1">
      <alignment horizontal="left" vertical="center"/>
    </xf>
    <xf numFmtId="0" fontId="100" fillId="0" borderId="33" xfId="0" applyFont="1" applyBorder="1" applyAlignment="1">
      <alignment horizontal="center" vertical="center" wrapText="1"/>
    </xf>
    <xf numFmtId="0" fontId="106" fillId="37" borderId="33" xfId="929" applyNumberFormat="1" applyFont="1" applyFill="1" applyBorder="1" applyAlignment="1" applyProtection="1">
      <alignment horizontal="center"/>
    </xf>
    <xf numFmtId="0" fontId="106" fillId="37" borderId="21" xfId="0" applyFont="1" applyFill="1" applyBorder="1" applyAlignment="1">
      <alignment horizontal="center" vertical="center"/>
    </xf>
    <xf numFmtId="0" fontId="106" fillId="37" borderId="29" xfId="0" applyFont="1" applyFill="1" applyBorder="1" applyAlignment="1">
      <alignment horizontal="center" vertical="center"/>
    </xf>
    <xf numFmtId="0" fontId="106" fillId="37" borderId="50" xfId="0" applyFont="1" applyFill="1" applyBorder="1" applyAlignment="1">
      <alignment horizontal="center" vertical="center"/>
    </xf>
    <xf numFmtId="0" fontId="106" fillId="37" borderId="51" xfId="0" applyFont="1" applyFill="1" applyBorder="1" applyAlignment="1">
      <alignment horizontal="center" vertical="center"/>
    </xf>
    <xf numFmtId="0" fontId="106" fillId="37" borderId="52" xfId="0" applyFont="1" applyFill="1" applyBorder="1" applyAlignment="1">
      <alignment horizontal="center" vertical="center" wrapText="1"/>
    </xf>
    <xf numFmtId="1" fontId="100" fillId="0" borderId="33" xfId="929" applyNumberFormat="1" applyFont="1" applyFill="1" applyBorder="1" applyAlignment="1" applyProtection="1">
      <alignment horizontal="center"/>
    </xf>
    <xf numFmtId="1" fontId="100" fillId="0" borderId="31" xfId="929" applyNumberFormat="1" applyFont="1" applyFill="1" applyBorder="1" applyProtection="1"/>
    <xf numFmtId="0" fontId="20" fillId="35" borderId="35" xfId="0" applyFont="1" applyFill="1" applyBorder="1" applyAlignment="1" applyProtection="1">
      <alignment horizontal="center" wrapText="1"/>
      <protection locked="0"/>
    </xf>
    <xf numFmtId="0" fontId="117" fillId="37" borderId="6" xfId="0" applyFont="1" applyFill="1" applyBorder="1" applyAlignment="1">
      <alignment vertical="center" wrapText="1" shrinkToFit="1"/>
    </xf>
    <xf numFmtId="0" fontId="117" fillId="37" borderId="6" xfId="0" applyFont="1" applyFill="1" applyBorder="1" applyAlignment="1">
      <alignment horizontal="center" vertical="center" wrapText="1" shrinkToFit="1"/>
    </xf>
    <xf numFmtId="187" fontId="106" fillId="37" borderId="0" xfId="0" applyNumberFormat="1" applyFont="1" applyFill="1" applyAlignment="1">
      <alignment horizontal="center" vertical="top" wrapText="1"/>
    </xf>
    <xf numFmtId="0" fontId="20" fillId="35" borderId="0" xfId="0" applyFont="1" applyFill="1" applyAlignment="1">
      <alignment horizontal="center" vertical="center" wrapText="1"/>
    </xf>
    <xf numFmtId="0" fontId="10" fillId="35" borderId="0" xfId="0" applyFont="1" applyFill="1" applyAlignment="1">
      <alignment horizontal="center" vertical="center" wrapText="1" shrinkToFit="1"/>
    </xf>
    <xf numFmtId="0" fontId="120" fillId="38" borderId="67" xfId="1066" applyFont="1" applyFill="1" applyBorder="1" applyAlignment="1">
      <alignment horizontal="center" vertical="center" wrapText="1" readingOrder="1"/>
    </xf>
    <xf numFmtId="0" fontId="121" fillId="0" borderId="67" xfId="1066" applyFont="1" applyBorder="1" applyAlignment="1">
      <alignment horizontal="center" vertical="center" wrapText="1" readingOrder="1"/>
    </xf>
    <xf numFmtId="192" fontId="121" fillId="0" borderId="67" xfId="1066" applyNumberFormat="1" applyFont="1" applyBorder="1" applyAlignment="1">
      <alignment horizontal="center" vertical="center" wrapText="1" readingOrder="1"/>
    </xf>
    <xf numFmtId="192" fontId="109" fillId="0" borderId="0" xfId="1066" applyNumberFormat="1" applyFont="1"/>
    <xf numFmtId="164" fontId="109" fillId="0" borderId="0" xfId="1066" applyNumberFormat="1" applyFont="1"/>
    <xf numFmtId="0" fontId="107" fillId="0" borderId="0" xfId="0" applyFont="1" applyAlignment="1">
      <alignment vertical="top" wrapText="1" readingOrder="1"/>
    </xf>
    <xf numFmtId="8" fontId="0" fillId="0" borderId="0" xfId="0" applyNumberFormat="1"/>
    <xf numFmtId="0" fontId="112" fillId="0" borderId="67" xfId="1079" applyFont="1" applyBorder="1" applyAlignment="1">
      <alignment horizontal="center" vertical="center" wrapText="1"/>
    </xf>
    <xf numFmtId="0" fontId="99" fillId="0" borderId="67" xfId="1079" applyBorder="1">
      <alignment vertical="center"/>
    </xf>
    <xf numFmtId="0" fontId="99" fillId="0" borderId="67" xfId="1079" applyBorder="1" applyAlignment="1">
      <alignment horizontal="center" vertical="center" wrapText="1"/>
    </xf>
    <xf numFmtId="0" fontId="99" fillId="0" borderId="67" xfId="1079" applyBorder="1" applyAlignment="1">
      <alignment horizontal="left" vertical="center"/>
    </xf>
    <xf numFmtId="190" fontId="99" fillId="0" borderId="67" xfId="1079" applyNumberFormat="1" applyBorder="1">
      <alignment vertical="center"/>
    </xf>
    <xf numFmtId="3" fontId="99" fillId="0" borderId="67" xfId="1079" applyNumberFormat="1" applyBorder="1">
      <alignment vertical="center"/>
    </xf>
    <xf numFmtId="0" fontId="112" fillId="0" borderId="67" xfId="1079" applyFont="1" applyBorder="1">
      <alignment vertical="center"/>
    </xf>
    <xf numFmtId="3" fontId="112" fillId="0" borderId="67" xfId="1079" applyNumberFormat="1" applyFont="1" applyBorder="1">
      <alignment vertical="center"/>
    </xf>
    <xf numFmtId="187" fontId="122" fillId="0" borderId="48" xfId="0" applyNumberFormat="1" applyFont="1" applyBorder="1" applyAlignment="1">
      <alignment horizontal="center"/>
    </xf>
    <xf numFmtId="187" fontId="122" fillId="0" borderId="47" xfId="0" applyNumberFormat="1" applyFont="1" applyBorder="1" applyAlignment="1">
      <alignment horizontal="center"/>
    </xf>
    <xf numFmtId="187" fontId="122" fillId="0" borderId="39" xfId="0" applyNumberFormat="1" applyFont="1" applyBorder="1" applyAlignment="1">
      <alignment horizontal="center"/>
    </xf>
    <xf numFmtId="0" fontId="123" fillId="0" borderId="0" xfId="1080" applyFont="1"/>
    <xf numFmtId="0" fontId="123" fillId="39" borderId="69" xfId="1080" applyFont="1" applyFill="1" applyBorder="1" applyAlignment="1">
      <alignment horizontal="center" vertical="center" wrapText="1"/>
    </xf>
    <xf numFmtId="0" fontId="123" fillId="40" borderId="5" xfId="1080" applyFont="1" applyFill="1" applyBorder="1" applyAlignment="1">
      <alignment horizontal="center" vertical="center" wrapText="1"/>
    </xf>
    <xf numFmtId="0" fontId="123" fillId="0" borderId="70" xfId="1080" applyFont="1" applyBorder="1" applyAlignment="1">
      <alignment horizontal="center" vertical="center" wrapText="1"/>
    </xf>
    <xf numFmtId="0" fontId="125" fillId="41" borderId="0" xfId="1080" applyFont="1" applyFill="1" applyAlignment="1">
      <alignment horizontal="center" vertical="center" wrapText="1"/>
    </xf>
    <xf numFmtId="44" fontId="125" fillId="40" borderId="49" xfId="1081" applyFont="1" applyFill="1" applyBorder="1" applyAlignment="1">
      <alignment horizontal="center" vertical="center" wrapText="1"/>
    </xf>
    <xf numFmtId="44" fontId="123" fillId="40" borderId="40" xfId="1081" applyFont="1" applyFill="1" applyBorder="1" applyAlignment="1">
      <alignment horizontal="center" vertical="center" wrapText="1"/>
    </xf>
    <xf numFmtId="0" fontId="123" fillId="42" borderId="6" xfId="1080" applyFont="1" applyFill="1" applyBorder="1" applyAlignment="1">
      <alignment horizontal="center" vertical="center" wrapText="1"/>
    </xf>
    <xf numFmtId="0" fontId="123" fillId="35" borderId="6" xfId="1080" applyFont="1" applyFill="1" applyBorder="1" applyAlignment="1">
      <alignment horizontal="center" vertical="center" wrapText="1"/>
    </xf>
    <xf numFmtId="44" fontId="123" fillId="42" borderId="6" xfId="1082" applyFont="1" applyFill="1" applyBorder="1" applyAlignment="1">
      <alignment horizontal="center" vertical="center" wrapText="1"/>
    </xf>
    <xf numFmtId="0" fontId="123" fillId="42" borderId="6" xfId="1082" applyNumberFormat="1" applyFont="1" applyFill="1" applyBorder="1" applyAlignment="1">
      <alignment horizontal="center" vertical="center" wrapText="1"/>
    </xf>
    <xf numFmtId="44" fontId="123" fillId="43" borderId="6" xfId="1080" applyNumberFormat="1" applyFont="1" applyFill="1" applyBorder="1" applyAlignment="1">
      <alignment horizontal="center" vertical="center" wrapText="1"/>
    </xf>
    <xf numFmtId="44" fontId="123" fillId="44" borderId="6" xfId="1080" applyNumberFormat="1" applyFont="1" applyFill="1" applyBorder="1" applyAlignment="1">
      <alignment horizontal="center" vertical="center" wrapText="1"/>
    </xf>
    <xf numFmtId="44" fontId="123" fillId="42" borderId="6" xfId="1080" applyNumberFormat="1" applyFont="1" applyFill="1" applyBorder="1" applyAlignment="1">
      <alignment horizontal="center" vertical="center" wrapText="1"/>
    </xf>
    <xf numFmtId="0" fontId="1" fillId="0" borderId="0" xfId="1080"/>
    <xf numFmtId="0" fontId="126" fillId="0" borderId="71" xfId="1080" applyFont="1" applyBorder="1"/>
    <xf numFmtId="44" fontId="126" fillId="40" borderId="0" xfId="1081" applyFont="1" applyFill="1" applyBorder="1"/>
    <xf numFmtId="44" fontId="123" fillId="0" borderId="0" xfId="1080" applyNumberFormat="1" applyFont="1"/>
    <xf numFmtId="0" fontId="126" fillId="41" borderId="0" xfId="1080" applyFont="1" applyFill="1"/>
    <xf numFmtId="44" fontId="125" fillId="40" borderId="49" xfId="1081" applyFont="1" applyFill="1" applyBorder="1"/>
    <xf numFmtId="44" fontId="125" fillId="40" borderId="71" xfId="1081" applyFont="1" applyFill="1" applyBorder="1" applyAlignment="1">
      <alignment wrapText="1"/>
    </xf>
    <xf numFmtId="44" fontId="1" fillId="0" borderId="0" xfId="1080" applyNumberFormat="1"/>
    <xf numFmtId="0" fontId="1" fillId="0" borderId="71" xfId="1080" applyBorder="1"/>
    <xf numFmtId="0" fontId="126" fillId="0" borderId="72" xfId="1080" applyFont="1" applyBorder="1"/>
    <xf numFmtId="44" fontId="126" fillId="40" borderId="15" xfId="1081" applyFont="1" applyFill="1" applyBorder="1"/>
    <xf numFmtId="0" fontId="126" fillId="41" borderId="15" xfId="1080" applyFont="1" applyFill="1" applyBorder="1"/>
    <xf numFmtId="44" fontId="125" fillId="40" borderId="27" xfId="1081" applyFont="1" applyFill="1" applyBorder="1"/>
    <xf numFmtId="44" fontId="0" fillId="0" borderId="0" xfId="1081" applyFont="1" applyFill="1" applyBorder="1"/>
    <xf numFmtId="0" fontId="126" fillId="0" borderId="0" xfId="1080" applyFont="1"/>
    <xf numFmtId="44" fontId="125" fillId="0" borderId="0" xfId="1081" applyFont="1"/>
    <xf numFmtId="44" fontId="127" fillId="0" borderId="0" xfId="1081" applyFont="1" applyBorder="1"/>
    <xf numFmtId="44" fontId="126" fillId="0" borderId="0" xfId="1080" applyNumberFormat="1" applyFont="1"/>
    <xf numFmtId="44" fontId="1" fillId="0" borderId="16" xfId="1080" applyNumberFormat="1" applyBorder="1"/>
    <xf numFmtId="44" fontId="126" fillId="0" borderId="16" xfId="1080" applyNumberFormat="1" applyFont="1" applyBorder="1"/>
    <xf numFmtId="44" fontId="1" fillId="0" borderId="73" xfId="1080" applyNumberFormat="1" applyBorder="1"/>
    <xf numFmtId="44" fontId="1" fillId="0" borderId="36" xfId="1080" applyNumberFormat="1" applyBorder="1"/>
    <xf numFmtId="0" fontId="1" fillId="0" borderId="36" xfId="1080" applyBorder="1"/>
    <xf numFmtId="164" fontId="123" fillId="42" borderId="6" xfId="1082" applyNumberFormat="1" applyFont="1" applyFill="1" applyBorder="1" applyAlignment="1">
      <alignment horizontal="center" vertical="center" wrapText="1"/>
    </xf>
    <xf numFmtId="3" fontId="123" fillId="42" borderId="6" xfId="1082" applyNumberFormat="1" applyFont="1" applyFill="1" applyBorder="1" applyAlignment="1">
      <alignment horizontal="center" vertical="center" wrapText="1"/>
    </xf>
    <xf numFmtId="44" fontId="125" fillId="0" borderId="49" xfId="1081" applyFont="1" applyBorder="1"/>
    <xf numFmtId="4" fontId="1" fillId="0" borderId="72" xfId="1080" applyNumberFormat="1" applyBorder="1"/>
    <xf numFmtId="44" fontId="125" fillId="0" borderId="27" xfId="1081" applyFont="1" applyBorder="1"/>
    <xf numFmtId="0" fontId="123" fillId="0" borderId="36" xfId="1080" applyFont="1" applyBorder="1"/>
    <xf numFmtId="44" fontId="123" fillId="0" borderId="36" xfId="1080" applyNumberFormat="1" applyFont="1" applyBorder="1"/>
    <xf numFmtId="164" fontId="123" fillId="0" borderId="36" xfId="1080" applyNumberFormat="1" applyFont="1" applyBorder="1"/>
    <xf numFmtId="0" fontId="123" fillId="0" borderId="0" xfId="1080" applyFont="1" applyAlignment="1">
      <alignment horizontal="center" wrapText="1"/>
    </xf>
    <xf numFmtId="0" fontId="123" fillId="39" borderId="40" xfId="1080" applyFont="1" applyFill="1" applyBorder="1" applyAlignment="1">
      <alignment horizontal="center" vertical="center" wrapText="1"/>
    </xf>
    <xf numFmtId="0" fontId="123" fillId="39" borderId="0" xfId="1080" applyFont="1" applyFill="1" applyAlignment="1">
      <alignment horizontal="center" vertical="center" wrapText="1"/>
    </xf>
    <xf numFmtId="44" fontId="125" fillId="40" borderId="0" xfId="1081" applyFont="1" applyFill="1" applyAlignment="1">
      <alignment horizontal="center" vertical="center" wrapText="1"/>
    </xf>
    <xf numFmtId="44" fontId="123" fillId="40" borderId="70" xfId="1081" applyFont="1" applyFill="1" applyBorder="1" applyAlignment="1">
      <alignment horizontal="center" vertical="center" wrapText="1"/>
    </xf>
    <xf numFmtId="44" fontId="123" fillId="42" borderId="6" xfId="1081" applyFont="1" applyFill="1" applyBorder="1" applyAlignment="1">
      <alignment horizontal="center" vertical="center" wrapText="1"/>
    </xf>
    <xf numFmtId="164" fontId="125" fillId="35" borderId="6" xfId="1081" applyNumberFormat="1" applyFont="1" applyFill="1" applyBorder="1" applyAlignment="1">
      <alignment horizontal="center" vertical="center" wrapText="1"/>
    </xf>
    <xf numFmtId="44" fontId="125" fillId="35" borderId="6" xfId="1081" applyFont="1" applyFill="1" applyBorder="1" applyAlignment="1">
      <alignment horizontal="center" vertical="center" wrapText="1"/>
    </xf>
    <xf numFmtId="0" fontId="1" fillId="0" borderId="49" xfId="1080" applyBorder="1"/>
    <xf numFmtId="44" fontId="126" fillId="40" borderId="0" xfId="1080" applyNumberFormat="1" applyFont="1" applyFill="1" applyAlignment="1">
      <alignment wrapText="1"/>
    </xf>
    <xf numFmtId="44" fontId="125" fillId="40" borderId="49" xfId="1081" applyFont="1" applyFill="1" applyBorder="1" applyAlignment="1">
      <alignment wrapText="1"/>
    </xf>
    <xf numFmtId="44" fontId="126" fillId="0" borderId="0" xfId="1081" applyFont="1"/>
    <xf numFmtId="44" fontId="126" fillId="0" borderId="0" xfId="1081" applyFont="1" applyFill="1"/>
    <xf numFmtId="0" fontId="128" fillId="41" borderId="0" xfId="1080" applyFont="1" applyFill="1"/>
    <xf numFmtId="0" fontId="1" fillId="0" borderId="72" xfId="1080" applyBorder="1"/>
    <xf numFmtId="44" fontId="126" fillId="40" borderId="15" xfId="1080" applyNumberFormat="1" applyFont="1" applyFill="1" applyBorder="1" applyAlignment="1">
      <alignment wrapText="1"/>
    </xf>
    <xf numFmtId="0" fontId="129" fillId="0" borderId="0" xfId="1080" applyFont="1"/>
    <xf numFmtId="0" fontId="130" fillId="0" borderId="0" xfId="1080" applyFont="1"/>
    <xf numFmtId="0" fontId="129" fillId="0" borderId="5" xfId="1080" applyFont="1" applyBorder="1"/>
    <xf numFmtId="0" fontId="125" fillId="0" borderId="0" xfId="1080" applyFont="1"/>
    <xf numFmtId="44" fontId="129" fillId="0" borderId="0" xfId="1081" applyFont="1"/>
    <xf numFmtId="44" fontId="129" fillId="0" borderId="0" xfId="1080" applyNumberFormat="1" applyFont="1"/>
    <xf numFmtId="44" fontId="131" fillId="0" borderId="0" xfId="1080" applyNumberFormat="1" applyFont="1"/>
    <xf numFmtId="44" fontId="126" fillId="0" borderId="73" xfId="1080" applyNumberFormat="1" applyFont="1" applyBorder="1"/>
    <xf numFmtId="0" fontId="126" fillId="0" borderId="73" xfId="1080" applyFont="1" applyBorder="1"/>
    <xf numFmtId="44" fontId="0" fillId="0" borderId="0" xfId="1081" applyFont="1"/>
    <xf numFmtId="0" fontId="9" fillId="0" borderId="0" xfId="0" applyFont="1" applyAlignment="1">
      <alignment horizontal="center"/>
    </xf>
    <xf numFmtId="0" fontId="9" fillId="0" borderId="60" xfId="0" applyFont="1" applyBorder="1" applyAlignment="1">
      <alignment horizontal="center"/>
    </xf>
    <xf numFmtId="0" fontId="10" fillId="35" borderId="61" xfId="0" applyFont="1" applyFill="1" applyBorder="1" applyAlignment="1">
      <alignment horizontal="center"/>
    </xf>
    <xf numFmtId="0" fontId="10" fillId="35" borderId="62" xfId="0" applyFont="1" applyFill="1" applyBorder="1" applyAlignment="1">
      <alignment horizontal="center"/>
    </xf>
    <xf numFmtId="0" fontId="10" fillId="35" borderId="63" xfId="0" applyFont="1" applyFill="1" applyBorder="1" applyAlignment="1">
      <alignment horizontal="center"/>
    </xf>
    <xf numFmtId="166" fontId="106" fillId="37" borderId="40" xfId="0" applyNumberFormat="1" applyFont="1" applyFill="1" applyBorder="1" applyAlignment="1">
      <alignment horizontal="center" vertical="center" wrapText="1"/>
    </xf>
    <xf numFmtId="166" fontId="106" fillId="37" borderId="71" xfId="0" applyNumberFormat="1" applyFont="1" applyFill="1" applyBorder="1" applyAlignment="1">
      <alignment horizontal="center" vertical="center" wrapText="1"/>
    </xf>
    <xf numFmtId="0" fontId="100" fillId="0" borderId="64" xfId="0" applyFont="1" applyBorder="1" applyAlignment="1">
      <alignment horizontal="center"/>
    </xf>
    <xf numFmtId="0" fontId="100" fillId="0" borderId="53" xfId="0" applyFont="1" applyBorder="1" applyAlignment="1">
      <alignment horizontal="center"/>
    </xf>
    <xf numFmtId="0" fontId="113" fillId="0" borderId="64" xfId="0" applyFont="1" applyBorder="1" applyAlignment="1">
      <alignment horizontal="center"/>
    </xf>
    <xf numFmtId="0" fontId="113" fillId="0" borderId="7" xfId="0" applyFont="1" applyBorder="1" applyAlignment="1">
      <alignment horizontal="center"/>
    </xf>
    <xf numFmtId="0" fontId="113" fillId="0" borderId="53" xfId="0" applyFont="1" applyBorder="1" applyAlignment="1">
      <alignment horizontal="center"/>
    </xf>
    <xf numFmtId="0" fontId="100" fillId="0" borderId="7" xfId="0" applyFont="1" applyBorder="1" applyAlignment="1">
      <alignment horizontal="center"/>
    </xf>
    <xf numFmtId="0" fontId="113" fillId="0" borderId="64" xfId="0" applyFont="1" applyBorder="1" applyAlignment="1">
      <alignment horizontal="center" wrapText="1"/>
    </xf>
    <xf numFmtId="0" fontId="113" fillId="0" borderId="7" xfId="0" applyFont="1" applyBorder="1" applyAlignment="1">
      <alignment horizontal="center" wrapText="1"/>
    </xf>
    <xf numFmtId="0" fontId="113" fillId="0" borderId="53" xfId="0" applyFont="1" applyBorder="1" applyAlignment="1">
      <alignment horizontal="center" wrapText="1"/>
    </xf>
    <xf numFmtId="0" fontId="11" fillId="0" borderId="64" xfId="0" applyFont="1" applyBorder="1" applyAlignment="1">
      <alignment horizontal="center"/>
    </xf>
    <xf numFmtId="0" fontId="11" fillId="0" borderId="53" xfId="0" applyFont="1" applyBorder="1" applyAlignment="1">
      <alignment horizontal="center"/>
    </xf>
    <xf numFmtId="0" fontId="100" fillId="0" borderId="64" xfId="0" applyFont="1" applyBorder="1" applyAlignment="1">
      <alignment horizontal="center" wrapText="1"/>
    </xf>
    <xf numFmtId="0" fontId="100" fillId="0" borderId="53" xfId="0" applyFont="1" applyBorder="1" applyAlignment="1">
      <alignment horizontal="center" wrapText="1"/>
    </xf>
    <xf numFmtId="192" fontId="121" fillId="0" borderId="67" xfId="1066" applyNumberFormat="1" applyFont="1" applyBorder="1" applyAlignment="1">
      <alignment horizontal="center" vertical="center" wrapText="1" readingOrder="1"/>
    </xf>
    <xf numFmtId="0" fontId="109" fillId="0" borderId="68" xfId="1066" applyFont="1" applyBorder="1" applyAlignment="1">
      <alignment vertical="top" wrapText="1"/>
    </xf>
    <xf numFmtId="0" fontId="119" fillId="0" borderId="0" xfId="1066" applyFont="1" applyAlignment="1">
      <alignment vertical="top" wrapText="1" readingOrder="1"/>
    </xf>
    <xf numFmtId="0" fontId="109" fillId="0" borderId="0" xfId="1066" applyFont="1"/>
    <xf numFmtId="0" fontId="120" fillId="38" borderId="67" xfId="1066" applyFont="1" applyFill="1" applyBorder="1" applyAlignment="1">
      <alignment horizontal="center" vertical="center" wrapText="1" readingOrder="1"/>
    </xf>
  </cellXfs>
  <cellStyles count="1083">
    <cellStyle name=" 1" xfId="1" xr:uid="{00000000-0005-0000-0000-000000000000}"/>
    <cellStyle name=" 2" xfId="2" xr:uid="{00000000-0005-0000-0000-000001000000}"/>
    <cellStyle name=" 3" xfId="3" xr:uid="{00000000-0005-0000-0000-000002000000}"/>
    <cellStyle name="_x000d__x000a_JournalTemplate=C:\COMFO\CTALK\JOURSTD.TPL_x000d__x000a_LbStateAddress=3 3 0 251 1 89 2 311_x000d__x000a_LbStateJou" xfId="4" xr:uid="{00000000-0005-0000-0000-000003000000}"/>
    <cellStyle name="%" xfId="5" xr:uid="{00000000-0005-0000-0000-000004000000}"/>
    <cellStyle name="% 2" xfId="6" xr:uid="{00000000-0005-0000-0000-000005000000}"/>
    <cellStyle name="% 2 2" xfId="7" xr:uid="{00000000-0005-0000-0000-000006000000}"/>
    <cellStyle name="% 3" xfId="8" xr:uid="{00000000-0005-0000-0000-000007000000}"/>
    <cellStyle name="% 3 2" xfId="9" xr:uid="{00000000-0005-0000-0000-000008000000}"/>
    <cellStyle name="% 4" xfId="10" xr:uid="{00000000-0005-0000-0000-000009000000}"/>
    <cellStyle name="%_302_Baselines_Oct12 (Revised) (2)" xfId="11" xr:uid="{00000000-0005-0000-0000-00000A000000}"/>
    <cellStyle name="%_302_Baselines_Oct12 (Revised) (2) 2" xfId="12" xr:uid="{00000000-0005-0000-0000-00000B000000}"/>
    <cellStyle name="%_Book1" xfId="13" xr:uid="{00000000-0005-0000-0000-00000C000000}"/>
    <cellStyle name="%_Copy of Copy of SEN_Questionnaire_2013" xfId="14" xr:uid="{00000000-0005-0000-0000-00000D000000}"/>
    <cellStyle name="%_Copy of Copy of SEN_Questionnaire_2013 (2)" xfId="15" xr:uid="{00000000-0005-0000-0000-00000E000000}"/>
    <cellStyle name="%_DSG Cost centres from LBurbidge 16Oct12" xfId="16" xr:uid="{00000000-0005-0000-0000-00000F000000}"/>
    <cellStyle name="%_DSG Cost centres from LBurbidge 16Oct12 2" xfId="17" xr:uid="{00000000-0005-0000-0000-000010000000}"/>
    <cellStyle name="%_DSG Cost centres from LBurbidge 16Oct12_Schools Budget Plan 2013-14 V4 @ 14Jan2013" xfId="18" xr:uid="{00000000-0005-0000-0000-000011000000}"/>
    <cellStyle name="%_DSG Cost centres from LBurbidge 16Oct12_Schools Budget Plan 2013-14 V4 @ 14Jan2013 2" xfId="19" xr:uid="{00000000-0005-0000-0000-000012000000}"/>
    <cellStyle name="%_DSG Cost centres from LBurbidge 16Oct12_Schools Budget Plan 2013-14 V4 @ 14Jan2013 2 2" xfId="20" xr:uid="{00000000-0005-0000-0000-000013000000}"/>
    <cellStyle name="%_Reconciliation since 26042013" xfId="21" xr:uid="{00000000-0005-0000-0000-000014000000}"/>
    <cellStyle name="%_Reconciliation since 26042013 2" xfId="22" xr:uid="{00000000-0005-0000-0000-000015000000}"/>
    <cellStyle name="%_Restatement of baselines - CB" xfId="23" xr:uid="{00000000-0005-0000-0000-000016000000}"/>
    <cellStyle name="%_Restatement of baselines - CB 2" xfId="24" xr:uid="{00000000-0005-0000-0000-000017000000}"/>
    <cellStyle name="%_Schools Budget Plan 2013-14 V1 sent to group - SS" xfId="25" xr:uid="{00000000-0005-0000-0000-000018000000}"/>
    <cellStyle name="%_Schools Budget Plan 2013-14 V1 sent to group - SS 2" xfId="26" xr:uid="{00000000-0005-0000-0000-000019000000}"/>
    <cellStyle name="%_Schools Budget Plan 2013-14 V1 sent to group - SS_Schools Budget Plan 2013-14 V4 @ 14Jan2013" xfId="27" xr:uid="{00000000-0005-0000-0000-00001A000000}"/>
    <cellStyle name="%_Schools Budget Plan 2013-14 V1 sent to group - SS_Schools Budget Plan 2013-14 V4 @ 14Jan2013 2" xfId="28" xr:uid="{00000000-0005-0000-0000-00001B000000}"/>
    <cellStyle name="%_Schools Budget Plan 2013-14 V1 sent to group - SS_Schools Budget Plan 2013-14 V4 @ 14Jan2013 2 2" xfId="29" xr:uid="{00000000-0005-0000-0000-00001C000000}"/>
    <cellStyle name="%_Schools Budget Plan 2013-14 V4 @ 14Jan2013" xfId="30" xr:uid="{00000000-0005-0000-0000-00001D000000}"/>
    <cellStyle name="%_Schools Budget Plan 2013-14 V4 @ 14Jan2013 2" xfId="31" xr:uid="{00000000-0005-0000-0000-00001E000000}"/>
    <cellStyle name="%_Schools Budget Plan 2013-14 V4 @ 14Jan2013 2 2" xfId="32" xr:uid="{00000000-0005-0000-0000-00001F000000}"/>
    <cellStyle name="]_x000a__x000a_Width=797_x000a__x000a_Height=554_x000a__x000a__x000a__x000a_[Code]_x000a__x000a_Code0=/nyf50_x000a__x000a_Code1=4500000136_x000a__x000a_Code2=ME23_x000a__x000a_Code3=4500002322_x000a__x000a_Code4=#_x000a__x000a_Code5=MB01_x000a__x000a_" xfId="33" xr:uid="{00000000-0005-0000-0000-000020000000}"/>
    <cellStyle name="]_x000d__x000a_Width=797_x000d__x000a_Height=554_x000d__x000a__x000d__x000a_[Code]_x000d__x000a_Code0=/nyf50_x000d__x000a_Code1=4500000136_x000d__x000a_Code2=ME23_x000d__x000a_Code3=4500002322_x000d__x000a_Code4=#_x000d__x000a_Code5=MB01_x000d__x000a_" xfId="34" xr:uid="{00000000-0005-0000-0000-000021000000}"/>
    <cellStyle name="]_x000d__x000a_Width=797_x000d__x000a_Height=554_x000d__x000a__x000d__x000a_[Code]_x000d__x000a_Code0=/nyf50_x000d__x000a_Code1=4500000136_x000d__x000a_Code2=ME23_x000d__x000a_Code3=4500002322_x000d__x000a_Code4=#_x000d__x000a_Code5=MB01_x000d__x000a_ 2" xfId="35" xr:uid="{00000000-0005-0000-0000-000022000000}"/>
    <cellStyle name="]_x000d__x000a_Width=797_x000d__x000a_Height=554_x000d__x000a__x000d__x000a_[Code]_x000d__x000a_Code0=/nyf50_x000d__x000a_Code1=4500000136_x000d__x000a_Code2=ME23_x000d__x000a_Code3=4500002322_x000d__x000a_Code4=#_x000d__x000a_Code5=MB01_x000d__x000a_ 2 2" xfId="36" xr:uid="{00000000-0005-0000-0000-000023000000}"/>
    <cellStyle name="]_x000d__x000a_Width=797_x000d__x000a_Height=554_x000d__x000a__x000d__x000a_[Code]_x000d__x000a_Code0=/nyf50_x000d__x000a_Code1=4500000136_x000d__x000a_Code2=ME23_x000d__x000a_Code3=4500002322_x000d__x000a_Code4=#_x000d__x000a_Code5=MB01_x000d__x000a_ 3" xfId="37" xr:uid="{00000000-0005-0000-0000-000024000000}"/>
    <cellStyle name="]_x000d__x000a_Width=797_x000d__x000a_Height=554_x000d__x000a__x000d__x000a_[Code]_x000d__x000a_Code0=/nyf50_x000d__x000a_Code1=4500000136_x000d__x000a_Code2=ME23_x000d__x000a_Code3=4500002322_x000d__x000a_Code4=#_x000d__x000a_Code5=MB01_x000d__x000a_ 3 2" xfId="38" xr:uid="{00000000-0005-0000-0000-000025000000}"/>
    <cellStyle name="]_x000d__x000a_Width=797_x000d__x000a_Height=554_x000d__x000a__x000d__x000a_[Code]_x000d__x000a_Code0=/nyf50_x000d__x000a_Code1=4500000136_x000d__x000a_Code2=ME23_x000d__x000a_Code3=4500002322_x000d__x000a_Code4=#_x000d__x000a_Code5=MB01_x000d__x000a_ 4" xfId="39" xr:uid="{00000000-0005-0000-0000-000026000000}"/>
    <cellStyle name="]_x000d__x000a_Width=797_x000d__x000a_Height=554_x000d__x000a__x000d__x000a_[Code]_x000d__x000a_Code0=/nyf50_x000d__x000a_Code1=4500000136_x000d__x000a_Code2=ME23_x000d__x000a_Code3=4500002322_x000d__x000a_Code4=#_x000d__x000a_Code5=MB01_x000d__x000a__Copy of Capital Programme 2013-14  (to services) for Cabinet 2" xfId="40" xr:uid="{00000000-0005-0000-0000-000027000000}"/>
    <cellStyle name="]_x000d__x000a_Zoomed=1_x000d__x000a_Row=0_x000d__x000a_Column=0_x000d__x000a_Height=0_x000d__x000a_Width=0_x000d__x000a_FontName=FoxFont_x000d__x000a_FontStyle=0_x000d__x000a_FontSize=9_x000d__x000a_PrtFontName=FoxPrin" xfId="41" xr:uid="{00000000-0005-0000-0000-000028000000}"/>
    <cellStyle name="]_x000d__x000a_Zoomed=1_x000d__x000a_Row=0_x000d__x000a_Column=0_x000d__x000a_Height=0_x000d__x000a_Width=0_x000d__x000a_FontName=FoxFont_x000d__x000a_FontStyle=0_x000d__x000a_FontSize=9_x000d__x000a_PrtFontName=FoxPrin 2" xfId="42" xr:uid="{00000000-0005-0000-0000-000029000000}"/>
    <cellStyle name="]_x000d__x000a_Zoomed=1_x000d__x000a_Row=0_x000d__x000a_Column=0_x000d__x000a_Height=0_x000d__x000a_Width=0_x000d__x000a_FontName=FoxFont_x000d__x000a_FontStyle=0_x000d__x000a_FontSize=9_x000d__x000a_PrtFontName=FoxPrin 2 2" xfId="43" xr:uid="{00000000-0005-0000-0000-00002A000000}"/>
    <cellStyle name="]_x000d__x000a_Zoomed=1_x000d__x000a_Row=0_x000d__x000a_Column=0_x000d__x000a_Height=0_x000d__x000a_Width=0_x000d__x000a_FontName=FoxFont_x000d__x000a_FontStyle=0_x000d__x000a_FontSize=9_x000d__x000a_PrtFontName=FoxPrin 2 2 2" xfId="44" xr:uid="{00000000-0005-0000-0000-00002B000000}"/>
    <cellStyle name="]_x000d__x000a_Zoomed=1_x000d__x000a_Row=0_x000d__x000a_Column=0_x000d__x000a_Height=0_x000d__x000a_Width=0_x000d__x000a_FontName=FoxFont_x000d__x000a_FontStyle=0_x000d__x000a_FontSize=9_x000d__x000a_PrtFontName=FoxPrin 2 3" xfId="45" xr:uid="{00000000-0005-0000-0000-00002C000000}"/>
    <cellStyle name="]_x000d__x000a_Zoomed=1_x000d__x000a_Row=0_x000d__x000a_Column=0_x000d__x000a_Height=0_x000d__x000a_Width=0_x000d__x000a_FontName=FoxFont_x000d__x000a_FontStyle=0_x000d__x000a_FontSize=9_x000d__x000a_PrtFontName=FoxPrin 3" xfId="46" xr:uid="{00000000-0005-0000-0000-00002D000000}"/>
    <cellStyle name="]_x000d__x000a_Zoomed=1_x000d__x000a_Row=0_x000d__x000a_Column=0_x000d__x000a_Height=0_x000d__x000a_Width=0_x000d__x000a_FontName=FoxFont_x000d__x000a_FontStyle=0_x000d__x000a_FontSize=9_x000d__x000a_PrtFontName=FoxPrin 3 2" xfId="47" xr:uid="{00000000-0005-0000-0000-00002E000000}"/>
    <cellStyle name="]_x000d__x000a_Zoomed=1_x000d__x000a_Row=0_x000d__x000a_Column=0_x000d__x000a_Height=0_x000d__x000a_Width=0_x000d__x000a_FontName=FoxFont_x000d__x000a_FontStyle=0_x000d__x000a_FontSize=9_x000d__x000a_PrtFontName=FoxPrin 3_All Schools2" xfId="48" xr:uid="{00000000-0005-0000-0000-00002F000000}"/>
    <cellStyle name="]_x000d__x000a_Zoomed=1_x000d__x000a_Row=0_x000d__x000a_Column=0_x000d__x000a_Height=0_x000d__x000a_Width=0_x000d__x000a_FontName=FoxFont_x000d__x000a_FontStyle=0_x000d__x000a_FontSize=9_x000d__x000a_PrtFontName=FoxPrin 4" xfId="49" xr:uid="{00000000-0005-0000-0000-000030000000}"/>
    <cellStyle name="]_x000d__x000a_Zoomed=1_x000d__x000a_Row=0_x000d__x000a_Column=0_x000d__x000a_Height=0_x000d__x000a_Width=0_x000d__x000a_FontName=FoxFont_x000d__x000a_FontStyle=0_x000d__x000a_FontSize=9_x000d__x000a_PrtFontName=FoxPrin_All Schools2" xfId="50" xr:uid="{00000000-0005-0000-0000-000031000000}"/>
    <cellStyle name="_38006 University Academy Keighley MFG Calculation" xfId="51" xr:uid="{00000000-0005-0000-0000-000032000000}"/>
    <cellStyle name="~Product" xfId="52" xr:uid="{00000000-0005-0000-0000-000033000000}"/>
    <cellStyle name="~subhead" xfId="53" xr:uid="{00000000-0005-0000-0000-000034000000}"/>
    <cellStyle name="20 % - Accent1" xfId="54" xr:uid="{00000000-0005-0000-0000-000035000000}"/>
    <cellStyle name="20 % - Accent1 2" xfId="55" xr:uid="{00000000-0005-0000-0000-000036000000}"/>
    <cellStyle name="20 % - Accent2" xfId="56" xr:uid="{00000000-0005-0000-0000-000037000000}"/>
    <cellStyle name="20 % - Accent2 2" xfId="57" xr:uid="{00000000-0005-0000-0000-000038000000}"/>
    <cellStyle name="20 % - Accent3" xfId="58" xr:uid="{00000000-0005-0000-0000-000039000000}"/>
    <cellStyle name="20 % - Accent3 2" xfId="59" xr:uid="{00000000-0005-0000-0000-00003A000000}"/>
    <cellStyle name="20 % - Accent4" xfId="60" xr:uid="{00000000-0005-0000-0000-00003B000000}"/>
    <cellStyle name="20 % - Accent4 2" xfId="61" xr:uid="{00000000-0005-0000-0000-00003C000000}"/>
    <cellStyle name="20 % - Accent5" xfId="62" xr:uid="{00000000-0005-0000-0000-00003D000000}"/>
    <cellStyle name="20 % - Accent5 2" xfId="63" xr:uid="{00000000-0005-0000-0000-00003E000000}"/>
    <cellStyle name="20 % - Accent6" xfId="64" xr:uid="{00000000-0005-0000-0000-00003F000000}"/>
    <cellStyle name="20 % - Accent6 2" xfId="65" xr:uid="{00000000-0005-0000-0000-000040000000}"/>
    <cellStyle name="20% - Accent1" xfId="66" builtinId="30" customBuiltin="1"/>
    <cellStyle name="20% - Accent1 2" xfId="67" xr:uid="{00000000-0005-0000-0000-000042000000}"/>
    <cellStyle name="20% - Accent1 2 2" xfId="68" xr:uid="{00000000-0005-0000-0000-000043000000}"/>
    <cellStyle name="20% - Accent1 3" xfId="69" xr:uid="{00000000-0005-0000-0000-000044000000}"/>
    <cellStyle name="20% - Accent1 4" xfId="70" xr:uid="{00000000-0005-0000-0000-000045000000}"/>
    <cellStyle name="20% - Accent1 5" xfId="71" xr:uid="{00000000-0005-0000-0000-000046000000}"/>
    <cellStyle name="20% - Accent2" xfId="72" builtinId="34" customBuiltin="1"/>
    <cellStyle name="20% - Accent2 2" xfId="73" xr:uid="{00000000-0005-0000-0000-000048000000}"/>
    <cellStyle name="20% - Accent2 2 2" xfId="74" xr:uid="{00000000-0005-0000-0000-000049000000}"/>
    <cellStyle name="20% - Accent2 3" xfId="75" xr:uid="{00000000-0005-0000-0000-00004A000000}"/>
    <cellStyle name="20% - Accent2 4" xfId="76" xr:uid="{00000000-0005-0000-0000-00004B000000}"/>
    <cellStyle name="20% - Accent2 5" xfId="77" xr:uid="{00000000-0005-0000-0000-00004C000000}"/>
    <cellStyle name="20% - Accent3" xfId="78" builtinId="38" customBuiltin="1"/>
    <cellStyle name="20% - Accent3 2" xfId="79" xr:uid="{00000000-0005-0000-0000-00004E000000}"/>
    <cellStyle name="20% - Accent3 2 2" xfId="80" xr:uid="{00000000-0005-0000-0000-00004F000000}"/>
    <cellStyle name="20% - Accent3 3" xfId="81" xr:uid="{00000000-0005-0000-0000-000050000000}"/>
    <cellStyle name="20% - Accent3 4" xfId="82" xr:uid="{00000000-0005-0000-0000-000051000000}"/>
    <cellStyle name="20% - Accent3 5" xfId="83" xr:uid="{00000000-0005-0000-0000-000052000000}"/>
    <cellStyle name="20% - Accent4" xfId="84" builtinId="42" customBuiltin="1"/>
    <cellStyle name="20% - Accent4 2" xfId="85" xr:uid="{00000000-0005-0000-0000-000054000000}"/>
    <cellStyle name="20% - Accent4 2 2" xfId="86" xr:uid="{00000000-0005-0000-0000-000055000000}"/>
    <cellStyle name="20% - Accent4 3" xfId="87" xr:uid="{00000000-0005-0000-0000-000056000000}"/>
    <cellStyle name="20% - Accent4 4" xfId="88" xr:uid="{00000000-0005-0000-0000-000057000000}"/>
    <cellStyle name="20% - Accent4 5" xfId="89" xr:uid="{00000000-0005-0000-0000-000058000000}"/>
    <cellStyle name="20% - Accent5" xfId="90" builtinId="46" customBuiltin="1"/>
    <cellStyle name="20% - Accent5 2" xfId="91" xr:uid="{00000000-0005-0000-0000-00005A000000}"/>
    <cellStyle name="20% - Accent5 2 2" xfId="92" xr:uid="{00000000-0005-0000-0000-00005B000000}"/>
    <cellStyle name="20% - Accent5 3" xfId="93" xr:uid="{00000000-0005-0000-0000-00005C000000}"/>
    <cellStyle name="20% - Accent5 4" xfId="94" xr:uid="{00000000-0005-0000-0000-00005D000000}"/>
    <cellStyle name="20% - Accent5 5" xfId="95" xr:uid="{00000000-0005-0000-0000-00005E000000}"/>
    <cellStyle name="20% - Accent6" xfId="96" builtinId="50" customBuiltin="1"/>
    <cellStyle name="20% - Accent6 2" xfId="97" xr:uid="{00000000-0005-0000-0000-000060000000}"/>
    <cellStyle name="20% - Accent6 2 2" xfId="98" xr:uid="{00000000-0005-0000-0000-000061000000}"/>
    <cellStyle name="20% - Accent6 3" xfId="99" xr:uid="{00000000-0005-0000-0000-000062000000}"/>
    <cellStyle name="20% - Accent6 4" xfId="100" xr:uid="{00000000-0005-0000-0000-000063000000}"/>
    <cellStyle name="20% - Accent6 5" xfId="101" xr:uid="{00000000-0005-0000-0000-000064000000}"/>
    <cellStyle name="40 % - Accent1" xfId="102" xr:uid="{00000000-0005-0000-0000-000065000000}"/>
    <cellStyle name="40 % - Accent1 2" xfId="103" xr:uid="{00000000-0005-0000-0000-000066000000}"/>
    <cellStyle name="40 % - Accent2" xfId="104" xr:uid="{00000000-0005-0000-0000-000067000000}"/>
    <cellStyle name="40 % - Accent2 2" xfId="105" xr:uid="{00000000-0005-0000-0000-000068000000}"/>
    <cellStyle name="40 % - Accent3" xfId="106" xr:uid="{00000000-0005-0000-0000-000069000000}"/>
    <cellStyle name="40 % - Accent3 2" xfId="107" xr:uid="{00000000-0005-0000-0000-00006A000000}"/>
    <cellStyle name="40 % - Accent4" xfId="108" xr:uid="{00000000-0005-0000-0000-00006B000000}"/>
    <cellStyle name="40 % - Accent4 2" xfId="109" xr:uid="{00000000-0005-0000-0000-00006C000000}"/>
    <cellStyle name="40 % - Accent5" xfId="110" xr:uid="{00000000-0005-0000-0000-00006D000000}"/>
    <cellStyle name="40 % - Accent5 2" xfId="111" xr:uid="{00000000-0005-0000-0000-00006E000000}"/>
    <cellStyle name="40 % - Accent6" xfId="112" xr:uid="{00000000-0005-0000-0000-00006F000000}"/>
    <cellStyle name="40 % - Accent6 2" xfId="113" xr:uid="{00000000-0005-0000-0000-000070000000}"/>
    <cellStyle name="40% - Accent1" xfId="114" builtinId="31" customBuiltin="1"/>
    <cellStyle name="40% - Accent1 2" xfId="115" xr:uid="{00000000-0005-0000-0000-000072000000}"/>
    <cellStyle name="40% - Accent1 2 2" xfId="116" xr:uid="{00000000-0005-0000-0000-000073000000}"/>
    <cellStyle name="40% - Accent1 3" xfId="117" xr:uid="{00000000-0005-0000-0000-000074000000}"/>
    <cellStyle name="40% - Accent1 4" xfId="118" xr:uid="{00000000-0005-0000-0000-000075000000}"/>
    <cellStyle name="40% - Accent1 5" xfId="119" xr:uid="{00000000-0005-0000-0000-000076000000}"/>
    <cellStyle name="40% - Accent2" xfId="120" builtinId="35" customBuiltin="1"/>
    <cellStyle name="40% - Accent2 2" xfId="121" xr:uid="{00000000-0005-0000-0000-000078000000}"/>
    <cellStyle name="40% - Accent2 2 2" xfId="122" xr:uid="{00000000-0005-0000-0000-000079000000}"/>
    <cellStyle name="40% - Accent2 3" xfId="123" xr:uid="{00000000-0005-0000-0000-00007A000000}"/>
    <cellStyle name="40% - Accent2 4" xfId="124" xr:uid="{00000000-0005-0000-0000-00007B000000}"/>
    <cellStyle name="40% - Accent2 5" xfId="125" xr:uid="{00000000-0005-0000-0000-00007C000000}"/>
    <cellStyle name="40% - Accent3" xfId="126" builtinId="39" customBuiltin="1"/>
    <cellStyle name="40% - Accent3 2" xfId="127" xr:uid="{00000000-0005-0000-0000-00007E000000}"/>
    <cellStyle name="40% - Accent3 2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4" xfId="132" builtinId="43" customBuiltin="1"/>
    <cellStyle name="40% - Accent4 2" xfId="133" xr:uid="{00000000-0005-0000-0000-000084000000}"/>
    <cellStyle name="40% - Accent4 2 2" xfId="134" xr:uid="{00000000-0005-0000-0000-000085000000}"/>
    <cellStyle name="40% - Accent4 3" xfId="135" xr:uid="{00000000-0005-0000-0000-000086000000}"/>
    <cellStyle name="40% - Accent4 4" xfId="136" xr:uid="{00000000-0005-0000-0000-000087000000}"/>
    <cellStyle name="40% - Accent4 5" xfId="137" xr:uid="{00000000-0005-0000-0000-000088000000}"/>
    <cellStyle name="40% - Accent5" xfId="138" builtinId="47" customBuiltin="1"/>
    <cellStyle name="40% - Accent5 2" xfId="139" xr:uid="{00000000-0005-0000-0000-00008A000000}"/>
    <cellStyle name="40% - Accent5 2 2" xfId="140" xr:uid="{00000000-0005-0000-0000-00008B000000}"/>
    <cellStyle name="40% - Accent5 3" xfId="141" xr:uid="{00000000-0005-0000-0000-00008C000000}"/>
    <cellStyle name="40% - Accent5 4" xfId="142" xr:uid="{00000000-0005-0000-0000-00008D000000}"/>
    <cellStyle name="40% - Accent5 5" xfId="143" xr:uid="{00000000-0005-0000-0000-00008E000000}"/>
    <cellStyle name="40% - Accent6" xfId="144" builtinId="51" customBuiltin="1"/>
    <cellStyle name="40% - Accent6 2" xfId="145" xr:uid="{00000000-0005-0000-0000-000090000000}"/>
    <cellStyle name="40% - Accent6 2 2" xfId="146" xr:uid="{00000000-0005-0000-0000-000091000000}"/>
    <cellStyle name="40% - Accent6 3" xfId="147" xr:uid="{00000000-0005-0000-0000-000092000000}"/>
    <cellStyle name="40% - Accent6 4" xfId="148" xr:uid="{00000000-0005-0000-0000-000093000000}"/>
    <cellStyle name="40% - Accent6 5" xfId="149" xr:uid="{00000000-0005-0000-0000-000094000000}"/>
    <cellStyle name="60 % - Accent1" xfId="150" xr:uid="{00000000-0005-0000-0000-000095000000}"/>
    <cellStyle name="60 % - Accent2" xfId="151" xr:uid="{00000000-0005-0000-0000-000096000000}"/>
    <cellStyle name="60 % - Accent3" xfId="152" xr:uid="{00000000-0005-0000-0000-000097000000}"/>
    <cellStyle name="60 % - Accent4" xfId="153" xr:uid="{00000000-0005-0000-0000-000098000000}"/>
    <cellStyle name="60 % - Accent5" xfId="154" xr:uid="{00000000-0005-0000-0000-000099000000}"/>
    <cellStyle name="60 % - Accent6" xfId="155" xr:uid="{00000000-0005-0000-0000-00009A000000}"/>
    <cellStyle name="60% - Accent1" xfId="156" builtinId="32" customBuiltin="1"/>
    <cellStyle name="60% - Accent1 2" xfId="157" xr:uid="{00000000-0005-0000-0000-00009C000000}"/>
    <cellStyle name="60% - Accent1 2 2" xfId="158" xr:uid="{00000000-0005-0000-0000-00009D000000}"/>
    <cellStyle name="60% - Accent1 3" xfId="159" xr:uid="{00000000-0005-0000-0000-00009E000000}"/>
    <cellStyle name="60% - Accent1 4" xfId="160" xr:uid="{00000000-0005-0000-0000-00009F000000}"/>
    <cellStyle name="60% - Accent1 5" xfId="161" xr:uid="{00000000-0005-0000-0000-0000A0000000}"/>
    <cellStyle name="60% - Accent2" xfId="162" builtinId="36" customBuiltin="1"/>
    <cellStyle name="60% - Accent2 2" xfId="163" xr:uid="{00000000-0005-0000-0000-0000A2000000}"/>
    <cellStyle name="60% - Accent2 2 2" xfId="164" xr:uid="{00000000-0005-0000-0000-0000A3000000}"/>
    <cellStyle name="60% - Accent2 3" xfId="165" xr:uid="{00000000-0005-0000-0000-0000A4000000}"/>
    <cellStyle name="60% - Accent2 4" xfId="166" xr:uid="{00000000-0005-0000-0000-0000A5000000}"/>
    <cellStyle name="60% - Accent2 5" xfId="167" xr:uid="{00000000-0005-0000-0000-0000A6000000}"/>
    <cellStyle name="60% - Accent3" xfId="168" builtinId="40" customBuiltin="1"/>
    <cellStyle name="60% - Accent3 2" xfId="169" xr:uid="{00000000-0005-0000-0000-0000A8000000}"/>
    <cellStyle name="60% - Accent3 2 2" xfId="170" xr:uid="{00000000-0005-0000-0000-0000A9000000}"/>
    <cellStyle name="60% - Accent3 3" xfId="171" xr:uid="{00000000-0005-0000-0000-0000AA000000}"/>
    <cellStyle name="60% - Accent3 4" xfId="172" xr:uid="{00000000-0005-0000-0000-0000AB000000}"/>
    <cellStyle name="60% - Accent3 5" xfId="173" xr:uid="{00000000-0005-0000-0000-0000AC000000}"/>
    <cellStyle name="60% - Accent4" xfId="174" builtinId="44" customBuiltin="1"/>
    <cellStyle name="60% - Accent4 2" xfId="175" xr:uid="{00000000-0005-0000-0000-0000AE000000}"/>
    <cellStyle name="60% - Accent4 2 2" xfId="176" xr:uid="{00000000-0005-0000-0000-0000AF000000}"/>
    <cellStyle name="60% - Accent4 3" xfId="177" xr:uid="{00000000-0005-0000-0000-0000B0000000}"/>
    <cellStyle name="60% - Accent4 4" xfId="178" xr:uid="{00000000-0005-0000-0000-0000B1000000}"/>
    <cellStyle name="60% - Accent4 5" xfId="179" xr:uid="{00000000-0005-0000-0000-0000B2000000}"/>
    <cellStyle name="60% - Accent5" xfId="180" builtinId="48" customBuiltin="1"/>
    <cellStyle name="60% - Accent5 2" xfId="181" xr:uid="{00000000-0005-0000-0000-0000B4000000}"/>
    <cellStyle name="60% - Accent5 2 2" xfId="182" xr:uid="{00000000-0005-0000-0000-0000B5000000}"/>
    <cellStyle name="60% - Accent5 3" xfId="183" xr:uid="{00000000-0005-0000-0000-0000B6000000}"/>
    <cellStyle name="60% - Accent5 4" xfId="184" xr:uid="{00000000-0005-0000-0000-0000B7000000}"/>
    <cellStyle name="60% - Accent5 5" xfId="185" xr:uid="{00000000-0005-0000-0000-0000B8000000}"/>
    <cellStyle name="60% - Accent6" xfId="186" builtinId="52" customBuiltin="1"/>
    <cellStyle name="60% - Accent6 2" xfId="187" xr:uid="{00000000-0005-0000-0000-0000BA000000}"/>
    <cellStyle name="60% - Accent6 2 2" xfId="188" xr:uid="{00000000-0005-0000-0000-0000BB000000}"/>
    <cellStyle name="60% - Accent6 3" xfId="189" xr:uid="{00000000-0005-0000-0000-0000BC000000}"/>
    <cellStyle name="60% - Accent6 4" xfId="190" xr:uid="{00000000-0005-0000-0000-0000BD000000}"/>
    <cellStyle name="60% - Accent6 5" xfId="191" xr:uid="{00000000-0005-0000-0000-0000BE000000}"/>
    <cellStyle name="Accent1" xfId="192" builtinId="29" customBuiltin="1"/>
    <cellStyle name="Accent1 2" xfId="193" xr:uid="{00000000-0005-0000-0000-0000C0000000}"/>
    <cellStyle name="Accent1 2 2" xfId="194" xr:uid="{00000000-0005-0000-0000-0000C1000000}"/>
    <cellStyle name="Accent1 3" xfId="195" xr:uid="{00000000-0005-0000-0000-0000C2000000}"/>
    <cellStyle name="Accent1 4" xfId="196" xr:uid="{00000000-0005-0000-0000-0000C3000000}"/>
    <cellStyle name="Accent1 5" xfId="197" xr:uid="{00000000-0005-0000-0000-0000C4000000}"/>
    <cellStyle name="Accent2" xfId="198" builtinId="33" customBuiltin="1"/>
    <cellStyle name="Accent2 2" xfId="199" xr:uid="{00000000-0005-0000-0000-0000C6000000}"/>
    <cellStyle name="Accent2 2 2" xfId="200" xr:uid="{00000000-0005-0000-0000-0000C7000000}"/>
    <cellStyle name="Accent2 3" xfId="201" xr:uid="{00000000-0005-0000-0000-0000C8000000}"/>
    <cellStyle name="Accent2 4" xfId="202" xr:uid="{00000000-0005-0000-0000-0000C9000000}"/>
    <cellStyle name="Accent2 5" xfId="203" xr:uid="{00000000-0005-0000-0000-0000CA000000}"/>
    <cellStyle name="Accent3" xfId="204" builtinId="37" customBuiltin="1"/>
    <cellStyle name="Accent3 2" xfId="205" xr:uid="{00000000-0005-0000-0000-0000CC000000}"/>
    <cellStyle name="Accent3 2 2" xfId="206" xr:uid="{00000000-0005-0000-0000-0000CD000000}"/>
    <cellStyle name="Accent3 3" xfId="207" xr:uid="{00000000-0005-0000-0000-0000CE000000}"/>
    <cellStyle name="Accent3 4" xfId="208" xr:uid="{00000000-0005-0000-0000-0000CF000000}"/>
    <cellStyle name="Accent3 5" xfId="209" xr:uid="{00000000-0005-0000-0000-0000D0000000}"/>
    <cellStyle name="Accent4" xfId="210" builtinId="41" customBuiltin="1"/>
    <cellStyle name="Accent4 2" xfId="211" xr:uid="{00000000-0005-0000-0000-0000D2000000}"/>
    <cellStyle name="Accent4 2 2" xfId="212" xr:uid="{00000000-0005-0000-0000-0000D3000000}"/>
    <cellStyle name="Accent4 3" xfId="213" xr:uid="{00000000-0005-0000-0000-0000D4000000}"/>
    <cellStyle name="Accent4 4" xfId="214" xr:uid="{00000000-0005-0000-0000-0000D5000000}"/>
    <cellStyle name="Accent4 5" xfId="215" xr:uid="{00000000-0005-0000-0000-0000D6000000}"/>
    <cellStyle name="Accent5" xfId="216" builtinId="45" customBuiltin="1"/>
    <cellStyle name="Accent5 2" xfId="217" xr:uid="{00000000-0005-0000-0000-0000D8000000}"/>
    <cellStyle name="Accent5 2 2" xfId="218" xr:uid="{00000000-0005-0000-0000-0000D9000000}"/>
    <cellStyle name="Accent5 3" xfId="219" xr:uid="{00000000-0005-0000-0000-0000DA000000}"/>
    <cellStyle name="Accent5 4" xfId="220" xr:uid="{00000000-0005-0000-0000-0000DB000000}"/>
    <cellStyle name="Accent5 5" xfId="221" xr:uid="{00000000-0005-0000-0000-0000DC000000}"/>
    <cellStyle name="Accent6" xfId="222" builtinId="49" customBuiltin="1"/>
    <cellStyle name="Accent6 2" xfId="223" xr:uid="{00000000-0005-0000-0000-0000DE000000}"/>
    <cellStyle name="Accent6 2 2" xfId="224" xr:uid="{00000000-0005-0000-0000-0000DF000000}"/>
    <cellStyle name="Accent6 3" xfId="225" xr:uid="{00000000-0005-0000-0000-0000E0000000}"/>
    <cellStyle name="Accent6 4" xfId="226" xr:uid="{00000000-0005-0000-0000-0000E1000000}"/>
    <cellStyle name="Accent6 5" xfId="227" xr:uid="{00000000-0005-0000-0000-0000E2000000}"/>
    <cellStyle name="active" xfId="228" xr:uid="{00000000-0005-0000-0000-0000E3000000}"/>
    <cellStyle name="Avertissement" xfId="229" xr:uid="{00000000-0005-0000-0000-0000E4000000}"/>
    <cellStyle name="Bad" xfId="230" builtinId="27" customBuiltin="1"/>
    <cellStyle name="Bad 2" xfId="231" xr:uid="{00000000-0005-0000-0000-0000E6000000}"/>
    <cellStyle name="Bad 2 2" xfId="232" xr:uid="{00000000-0005-0000-0000-0000E7000000}"/>
    <cellStyle name="Bad 3" xfId="233" xr:uid="{00000000-0005-0000-0000-0000E8000000}"/>
    <cellStyle name="Bad 4" xfId="234" xr:uid="{00000000-0005-0000-0000-0000E9000000}"/>
    <cellStyle name="Bad 5" xfId="235" xr:uid="{00000000-0005-0000-0000-0000EA000000}"/>
    <cellStyle name="Calc Currency (0)" xfId="236" xr:uid="{00000000-0005-0000-0000-0000EB000000}"/>
    <cellStyle name="Calc Currency (2)" xfId="237" xr:uid="{00000000-0005-0000-0000-0000EC000000}"/>
    <cellStyle name="Calc Percent (0)" xfId="238" xr:uid="{00000000-0005-0000-0000-0000ED000000}"/>
    <cellStyle name="Calc Percent (1)" xfId="239" xr:uid="{00000000-0005-0000-0000-0000EE000000}"/>
    <cellStyle name="Calc Percent (2)" xfId="240" xr:uid="{00000000-0005-0000-0000-0000EF000000}"/>
    <cellStyle name="Calc Units (0)" xfId="241" xr:uid="{00000000-0005-0000-0000-0000F0000000}"/>
    <cellStyle name="Calc Units (1)" xfId="242" xr:uid="{00000000-0005-0000-0000-0000F1000000}"/>
    <cellStyle name="Calc Units (2)" xfId="243" xr:uid="{00000000-0005-0000-0000-0000F2000000}"/>
    <cellStyle name="Calcul" xfId="244" xr:uid="{00000000-0005-0000-0000-0000F3000000}"/>
    <cellStyle name="Calculation" xfId="245" builtinId="22" customBuiltin="1"/>
    <cellStyle name="Calculation 2" xfId="246" xr:uid="{00000000-0005-0000-0000-0000F5000000}"/>
    <cellStyle name="Calculation 2 2" xfId="247" xr:uid="{00000000-0005-0000-0000-0000F6000000}"/>
    <cellStyle name="Calculation 2 2 2" xfId="248" xr:uid="{00000000-0005-0000-0000-0000F7000000}"/>
    <cellStyle name="Calculation 2 2 2 2" xfId="249" xr:uid="{00000000-0005-0000-0000-0000F8000000}"/>
    <cellStyle name="Calculation 2 2 2 3" xfId="250" xr:uid="{00000000-0005-0000-0000-0000F9000000}"/>
    <cellStyle name="Calculation 2 2 3" xfId="251" xr:uid="{00000000-0005-0000-0000-0000FA000000}"/>
    <cellStyle name="Calculation 2 2 4" xfId="252" xr:uid="{00000000-0005-0000-0000-0000FB000000}"/>
    <cellStyle name="Calculation 2 3" xfId="253" xr:uid="{00000000-0005-0000-0000-0000FC000000}"/>
    <cellStyle name="Calculation 2 3 2" xfId="254" xr:uid="{00000000-0005-0000-0000-0000FD000000}"/>
    <cellStyle name="Calculation 2 3 3" xfId="255" xr:uid="{00000000-0005-0000-0000-0000FE000000}"/>
    <cellStyle name="Calculation 2 4" xfId="256" xr:uid="{00000000-0005-0000-0000-0000FF000000}"/>
    <cellStyle name="Calculation 2 4 2" xfId="257" xr:uid="{00000000-0005-0000-0000-000000010000}"/>
    <cellStyle name="Calculation 2 4 3" xfId="258" xr:uid="{00000000-0005-0000-0000-000001010000}"/>
    <cellStyle name="Calculation 2 5" xfId="259" xr:uid="{00000000-0005-0000-0000-000002010000}"/>
    <cellStyle name="Calculation 3" xfId="260" xr:uid="{00000000-0005-0000-0000-000003010000}"/>
    <cellStyle name="Calculation 3 2" xfId="261" xr:uid="{00000000-0005-0000-0000-000004010000}"/>
    <cellStyle name="Calculation 3 2 2" xfId="262" xr:uid="{00000000-0005-0000-0000-000005010000}"/>
    <cellStyle name="Calculation 3 2 2 2" xfId="263" xr:uid="{00000000-0005-0000-0000-000006010000}"/>
    <cellStyle name="Calculation 3 2 2 3" xfId="264" xr:uid="{00000000-0005-0000-0000-000007010000}"/>
    <cellStyle name="Calculation 3 2 3" xfId="265" xr:uid="{00000000-0005-0000-0000-000008010000}"/>
    <cellStyle name="Calculation 3 2 4" xfId="266" xr:uid="{00000000-0005-0000-0000-000009010000}"/>
    <cellStyle name="Calculation 3 3" xfId="267" xr:uid="{00000000-0005-0000-0000-00000A010000}"/>
    <cellStyle name="Calculation 3 3 2" xfId="268" xr:uid="{00000000-0005-0000-0000-00000B010000}"/>
    <cellStyle name="Calculation 3 3 3" xfId="269" xr:uid="{00000000-0005-0000-0000-00000C010000}"/>
    <cellStyle name="Calculation 3 4" xfId="270" xr:uid="{00000000-0005-0000-0000-00000D010000}"/>
    <cellStyle name="Calculation 3 4 2" xfId="271" xr:uid="{00000000-0005-0000-0000-00000E010000}"/>
    <cellStyle name="Calculation 3 4 3" xfId="272" xr:uid="{00000000-0005-0000-0000-00000F010000}"/>
    <cellStyle name="Calculation 3 5" xfId="273" xr:uid="{00000000-0005-0000-0000-000010010000}"/>
    <cellStyle name="Calculation 4" xfId="274" xr:uid="{00000000-0005-0000-0000-000011010000}"/>
    <cellStyle name="Calculation 4 2" xfId="275" xr:uid="{00000000-0005-0000-0000-000012010000}"/>
    <cellStyle name="Calculation 4 2 2" xfId="276" xr:uid="{00000000-0005-0000-0000-000013010000}"/>
    <cellStyle name="Calculation 4 2 2 2" xfId="277" xr:uid="{00000000-0005-0000-0000-000014010000}"/>
    <cellStyle name="Calculation 4 2 2 3" xfId="278" xr:uid="{00000000-0005-0000-0000-000015010000}"/>
    <cellStyle name="Calculation 4 2 3" xfId="279" xr:uid="{00000000-0005-0000-0000-000016010000}"/>
    <cellStyle name="Calculation 4 2 4" xfId="280" xr:uid="{00000000-0005-0000-0000-000017010000}"/>
    <cellStyle name="Calculation 4 3" xfId="281" xr:uid="{00000000-0005-0000-0000-000018010000}"/>
    <cellStyle name="Calculation 4 3 2" xfId="282" xr:uid="{00000000-0005-0000-0000-000019010000}"/>
    <cellStyle name="Calculation 4 3 3" xfId="283" xr:uid="{00000000-0005-0000-0000-00001A010000}"/>
    <cellStyle name="Calculation 4 4" xfId="284" xr:uid="{00000000-0005-0000-0000-00001B010000}"/>
    <cellStyle name="Calculation 4 4 2" xfId="285" xr:uid="{00000000-0005-0000-0000-00001C010000}"/>
    <cellStyle name="Calculation 4 4 3" xfId="286" xr:uid="{00000000-0005-0000-0000-00001D010000}"/>
    <cellStyle name="Calculation 4 5" xfId="287" xr:uid="{00000000-0005-0000-0000-00001E010000}"/>
    <cellStyle name="Calculation 5" xfId="288" xr:uid="{00000000-0005-0000-0000-00001F010000}"/>
    <cellStyle name="Calculation 5 2" xfId="289" xr:uid="{00000000-0005-0000-0000-000020010000}"/>
    <cellStyle name="Calculation 5 2 2" xfId="290" xr:uid="{00000000-0005-0000-0000-000021010000}"/>
    <cellStyle name="Calculation 5 2 3" xfId="291" xr:uid="{00000000-0005-0000-0000-000022010000}"/>
    <cellStyle name="Calculation 5 3" xfId="292" xr:uid="{00000000-0005-0000-0000-000023010000}"/>
    <cellStyle name="Calculation 5 4" xfId="293" xr:uid="{00000000-0005-0000-0000-000024010000}"/>
    <cellStyle name="Calculation 6" xfId="294" xr:uid="{00000000-0005-0000-0000-000025010000}"/>
    <cellStyle name="Calculation 6 2" xfId="295" xr:uid="{00000000-0005-0000-0000-000026010000}"/>
    <cellStyle name="Calculation 6 2 2" xfId="296" xr:uid="{00000000-0005-0000-0000-000027010000}"/>
    <cellStyle name="Calculation 6 2 3" xfId="297" xr:uid="{00000000-0005-0000-0000-000028010000}"/>
    <cellStyle name="Calculation 6 3" xfId="298" xr:uid="{00000000-0005-0000-0000-000029010000}"/>
    <cellStyle name="Calculation 6 4" xfId="299" xr:uid="{00000000-0005-0000-0000-00002A010000}"/>
    <cellStyle name="Calculation 7" xfId="300" xr:uid="{00000000-0005-0000-0000-00002B010000}"/>
    <cellStyle name="Calculation 7 2" xfId="301" xr:uid="{00000000-0005-0000-0000-00002C010000}"/>
    <cellStyle name="Calculation 7 3" xfId="302" xr:uid="{00000000-0005-0000-0000-00002D010000}"/>
    <cellStyle name="Calculation 8" xfId="303" xr:uid="{00000000-0005-0000-0000-00002E010000}"/>
    <cellStyle name="Cellule liée" xfId="304" xr:uid="{00000000-0005-0000-0000-00002F010000}"/>
    <cellStyle name="centre across selection" xfId="305" xr:uid="{00000000-0005-0000-0000-000030010000}"/>
    <cellStyle name="Check Cell" xfId="306" builtinId="23" customBuiltin="1"/>
    <cellStyle name="Check Cell 2" xfId="307" xr:uid="{00000000-0005-0000-0000-000032010000}"/>
    <cellStyle name="Check Cell 2 2" xfId="308" xr:uid="{00000000-0005-0000-0000-000033010000}"/>
    <cellStyle name="Check Cell 3" xfId="309" xr:uid="{00000000-0005-0000-0000-000034010000}"/>
    <cellStyle name="Check Cell 4" xfId="310" xr:uid="{00000000-0005-0000-0000-000035010000}"/>
    <cellStyle name="Check Cell 5" xfId="311" xr:uid="{00000000-0005-0000-0000-000036010000}"/>
    <cellStyle name="Comma" xfId="312" builtinId="3"/>
    <cellStyle name="Comma [00]" xfId="313" xr:uid="{00000000-0005-0000-0000-000038010000}"/>
    <cellStyle name="Comma 10" xfId="314" xr:uid="{00000000-0005-0000-0000-000039010000}"/>
    <cellStyle name="Comma 10 2" xfId="315" xr:uid="{00000000-0005-0000-0000-00003A010000}"/>
    <cellStyle name="Comma 11" xfId="316" xr:uid="{00000000-0005-0000-0000-00003B010000}"/>
    <cellStyle name="Comma 12" xfId="317" xr:uid="{00000000-0005-0000-0000-00003C010000}"/>
    <cellStyle name="Comma 13" xfId="318" xr:uid="{00000000-0005-0000-0000-00003D010000}"/>
    <cellStyle name="Comma 2" xfId="319" xr:uid="{00000000-0005-0000-0000-00003E010000}"/>
    <cellStyle name="Comma 2 10" xfId="320" xr:uid="{00000000-0005-0000-0000-00003F010000}"/>
    <cellStyle name="Comma 2 11" xfId="321" xr:uid="{00000000-0005-0000-0000-000040010000}"/>
    <cellStyle name="Comma 2 12" xfId="322" xr:uid="{00000000-0005-0000-0000-000041010000}"/>
    <cellStyle name="Comma 2 12 2" xfId="323" xr:uid="{00000000-0005-0000-0000-000042010000}"/>
    <cellStyle name="Comma 2 13" xfId="324" xr:uid="{00000000-0005-0000-0000-000043010000}"/>
    <cellStyle name="Comma 2 13 2" xfId="325" xr:uid="{00000000-0005-0000-0000-000044010000}"/>
    <cellStyle name="Comma 2 14" xfId="326" xr:uid="{00000000-0005-0000-0000-000045010000}"/>
    <cellStyle name="Comma 2 2" xfId="327" xr:uid="{00000000-0005-0000-0000-000046010000}"/>
    <cellStyle name="Comma 2 2 2" xfId="328" xr:uid="{00000000-0005-0000-0000-000047010000}"/>
    <cellStyle name="Comma 2 2 2 2" xfId="329" xr:uid="{00000000-0005-0000-0000-000048010000}"/>
    <cellStyle name="Comma 2 3" xfId="330" xr:uid="{00000000-0005-0000-0000-000049010000}"/>
    <cellStyle name="Comma 2 4" xfId="331" xr:uid="{00000000-0005-0000-0000-00004A010000}"/>
    <cellStyle name="Comma 2 5" xfId="332" xr:uid="{00000000-0005-0000-0000-00004B010000}"/>
    <cellStyle name="Comma 2 6" xfId="333" xr:uid="{00000000-0005-0000-0000-00004C010000}"/>
    <cellStyle name="Comma 2 7" xfId="334" xr:uid="{00000000-0005-0000-0000-00004D010000}"/>
    <cellStyle name="Comma 2 8" xfId="335" xr:uid="{00000000-0005-0000-0000-00004E010000}"/>
    <cellStyle name="Comma 2 9" xfId="336" xr:uid="{00000000-0005-0000-0000-00004F010000}"/>
    <cellStyle name="Comma 3" xfId="337" xr:uid="{00000000-0005-0000-0000-000050010000}"/>
    <cellStyle name="Comma 3 2" xfId="338" xr:uid="{00000000-0005-0000-0000-000051010000}"/>
    <cellStyle name="Comma 4" xfId="339" xr:uid="{00000000-0005-0000-0000-000052010000}"/>
    <cellStyle name="Comma 4 2" xfId="340" xr:uid="{00000000-0005-0000-0000-000053010000}"/>
    <cellStyle name="Comma 5" xfId="341" xr:uid="{00000000-0005-0000-0000-000054010000}"/>
    <cellStyle name="Comma 5 2" xfId="342" xr:uid="{00000000-0005-0000-0000-000055010000}"/>
    <cellStyle name="Comma 6" xfId="343" xr:uid="{00000000-0005-0000-0000-000056010000}"/>
    <cellStyle name="Comma 6 2" xfId="344" xr:uid="{00000000-0005-0000-0000-000057010000}"/>
    <cellStyle name="Comma 7" xfId="345" xr:uid="{00000000-0005-0000-0000-000058010000}"/>
    <cellStyle name="Comma 7 2" xfId="346" xr:uid="{00000000-0005-0000-0000-000059010000}"/>
    <cellStyle name="Comma 7 3" xfId="347" xr:uid="{00000000-0005-0000-0000-00005A010000}"/>
    <cellStyle name="Comma 8" xfId="348" xr:uid="{00000000-0005-0000-0000-00005B010000}"/>
    <cellStyle name="Comma 8 2" xfId="349" xr:uid="{00000000-0005-0000-0000-00005C010000}"/>
    <cellStyle name="Comma 9" xfId="350" xr:uid="{00000000-0005-0000-0000-00005D010000}"/>
    <cellStyle name="Comma 9 2" xfId="351" xr:uid="{00000000-0005-0000-0000-00005E010000}"/>
    <cellStyle name="Comma0" xfId="352" xr:uid="{00000000-0005-0000-0000-00005F010000}"/>
    <cellStyle name="Commentaire" xfId="353" xr:uid="{00000000-0005-0000-0000-000060010000}"/>
    <cellStyle name="Currency [00]" xfId="354" xr:uid="{00000000-0005-0000-0000-000061010000}"/>
    <cellStyle name="Currency 10" xfId="355" xr:uid="{00000000-0005-0000-0000-000062010000}"/>
    <cellStyle name="Currency 11" xfId="356" xr:uid="{00000000-0005-0000-0000-000063010000}"/>
    <cellStyle name="Currency 12" xfId="357" xr:uid="{00000000-0005-0000-0000-000064010000}"/>
    <cellStyle name="Currency 13" xfId="358" xr:uid="{00000000-0005-0000-0000-000065010000}"/>
    <cellStyle name="Currency 14" xfId="359" xr:uid="{00000000-0005-0000-0000-000066010000}"/>
    <cellStyle name="Currency 15" xfId="360" xr:uid="{00000000-0005-0000-0000-000067010000}"/>
    <cellStyle name="Currency 16" xfId="361" xr:uid="{00000000-0005-0000-0000-000068010000}"/>
    <cellStyle name="Currency 17" xfId="1075" xr:uid="{573675FE-9363-4971-A4E2-D32AFCD144CF}"/>
    <cellStyle name="Currency 18" xfId="1078" xr:uid="{4E071998-3549-49F2-94B7-470F7411367A}"/>
    <cellStyle name="Currency 19" xfId="1081" xr:uid="{2DB7C1DE-24FC-4004-A940-75EA125DA7CB}"/>
    <cellStyle name="Currency 2" xfId="362" xr:uid="{00000000-0005-0000-0000-000069010000}"/>
    <cellStyle name="Currency 2 2" xfId="363" xr:uid="{00000000-0005-0000-0000-00006A010000}"/>
    <cellStyle name="Currency 2 2 2" xfId="364" xr:uid="{00000000-0005-0000-0000-00006B010000}"/>
    <cellStyle name="Currency 2 3" xfId="365" xr:uid="{00000000-0005-0000-0000-00006C010000}"/>
    <cellStyle name="Currency 2 4" xfId="1082" xr:uid="{8A364A3A-9524-403F-86D5-DC71F9FB4DF7}"/>
    <cellStyle name="Currency 3" xfId="366" xr:uid="{00000000-0005-0000-0000-00006D010000}"/>
    <cellStyle name="Currency 3 2" xfId="367" xr:uid="{00000000-0005-0000-0000-00006E010000}"/>
    <cellStyle name="Currency 3 3" xfId="368" xr:uid="{00000000-0005-0000-0000-00006F010000}"/>
    <cellStyle name="Currency 4" xfId="369" xr:uid="{00000000-0005-0000-0000-000070010000}"/>
    <cellStyle name="Currency 5" xfId="370" xr:uid="{00000000-0005-0000-0000-000071010000}"/>
    <cellStyle name="Currency 6" xfId="371" xr:uid="{00000000-0005-0000-0000-000072010000}"/>
    <cellStyle name="Currency 7" xfId="372" xr:uid="{00000000-0005-0000-0000-000073010000}"/>
    <cellStyle name="Currency 8" xfId="373" xr:uid="{00000000-0005-0000-0000-000074010000}"/>
    <cellStyle name="Currency 9" xfId="374" xr:uid="{00000000-0005-0000-0000-000075010000}"/>
    <cellStyle name="Currency0" xfId="375" xr:uid="{00000000-0005-0000-0000-000076010000}"/>
    <cellStyle name="dak" xfId="376" xr:uid="{00000000-0005-0000-0000-000077010000}"/>
    <cellStyle name="Date" xfId="377" xr:uid="{00000000-0005-0000-0000-000078010000}"/>
    <cellStyle name="Date Short" xfId="378" xr:uid="{00000000-0005-0000-0000-000079010000}"/>
    <cellStyle name="DetailStyleText" xfId="379" xr:uid="{00000000-0005-0000-0000-00007A010000}"/>
    <cellStyle name="Emphasis 1" xfId="380" xr:uid="{00000000-0005-0000-0000-00007B010000}"/>
    <cellStyle name="Emphasis 2" xfId="381" xr:uid="{00000000-0005-0000-0000-00007C010000}"/>
    <cellStyle name="Emphasis 3" xfId="382" xr:uid="{00000000-0005-0000-0000-00007D010000}"/>
    <cellStyle name="Enter Currency (0)" xfId="383" xr:uid="{00000000-0005-0000-0000-00007E010000}"/>
    <cellStyle name="Enter Currency (2)" xfId="384" xr:uid="{00000000-0005-0000-0000-00007F010000}"/>
    <cellStyle name="Enter Units (0)" xfId="385" xr:uid="{00000000-0005-0000-0000-000080010000}"/>
    <cellStyle name="Enter Units (1)" xfId="386" xr:uid="{00000000-0005-0000-0000-000081010000}"/>
    <cellStyle name="Enter Units (2)" xfId="387" xr:uid="{00000000-0005-0000-0000-000082010000}"/>
    <cellStyle name="Entrée" xfId="388" xr:uid="{00000000-0005-0000-0000-000083010000}"/>
    <cellStyle name="Estimated" xfId="389" xr:uid="{00000000-0005-0000-0000-000084010000}"/>
    <cellStyle name="Euro" xfId="390" xr:uid="{00000000-0005-0000-0000-000085010000}"/>
    <cellStyle name="Èurrency [0]" xfId="391" xr:uid="{00000000-0005-0000-0000-000086010000}"/>
    <cellStyle name="Explanatory Text" xfId="392" builtinId="53" customBuiltin="1"/>
    <cellStyle name="Explanatory Text 2" xfId="393" xr:uid="{00000000-0005-0000-0000-000088010000}"/>
    <cellStyle name="Explanatory Text 2 2" xfId="394" xr:uid="{00000000-0005-0000-0000-000089010000}"/>
    <cellStyle name="Explanatory Text 3" xfId="395" xr:uid="{00000000-0005-0000-0000-00008A010000}"/>
    <cellStyle name="Explanatory Text 4" xfId="396" xr:uid="{00000000-0005-0000-0000-00008B010000}"/>
    <cellStyle name="Explanatory Text 5" xfId="397" xr:uid="{00000000-0005-0000-0000-00008C010000}"/>
    <cellStyle name="external input" xfId="398" xr:uid="{00000000-0005-0000-0000-00008D010000}"/>
    <cellStyle name="FinancialTitleStyle" xfId="399" xr:uid="{00000000-0005-0000-0000-00008E010000}"/>
    <cellStyle name="Fixed" xfId="400" xr:uid="{00000000-0005-0000-0000-00008F010000}"/>
    <cellStyle name="flashing" xfId="401" xr:uid="{00000000-0005-0000-0000-000090010000}"/>
    <cellStyle name="flashing 2" xfId="402" xr:uid="{00000000-0005-0000-0000-000091010000}"/>
    <cellStyle name="flashing 2 2" xfId="403" xr:uid="{00000000-0005-0000-0000-000092010000}"/>
    <cellStyle name="flashing 2 3" xfId="404" xr:uid="{00000000-0005-0000-0000-000093010000}"/>
    <cellStyle name="flashing 3" xfId="405" xr:uid="{00000000-0005-0000-0000-000094010000}"/>
    <cellStyle name="Good" xfId="406" builtinId="26" customBuiltin="1"/>
    <cellStyle name="Good 2" xfId="407" xr:uid="{00000000-0005-0000-0000-000096010000}"/>
    <cellStyle name="Good 2 2" xfId="408" xr:uid="{00000000-0005-0000-0000-000097010000}"/>
    <cellStyle name="Good 3" xfId="409" xr:uid="{00000000-0005-0000-0000-000098010000}"/>
    <cellStyle name="Good 4" xfId="410" xr:uid="{00000000-0005-0000-0000-000099010000}"/>
    <cellStyle name="Good 5" xfId="411" xr:uid="{00000000-0005-0000-0000-00009A010000}"/>
    <cellStyle name="Grey" xfId="412" xr:uid="{00000000-0005-0000-0000-00009B010000}"/>
    <cellStyle name="Header" xfId="413" xr:uid="{00000000-0005-0000-0000-00009C010000}"/>
    <cellStyle name="Header1" xfId="414" xr:uid="{00000000-0005-0000-0000-00009D010000}"/>
    <cellStyle name="Header2" xfId="415" xr:uid="{00000000-0005-0000-0000-00009E010000}"/>
    <cellStyle name="HeaderGrant" xfId="416" xr:uid="{00000000-0005-0000-0000-00009F010000}"/>
    <cellStyle name="HeaderGrant 2" xfId="417" xr:uid="{00000000-0005-0000-0000-0000A0010000}"/>
    <cellStyle name="HeaderGrant 2 2" xfId="418" xr:uid="{00000000-0005-0000-0000-0000A1010000}"/>
    <cellStyle name="HeaderGrant 2 2 2" xfId="419" xr:uid="{00000000-0005-0000-0000-0000A2010000}"/>
    <cellStyle name="HeaderGrant 2 2 3" xfId="420" xr:uid="{00000000-0005-0000-0000-0000A3010000}"/>
    <cellStyle name="HeaderGrant 2 3" xfId="421" xr:uid="{00000000-0005-0000-0000-0000A4010000}"/>
    <cellStyle name="HeaderGrant 2 3 2" xfId="422" xr:uid="{00000000-0005-0000-0000-0000A5010000}"/>
    <cellStyle name="HeaderGrant 2 3 3" xfId="423" xr:uid="{00000000-0005-0000-0000-0000A6010000}"/>
    <cellStyle name="HeaderGrant 2 4" xfId="424" xr:uid="{00000000-0005-0000-0000-0000A7010000}"/>
    <cellStyle name="HeaderGrant 2 4 2" xfId="425" xr:uid="{00000000-0005-0000-0000-0000A8010000}"/>
    <cellStyle name="HeaderGrant 2 4 3" xfId="426" xr:uid="{00000000-0005-0000-0000-0000A9010000}"/>
    <cellStyle name="HeaderGrant 2 5" xfId="427" xr:uid="{00000000-0005-0000-0000-0000AA010000}"/>
    <cellStyle name="HeaderGrant 3" xfId="428" xr:uid="{00000000-0005-0000-0000-0000AB010000}"/>
    <cellStyle name="HeaderGrant 3 2" xfId="429" xr:uid="{00000000-0005-0000-0000-0000AC010000}"/>
    <cellStyle name="HeaderGrant 3 2 2" xfId="430" xr:uid="{00000000-0005-0000-0000-0000AD010000}"/>
    <cellStyle name="HeaderGrant 3 2 3" xfId="431" xr:uid="{00000000-0005-0000-0000-0000AE010000}"/>
    <cellStyle name="HeaderGrant 3 3" xfId="432" xr:uid="{00000000-0005-0000-0000-0000AF010000}"/>
    <cellStyle name="HeaderGrant 3 3 2" xfId="433" xr:uid="{00000000-0005-0000-0000-0000B0010000}"/>
    <cellStyle name="HeaderGrant 3 3 3" xfId="434" xr:uid="{00000000-0005-0000-0000-0000B1010000}"/>
    <cellStyle name="HeaderGrant 3 4" xfId="435" xr:uid="{00000000-0005-0000-0000-0000B2010000}"/>
    <cellStyle name="HeaderGrant 3 4 2" xfId="436" xr:uid="{00000000-0005-0000-0000-0000B3010000}"/>
    <cellStyle name="HeaderGrant 3 4 3" xfId="437" xr:uid="{00000000-0005-0000-0000-0000B4010000}"/>
    <cellStyle name="HeaderGrant 3 5" xfId="438" xr:uid="{00000000-0005-0000-0000-0000B5010000}"/>
    <cellStyle name="HeaderGrant 4" xfId="439" xr:uid="{00000000-0005-0000-0000-0000B6010000}"/>
    <cellStyle name="HeaderGrant 4 2" xfId="440" xr:uid="{00000000-0005-0000-0000-0000B7010000}"/>
    <cellStyle name="HeaderGrant 4 3" xfId="441" xr:uid="{00000000-0005-0000-0000-0000B8010000}"/>
    <cellStyle name="HeaderGrant 5" xfId="442" xr:uid="{00000000-0005-0000-0000-0000B9010000}"/>
    <cellStyle name="HeaderGrant 5 2" xfId="443" xr:uid="{00000000-0005-0000-0000-0000BA010000}"/>
    <cellStyle name="HeaderGrant 5 3" xfId="444" xr:uid="{00000000-0005-0000-0000-0000BB010000}"/>
    <cellStyle name="HeaderGrant 6" xfId="445" xr:uid="{00000000-0005-0000-0000-0000BC010000}"/>
    <cellStyle name="HeaderGrant 6 2" xfId="446" xr:uid="{00000000-0005-0000-0000-0000BD010000}"/>
    <cellStyle name="HeaderGrant 6 3" xfId="447" xr:uid="{00000000-0005-0000-0000-0000BE010000}"/>
    <cellStyle name="HeaderGrant 7" xfId="448" xr:uid="{00000000-0005-0000-0000-0000BF010000}"/>
    <cellStyle name="HeaderLEA" xfId="449" xr:uid="{00000000-0005-0000-0000-0000C0010000}"/>
    <cellStyle name="Heading 1" xfId="450" builtinId="16" customBuiltin="1"/>
    <cellStyle name="Heading 1 2" xfId="451" xr:uid="{00000000-0005-0000-0000-0000C2010000}"/>
    <cellStyle name="Heading 1 2 2" xfId="452" xr:uid="{00000000-0005-0000-0000-0000C3010000}"/>
    <cellStyle name="Heading 1 3" xfId="453" xr:uid="{00000000-0005-0000-0000-0000C4010000}"/>
    <cellStyle name="Heading 1 4" xfId="454" xr:uid="{00000000-0005-0000-0000-0000C5010000}"/>
    <cellStyle name="Heading 1 5" xfId="455" xr:uid="{00000000-0005-0000-0000-0000C6010000}"/>
    <cellStyle name="Heading 2" xfId="456" builtinId="17" customBuiltin="1"/>
    <cellStyle name="Heading 2 2" xfId="457" xr:uid="{00000000-0005-0000-0000-0000C8010000}"/>
    <cellStyle name="Heading 2 2 2" xfId="458" xr:uid="{00000000-0005-0000-0000-0000C9010000}"/>
    <cellStyle name="Heading 2 3" xfId="459" xr:uid="{00000000-0005-0000-0000-0000CA010000}"/>
    <cellStyle name="Heading 2 4" xfId="460" xr:uid="{00000000-0005-0000-0000-0000CB010000}"/>
    <cellStyle name="Heading 2 5" xfId="461" xr:uid="{00000000-0005-0000-0000-0000CC010000}"/>
    <cellStyle name="Heading 3" xfId="462" builtinId="18" customBuiltin="1"/>
    <cellStyle name="Heading 3 2" xfId="463" xr:uid="{00000000-0005-0000-0000-0000CE010000}"/>
    <cellStyle name="Heading 3 2 2" xfId="464" xr:uid="{00000000-0005-0000-0000-0000CF010000}"/>
    <cellStyle name="Heading 3 3" xfId="465" xr:uid="{00000000-0005-0000-0000-0000D0010000}"/>
    <cellStyle name="Heading 3 4" xfId="466" xr:uid="{00000000-0005-0000-0000-0000D1010000}"/>
    <cellStyle name="Heading 3 5" xfId="467" xr:uid="{00000000-0005-0000-0000-0000D2010000}"/>
    <cellStyle name="Heading 4" xfId="468" builtinId="19" customBuiltin="1"/>
    <cellStyle name="Heading 4 2" xfId="469" xr:uid="{00000000-0005-0000-0000-0000D4010000}"/>
    <cellStyle name="Heading 4 2 2" xfId="470" xr:uid="{00000000-0005-0000-0000-0000D5010000}"/>
    <cellStyle name="Heading 4 3" xfId="471" xr:uid="{00000000-0005-0000-0000-0000D6010000}"/>
    <cellStyle name="Heading 4 4" xfId="472" xr:uid="{00000000-0005-0000-0000-0000D7010000}"/>
    <cellStyle name="Heading 4 5" xfId="473" xr:uid="{00000000-0005-0000-0000-0000D8010000}"/>
    <cellStyle name="Hyperlink 2" xfId="474" xr:uid="{00000000-0005-0000-0000-0000DA010000}"/>
    <cellStyle name="Hyperlink 2 2" xfId="475" xr:uid="{00000000-0005-0000-0000-0000DB010000}"/>
    <cellStyle name="Hyperlink 3" xfId="476" xr:uid="{00000000-0005-0000-0000-0000DC010000}"/>
    <cellStyle name="Hyperlink 3 2" xfId="477" xr:uid="{00000000-0005-0000-0000-0000DD010000}"/>
    <cellStyle name="Hyperlink 4" xfId="478" xr:uid="{00000000-0005-0000-0000-0000DE010000}"/>
    <cellStyle name="Hyperlink 5" xfId="479" xr:uid="{00000000-0005-0000-0000-0000DF010000}"/>
    <cellStyle name="Hyperlink 6" xfId="1072" xr:uid="{AD45F66D-0C58-486D-9F5D-AE90645D729D}"/>
    <cellStyle name="Imported" xfId="480" xr:uid="{00000000-0005-0000-0000-0000E0010000}"/>
    <cellStyle name="input" xfId="481" xr:uid="{00000000-0005-0000-0000-0000E1010000}"/>
    <cellStyle name="Input [yellow]" xfId="482" xr:uid="{00000000-0005-0000-0000-0000E2010000}"/>
    <cellStyle name="Input 2" xfId="483" xr:uid="{00000000-0005-0000-0000-0000E3010000}"/>
    <cellStyle name="input 2 2" xfId="484" xr:uid="{00000000-0005-0000-0000-0000E4010000}"/>
    <cellStyle name="Input 2 2 2" xfId="485" xr:uid="{00000000-0005-0000-0000-0000E5010000}"/>
    <cellStyle name="Input 2 2 2 2" xfId="486" xr:uid="{00000000-0005-0000-0000-0000E6010000}"/>
    <cellStyle name="Input 2 2 2 3" xfId="487" xr:uid="{00000000-0005-0000-0000-0000E7010000}"/>
    <cellStyle name="Input 2 2 3" xfId="488" xr:uid="{00000000-0005-0000-0000-0000E8010000}"/>
    <cellStyle name="Input 2 2 4" xfId="489" xr:uid="{00000000-0005-0000-0000-0000E9010000}"/>
    <cellStyle name="Input 2 3" xfId="490" xr:uid="{00000000-0005-0000-0000-0000EA010000}"/>
    <cellStyle name="Input 2 3 2" xfId="491" xr:uid="{00000000-0005-0000-0000-0000EB010000}"/>
    <cellStyle name="Input 2 3 3" xfId="492" xr:uid="{00000000-0005-0000-0000-0000EC010000}"/>
    <cellStyle name="Input 2 4" xfId="493" xr:uid="{00000000-0005-0000-0000-0000ED010000}"/>
    <cellStyle name="Input 2 4 2" xfId="494" xr:uid="{00000000-0005-0000-0000-0000EE010000}"/>
    <cellStyle name="Input 2 4 3" xfId="495" xr:uid="{00000000-0005-0000-0000-0000EF010000}"/>
    <cellStyle name="Input 2 5" xfId="496" xr:uid="{00000000-0005-0000-0000-0000F0010000}"/>
    <cellStyle name="Input 3" xfId="497" xr:uid="{00000000-0005-0000-0000-0000F1010000}"/>
    <cellStyle name="Input 3 2" xfId="498" xr:uid="{00000000-0005-0000-0000-0000F2010000}"/>
    <cellStyle name="Input 3 2 2" xfId="499" xr:uid="{00000000-0005-0000-0000-0000F3010000}"/>
    <cellStyle name="Input 3 2 2 2" xfId="500" xr:uid="{00000000-0005-0000-0000-0000F4010000}"/>
    <cellStyle name="Input 3 2 2 3" xfId="501" xr:uid="{00000000-0005-0000-0000-0000F5010000}"/>
    <cellStyle name="Input 3 2 3" xfId="502" xr:uid="{00000000-0005-0000-0000-0000F6010000}"/>
    <cellStyle name="Input 3 2 4" xfId="503" xr:uid="{00000000-0005-0000-0000-0000F7010000}"/>
    <cellStyle name="Input 3 3" xfId="504" xr:uid="{00000000-0005-0000-0000-0000F8010000}"/>
    <cellStyle name="Input 3 3 2" xfId="505" xr:uid="{00000000-0005-0000-0000-0000F9010000}"/>
    <cellStyle name="Input 3 3 3" xfId="506" xr:uid="{00000000-0005-0000-0000-0000FA010000}"/>
    <cellStyle name="Input 3 4" xfId="507" xr:uid="{00000000-0005-0000-0000-0000FB010000}"/>
    <cellStyle name="Input 3 4 2" xfId="508" xr:uid="{00000000-0005-0000-0000-0000FC010000}"/>
    <cellStyle name="Input 3 4 3" xfId="509" xr:uid="{00000000-0005-0000-0000-0000FD010000}"/>
    <cellStyle name="Input 3 5" xfId="510" xr:uid="{00000000-0005-0000-0000-0000FE010000}"/>
    <cellStyle name="Input 4" xfId="511" xr:uid="{00000000-0005-0000-0000-0000FF010000}"/>
    <cellStyle name="Input 4 2" xfId="512" xr:uid="{00000000-0005-0000-0000-000000020000}"/>
    <cellStyle name="Input 4 2 2" xfId="513" xr:uid="{00000000-0005-0000-0000-000001020000}"/>
    <cellStyle name="Input 4 2 2 2" xfId="514" xr:uid="{00000000-0005-0000-0000-000002020000}"/>
    <cellStyle name="Input 4 2 2 3" xfId="515" xr:uid="{00000000-0005-0000-0000-000003020000}"/>
    <cellStyle name="Input 4 2 3" xfId="516" xr:uid="{00000000-0005-0000-0000-000004020000}"/>
    <cellStyle name="Input 4 2 4" xfId="517" xr:uid="{00000000-0005-0000-0000-000005020000}"/>
    <cellStyle name="Input 4 3" xfId="518" xr:uid="{00000000-0005-0000-0000-000006020000}"/>
    <cellStyle name="Input 4 3 2" xfId="519" xr:uid="{00000000-0005-0000-0000-000007020000}"/>
    <cellStyle name="Input 4 3 3" xfId="520" xr:uid="{00000000-0005-0000-0000-000008020000}"/>
    <cellStyle name="Input 4 4" xfId="521" xr:uid="{00000000-0005-0000-0000-000009020000}"/>
    <cellStyle name="Input 4 4 2" xfId="522" xr:uid="{00000000-0005-0000-0000-00000A020000}"/>
    <cellStyle name="Input 4 4 3" xfId="523" xr:uid="{00000000-0005-0000-0000-00000B020000}"/>
    <cellStyle name="Input 4 5" xfId="524" xr:uid="{00000000-0005-0000-0000-00000C020000}"/>
    <cellStyle name="Input 5" xfId="525" xr:uid="{00000000-0005-0000-0000-00000D020000}"/>
    <cellStyle name="Input 5 2" xfId="526" xr:uid="{00000000-0005-0000-0000-00000E020000}"/>
    <cellStyle name="Input 5 2 2" xfId="527" xr:uid="{00000000-0005-0000-0000-00000F020000}"/>
    <cellStyle name="Input 5 2 3" xfId="528" xr:uid="{00000000-0005-0000-0000-000010020000}"/>
    <cellStyle name="Input 5 3" xfId="529" xr:uid="{00000000-0005-0000-0000-000011020000}"/>
    <cellStyle name="Input 5 4" xfId="530" xr:uid="{00000000-0005-0000-0000-000012020000}"/>
    <cellStyle name="Input 6" xfId="531" xr:uid="{00000000-0005-0000-0000-000013020000}"/>
    <cellStyle name="Input 6 2" xfId="532" xr:uid="{00000000-0005-0000-0000-000014020000}"/>
    <cellStyle name="Input 6 2 2" xfId="533" xr:uid="{00000000-0005-0000-0000-000015020000}"/>
    <cellStyle name="Input 6 2 3" xfId="534" xr:uid="{00000000-0005-0000-0000-000016020000}"/>
    <cellStyle name="Input 6 3" xfId="535" xr:uid="{00000000-0005-0000-0000-000017020000}"/>
    <cellStyle name="Input 6 4" xfId="536" xr:uid="{00000000-0005-0000-0000-000018020000}"/>
    <cellStyle name="Input 7" xfId="537" xr:uid="{00000000-0005-0000-0000-000019020000}"/>
    <cellStyle name="Input 7 2" xfId="538" xr:uid="{00000000-0005-0000-0000-00001A020000}"/>
    <cellStyle name="Input 7 3" xfId="539" xr:uid="{00000000-0005-0000-0000-00001B020000}"/>
    <cellStyle name="Input 8" xfId="540" xr:uid="{00000000-0005-0000-0000-00001C020000}"/>
    <cellStyle name="Insatisfaisant" xfId="541" xr:uid="{00000000-0005-0000-0000-00001D020000}"/>
    <cellStyle name="LEAName" xfId="542" xr:uid="{00000000-0005-0000-0000-00001E020000}"/>
    <cellStyle name="LEAName 2" xfId="543" xr:uid="{00000000-0005-0000-0000-00001F020000}"/>
    <cellStyle name="LEAName 3" xfId="544" xr:uid="{00000000-0005-0000-0000-000020020000}"/>
    <cellStyle name="LEANumber" xfId="545" xr:uid="{00000000-0005-0000-0000-000021020000}"/>
    <cellStyle name="LEANumber 2" xfId="546" xr:uid="{00000000-0005-0000-0000-000022020000}"/>
    <cellStyle name="LEANumber 3" xfId="547" xr:uid="{00000000-0005-0000-0000-000023020000}"/>
    <cellStyle name="Link Currency (0)" xfId="548" xr:uid="{00000000-0005-0000-0000-000024020000}"/>
    <cellStyle name="Link Currency (2)" xfId="549" xr:uid="{00000000-0005-0000-0000-000025020000}"/>
    <cellStyle name="Link Units (0)" xfId="550" xr:uid="{00000000-0005-0000-0000-000026020000}"/>
    <cellStyle name="Link Units (1)" xfId="551" xr:uid="{00000000-0005-0000-0000-000027020000}"/>
    <cellStyle name="Link Units (2)" xfId="552" xr:uid="{00000000-0005-0000-0000-000028020000}"/>
    <cellStyle name="Linked Cell" xfId="553" builtinId="24" customBuiltin="1"/>
    <cellStyle name="Linked Cell 2" xfId="554" xr:uid="{00000000-0005-0000-0000-00002A020000}"/>
    <cellStyle name="Linked Cell 2 2" xfId="555" xr:uid="{00000000-0005-0000-0000-00002B020000}"/>
    <cellStyle name="Linked Cell 3" xfId="556" xr:uid="{00000000-0005-0000-0000-00002C020000}"/>
    <cellStyle name="Linked Cell 4" xfId="557" xr:uid="{00000000-0005-0000-0000-00002D020000}"/>
    <cellStyle name="Linked Cell 5" xfId="558" xr:uid="{00000000-0005-0000-0000-00002E020000}"/>
    <cellStyle name="log projection" xfId="559" xr:uid="{00000000-0005-0000-0000-00002F020000}"/>
    <cellStyle name="log projection 2" xfId="560" xr:uid="{00000000-0005-0000-0000-000030020000}"/>
    <cellStyle name="log projection 2 2" xfId="561" xr:uid="{00000000-0005-0000-0000-000031020000}"/>
    <cellStyle name="log projection 2 3" xfId="562" xr:uid="{00000000-0005-0000-0000-000032020000}"/>
    <cellStyle name="log projection 2 4" xfId="563" xr:uid="{00000000-0005-0000-0000-000033020000}"/>
    <cellStyle name="log projection 3" xfId="564" xr:uid="{00000000-0005-0000-0000-000034020000}"/>
    <cellStyle name="log projection 3 2" xfId="565" xr:uid="{00000000-0005-0000-0000-000035020000}"/>
    <cellStyle name="log projection 3 3" xfId="566" xr:uid="{00000000-0005-0000-0000-000036020000}"/>
    <cellStyle name="log projection 4" xfId="567" xr:uid="{00000000-0005-0000-0000-000037020000}"/>
    <cellStyle name="log projection 4 2" xfId="568" xr:uid="{00000000-0005-0000-0000-000038020000}"/>
    <cellStyle name="log projection 4 3" xfId="569" xr:uid="{00000000-0005-0000-0000-000039020000}"/>
    <cellStyle name="log projection 5" xfId="570" xr:uid="{00000000-0005-0000-0000-00003A020000}"/>
    <cellStyle name="Milliers [0]_march98" xfId="571" xr:uid="{00000000-0005-0000-0000-00003B020000}"/>
    <cellStyle name="Milliers_march98" xfId="572" xr:uid="{00000000-0005-0000-0000-00003C020000}"/>
    <cellStyle name="Monétaire [0]_march98" xfId="573" xr:uid="{00000000-0005-0000-0000-00003D020000}"/>
    <cellStyle name="Monétaire_march98" xfId="574" xr:uid="{00000000-0005-0000-0000-00003E020000}"/>
    <cellStyle name="Neutral" xfId="575" builtinId="28" customBuiltin="1"/>
    <cellStyle name="Neutral 2" xfId="576" xr:uid="{00000000-0005-0000-0000-000040020000}"/>
    <cellStyle name="Neutral 2 2" xfId="577" xr:uid="{00000000-0005-0000-0000-000041020000}"/>
    <cellStyle name="Neutral 3" xfId="578" xr:uid="{00000000-0005-0000-0000-000042020000}"/>
    <cellStyle name="Neutral 4" xfId="579" xr:uid="{00000000-0005-0000-0000-000043020000}"/>
    <cellStyle name="Neutral 5" xfId="580" xr:uid="{00000000-0005-0000-0000-000044020000}"/>
    <cellStyle name="Neutre" xfId="581" xr:uid="{00000000-0005-0000-0000-000045020000}"/>
    <cellStyle name="new" xfId="582" xr:uid="{00000000-0005-0000-0000-000046020000}"/>
    <cellStyle name="Normal" xfId="0" builtinId="0"/>
    <cellStyle name="Normal - Style1" xfId="583" xr:uid="{00000000-0005-0000-0000-000048020000}"/>
    <cellStyle name="Normal - Style2" xfId="584" xr:uid="{00000000-0005-0000-0000-000049020000}"/>
    <cellStyle name="Normal - Style3" xfId="585" xr:uid="{00000000-0005-0000-0000-00004A020000}"/>
    <cellStyle name="Normal - Style4" xfId="586" xr:uid="{00000000-0005-0000-0000-00004B020000}"/>
    <cellStyle name="Normal - Style5" xfId="587" xr:uid="{00000000-0005-0000-0000-00004C020000}"/>
    <cellStyle name="Normal 10" xfId="588" xr:uid="{00000000-0005-0000-0000-00004D020000}"/>
    <cellStyle name="Normal 10 2" xfId="589" xr:uid="{00000000-0005-0000-0000-00004E020000}"/>
    <cellStyle name="Normal 10 2 2" xfId="590" xr:uid="{00000000-0005-0000-0000-00004F020000}"/>
    <cellStyle name="Normal 10 2 2 2" xfId="591" xr:uid="{00000000-0005-0000-0000-000050020000}"/>
    <cellStyle name="Normal 10 3" xfId="592" xr:uid="{00000000-0005-0000-0000-000051020000}"/>
    <cellStyle name="Normal 10 3 2" xfId="593" xr:uid="{00000000-0005-0000-0000-000052020000}"/>
    <cellStyle name="Normal 10 4" xfId="594" xr:uid="{00000000-0005-0000-0000-000053020000}"/>
    <cellStyle name="Normal 10 4 2" xfId="595" xr:uid="{00000000-0005-0000-0000-000054020000}"/>
    <cellStyle name="Normal 10 4 2 2" xfId="596" xr:uid="{00000000-0005-0000-0000-000055020000}"/>
    <cellStyle name="Normal 10 4 3" xfId="597" xr:uid="{00000000-0005-0000-0000-000056020000}"/>
    <cellStyle name="Normal 11" xfId="598" xr:uid="{00000000-0005-0000-0000-000057020000}"/>
    <cellStyle name="Normal 11 2" xfId="599" xr:uid="{00000000-0005-0000-0000-000058020000}"/>
    <cellStyle name="Normal 11 3" xfId="600" xr:uid="{00000000-0005-0000-0000-000059020000}"/>
    <cellStyle name="Normal 11 3 2" xfId="601" xr:uid="{00000000-0005-0000-0000-00005A020000}"/>
    <cellStyle name="Normal 11 3 2 2" xfId="602" xr:uid="{00000000-0005-0000-0000-00005B020000}"/>
    <cellStyle name="Normal 11 3 3" xfId="603" xr:uid="{00000000-0005-0000-0000-00005C020000}"/>
    <cellStyle name="Normal 11 3 3 2" xfId="604" xr:uid="{00000000-0005-0000-0000-00005D020000}"/>
    <cellStyle name="Normal 11 3 4" xfId="605" xr:uid="{00000000-0005-0000-0000-00005E020000}"/>
    <cellStyle name="Normal 11 4" xfId="606" xr:uid="{00000000-0005-0000-0000-00005F020000}"/>
    <cellStyle name="Normal 12" xfId="607" xr:uid="{00000000-0005-0000-0000-000060020000}"/>
    <cellStyle name="Normal 12 2" xfId="608" xr:uid="{00000000-0005-0000-0000-000061020000}"/>
    <cellStyle name="Normal 12 3" xfId="609" xr:uid="{00000000-0005-0000-0000-000062020000}"/>
    <cellStyle name="Normal 12 3 2" xfId="610" xr:uid="{00000000-0005-0000-0000-000063020000}"/>
    <cellStyle name="Normal 13" xfId="611" xr:uid="{00000000-0005-0000-0000-000064020000}"/>
    <cellStyle name="Normal 13 2" xfId="612" xr:uid="{00000000-0005-0000-0000-000065020000}"/>
    <cellStyle name="Normal 13 3" xfId="613" xr:uid="{00000000-0005-0000-0000-000066020000}"/>
    <cellStyle name="Normal 14" xfId="614" xr:uid="{00000000-0005-0000-0000-000067020000}"/>
    <cellStyle name="Normal 14 2" xfId="615" xr:uid="{00000000-0005-0000-0000-000068020000}"/>
    <cellStyle name="Normal 15" xfId="616" xr:uid="{00000000-0005-0000-0000-000069020000}"/>
    <cellStyle name="Normal 16" xfId="617" xr:uid="{00000000-0005-0000-0000-00006A020000}"/>
    <cellStyle name="Normal 16 2" xfId="618" xr:uid="{00000000-0005-0000-0000-00006B020000}"/>
    <cellStyle name="Normal 17" xfId="619" xr:uid="{00000000-0005-0000-0000-00006C020000}"/>
    <cellStyle name="Normal 17 2" xfId="620" xr:uid="{00000000-0005-0000-0000-00006D020000}"/>
    <cellStyle name="Normal 18" xfId="621" xr:uid="{00000000-0005-0000-0000-00006E020000}"/>
    <cellStyle name="Normal 18 2" xfId="622" xr:uid="{00000000-0005-0000-0000-00006F020000}"/>
    <cellStyle name="Normal 18 3" xfId="623" xr:uid="{00000000-0005-0000-0000-000070020000}"/>
    <cellStyle name="Normal 19" xfId="624" xr:uid="{00000000-0005-0000-0000-000071020000}"/>
    <cellStyle name="Normal 19 2" xfId="625" xr:uid="{00000000-0005-0000-0000-000072020000}"/>
    <cellStyle name="Normal 2" xfId="626" xr:uid="{00000000-0005-0000-0000-000073020000}"/>
    <cellStyle name="Normal 2 10" xfId="627" xr:uid="{00000000-0005-0000-0000-000074020000}"/>
    <cellStyle name="Normal 2 11" xfId="628" xr:uid="{00000000-0005-0000-0000-000075020000}"/>
    <cellStyle name="Normal 2 12" xfId="629" xr:uid="{00000000-0005-0000-0000-000076020000}"/>
    <cellStyle name="Normal 2 13" xfId="630" xr:uid="{00000000-0005-0000-0000-000077020000}"/>
    <cellStyle name="Normal 2 14" xfId="631" xr:uid="{00000000-0005-0000-0000-000078020000}"/>
    <cellStyle name="Normal 2 14 2" xfId="632" xr:uid="{00000000-0005-0000-0000-000079020000}"/>
    <cellStyle name="Normal 2 15" xfId="633" xr:uid="{00000000-0005-0000-0000-00007A020000}"/>
    <cellStyle name="Normal 2 16" xfId="634" xr:uid="{00000000-0005-0000-0000-00007B020000}"/>
    <cellStyle name="Normal 2 17" xfId="635" xr:uid="{00000000-0005-0000-0000-00007C020000}"/>
    <cellStyle name="Normal 2 18" xfId="1069" xr:uid="{029F92D0-8F34-447E-A2ED-C3AA7CFCE4C0}"/>
    <cellStyle name="Normal 2 2" xfId="636" xr:uid="{00000000-0005-0000-0000-00007D020000}"/>
    <cellStyle name="Normal 2 2 10" xfId="637" xr:uid="{00000000-0005-0000-0000-00007E020000}"/>
    <cellStyle name="Normal 2 2 10 2" xfId="638" xr:uid="{00000000-0005-0000-0000-00007F020000}"/>
    <cellStyle name="Normal 2 2 10 2 2" xfId="639" xr:uid="{00000000-0005-0000-0000-000080020000}"/>
    <cellStyle name="Normal 2 2 10 3" xfId="640" xr:uid="{00000000-0005-0000-0000-000081020000}"/>
    <cellStyle name="Normal 2 2 11" xfId="641" xr:uid="{00000000-0005-0000-0000-000082020000}"/>
    <cellStyle name="Normal 2 2 11 2" xfId="642" xr:uid="{00000000-0005-0000-0000-000083020000}"/>
    <cellStyle name="Normal 2 2 11 2 2" xfId="643" xr:uid="{00000000-0005-0000-0000-000084020000}"/>
    <cellStyle name="Normal 2 2 11 3" xfId="644" xr:uid="{00000000-0005-0000-0000-000085020000}"/>
    <cellStyle name="Normal 2 2 12" xfId="645" xr:uid="{00000000-0005-0000-0000-000086020000}"/>
    <cellStyle name="Normal 2 2 12 2" xfId="646" xr:uid="{00000000-0005-0000-0000-000087020000}"/>
    <cellStyle name="Normal 2 2 13" xfId="647" xr:uid="{00000000-0005-0000-0000-000088020000}"/>
    <cellStyle name="Normal 2 2 2" xfId="648" xr:uid="{00000000-0005-0000-0000-000089020000}"/>
    <cellStyle name="Normal 2 2 2 2" xfId="649" xr:uid="{00000000-0005-0000-0000-00008A020000}"/>
    <cellStyle name="Normal 2 2 2 2 2" xfId="650" xr:uid="{00000000-0005-0000-0000-00008B020000}"/>
    <cellStyle name="Normal 2 2 2 3" xfId="651" xr:uid="{00000000-0005-0000-0000-00008C020000}"/>
    <cellStyle name="Normal 2 2 2 3 2" xfId="652" xr:uid="{00000000-0005-0000-0000-00008D020000}"/>
    <cellStyle name="Normal 2 2 2 4" xfId="653" xr:uid="{00000000-0005-0000-0000-00008E020000}"/>
    <cellStyle name="Normal 2 2 2 4 2" xfId="654" xr:uid="{00000000-0005-0000-0000-00008F020000}"/>
    <cellStyle name="Normal 2 2 2 5" xfId="655" xr:uid="{00000000-0005-0000-0000-000090020000}"/>
    <cellStyle name="Normal 2 2 2 5 2" xfId="656" xr:uid="{00000000-0005-0000-0000-000091020000}"/>
    <cellStyle name="Normal 2 2 2 6" xfId="657" xr:uid="{00000000-0005-0000-0000-000092020000}"/>
    <cellStyle name="Normal 2 2 2 6 2" xfId="658" xr:uid="{00000000-0005-0000-0000-000093020000}"/>
    <cellStyle name="Normal 2 2 2 7" xfId="659" xr:uid="{00000000-0005-0000-0000-000094020000}"/>
    <cellStyle name="Normal 2 2 2 7 2" xfId="660" xr:uid="{00000000-0005-0000-0000-000095020000}"/>
    <cellStyle name="Normal 2 2 2 8" xfId="661" xr:uid="{00000000-0005-0000-0000-000096020000}"/>
    <cellStyle name="Normal 2 2 2 8 2" xfId="662" xr:uid="{00000000-0005-0000-0000-000097020000}"/>
    <cellStyle name="Normal 2 2 2 9" xfId="663" xr:uid="{00000000-0005-0000-0000-000098020000}"/>
    <cellStyle name="Normal 2 2 3" xfId="664" xr:uid="{00000000-0005-0000-0000-000099020000}"/>
    <cellStyle name="Normal 2 2 3 2" xfId="665" xr:uid="{00000000-0005-0000-0000-00009A020000}"/>
    <cellStyle name="Normal 2 2 4" xfId="666" xr:uid="{00000000-0005-0000-0000-00009B020000}"/>
    <cellStyle name="Normal 2 2 4 2" xfId="667" xr:uid="{00000000-0005-0000-0000-00009C020000}"/>
    <cellStyle name="Normal 2 2 5" xfId="668" xr:uid="{00000000-0005-0000-0000-00009D020000}"/>
    <cellStyle name="Normal 2 2 5 2" xfId="669" xr:uid="{00000000-0005-0000-0000-00009E020000}"/>
    <cellStyle name="Normal 2 2 6" xfId="670" xr:uid="{00000000-0005-0000-0000-00009F020000}"/>
    <cellStyle name="Normal 2 2 6 2" xfId="671" xr:uid="{00000000-0005-0000-0000-0000A0020000}"/>
    <cellStyle name="Normal 2 2 7" xfId="672" xr:uid="{00000000-0005-0000-0000-0000A1020000}"/>
    <cellStyle name="Normal 2 2 7 2" xfId="673" xr:uid="{00000000-0005-0000-0000-0000A2020000}"/>
    <cellStyle name="Normal 2 2 7 2 2" xfId="674" xr:uid="{00000000-0005-0000-0000-0000A3020000}"/>
    <cellStyle name="Normal 2 2 7 3" xfId="675" xr:uid="{00000000-0005-0000-0000-0000A4020000}"/>
    <cellStyle name="Normal 2 2 8" xfId="676" xr:uid="{00000000-0005-0000-0000-0000A5020000}"/>
    <cellStyle name="Normal 2 2 8 2" xfId="677" xr:uid="{00000000-0005-0000-0000-0000A6020000}"/>
    <cellStyle name="Normal 2 2 8 2 2" xfId="678" xr:uid="{00000000-0005-0000-0000-0000A7020000}"/>
    <cellStyle name="Normal 2 2 8 3" xfId="679" xr:uid="{00000000-0005-0000-0000-0000A8020000}"/>
    <cellStyle name="Normal 2 2 9" xfId="680" xr:uid="{00000000-0005-0000-0000-0000A9020000}"/>
    <cellStyle name="Normal 2 2 9 2" xfId="681" xr:uid="{00000000-0005-0000-0000-0000AA020000}"/>
    <cellStyle name="Normal 2 2 9 2 2" xfId="682" xr:uid="{00000000-0005-0000-0000-0000AB020000}"/>
    <cellStyle name="Normal 2 2 9 3" xfId="683" xr:uid="{00000000-0005-0000-0000-0000AC020000}"/>
    <cellStyle name="Normal 2 3" xfId="684" xr:uid="{00000000-0005-0000-0000-0000AD020000}"/>
    <cellStyle name="Normal 2 4" xfId="685" xr:uid="{00000000-0005-0000-0000-0000AE020000}"/>
    <cellStyle name="Normal 2 4 2" xfId="686" xr:uid="{00000000-0005-0000-0000-0000AF020000}"/>
    <cellStyle name="Normal 2 5" xfId="687" xr:uid="{00000000-0005-0000-0000-0000B0020000}"/>
    <cellStyle name="Normal 2 5 2" xfId="688" xr:uid="{00000000-0005-0000-0000-0000B1020000}"/>
    <cellStyle name="Normal 2 5 2 2" xfId="689" xr:uid="{00000000-0005-0000-0000-0000B2020000}"/>
    <cellStyle name="Normal 2 5 3" xfId="690" xr:uid="{00000000-0005-0000-0000-0000B3020000}"/>
    <cellStyle name="Normal 2 6" xfId="691" xr:uid="{00000000-0005-0000-0000-0000B4020000}"/>
    <cellStyle name="Normal 2 6 2" xfId="692" xr:uid="{00000000-0005-0000-0000-0000B5020000}"/>
    <cellStyle name="Normal 2 6 2 2" xfId="693" xr:uid="{00000000-0005-0000-0000-0000B6020000}"/>
    <cellStyle name="Normal 2 6 3" xfId="694" xr:uid="{00000000-0005-0000-0000-0000B7020000}"/>
    <cellStyle name="Normal 2 7" xfId="695" xr:uid="{00000000-0005-0000-0000-0000B8020000}"/>
    <cellStyle name="Normal 2 7 2" xfId="696" xr:uid="{00000000-0005-0000-0000-0000B9020000}"/>
    <cellStyle name="Normal 2 7 2 2" xfId="697" xr:uid="{00000000-0005-0000-0000-0000BA020000}"/>
    <cellStyle name="Normal 2 7 3" xfId="698" xr:uid="{00000000-0005-0000-0000-0000BB020000}"/>
    <cellStyle name="Normal 2 8" xfId="699" xr:uid="{00000000-0005-0000-0000-0000BC020000}"/>
    <cellStyle name="Normal 2 8 2" xfId="700" xr:uid="{00000000-0005-0000-0000-0000BD020000}"/>
    <cellStyle name="Normal 2 8 2 2" xfId="701" xr:uid="{00000000-0005-0000-0000-0000BE020000}"/>
    <cellStyle name="Normal 2 8 3" xfId="702" xr:uid="{00000000-0005-0000-0000-0000BF020000}"/>
    <cellStyle name="Normal 2 9" xfId="703" xr:uid="{00000000-0005-0000-0000-0000C0020000}"/>
    <cellStyle name="Normal 2_Acads List" xfId="704" xr:uid="{00000000-0005-0000-0000-0000C1020000}"/>
    <cellStyle name="Normal 20" xfId="705" xr:uid="{00000000-0005-0000-0000-0000C2020000}"/>
    <cellStyle name="Normal 20 2" xfId="706" xr:uid="{00000000-0005-0000-0000-0000C3020000}"/>
    <cellStyle name="Normal 21" xfId="707" xr:uid="{00000000-0005-0000-0000-0000C4020000}"/>
    <cellStyle name="Normal 22" xfId="708" xr:uid="{00000000-0005-0000-0000-0000C5020000}"/>
    <cellStyle name="Normal 22 2" xfId="709" xr:uid="{00000000-0005-0000-0000-0000C6020000}"/>
    <cellStyle name="Normal 23" xfId="710" xr:uid="{00000000-0005-0000-0000-0000C7020000}"/>
    <cellStyle name="Normal 23 2" xfId="711" xr:uid="{00000000-0005-0000-0000-0000C8020000}"/>
    <cellStyle name="Normal 24" xfId="712" xr:uid="{00000000-0005-0000-0000-0000C9020000}"/>
    <cellStyle name="Normal 24 2" xfId="713" xr:uid="{00000000-0005-0000-0000-0000CA020000}"/>
    <cellStyle name="Normal 24 3" xfId="714" xr:uid="{00000000-0005-0000-0000-0000CB020000}"/>
    <cellStyle name="Normal 25" xfId="715" xr:uid="{00000000-0005-0000-0000-0000CC020000}"/>
    <cellStyle name="Normal 25 2" xfId="716" xr:uid="{00000000-0005-0000-0000-0000CD020000}"/>
    <cellStyle name="Normal 26" xfId="717" xr:uid="{00000000-0005-0000-0000-0000CE020000}"/>
    <cellStyle name="Normal 26 2" xfId="718" xr:uid="{00000000-0005-0000-0000-0000CF020000}"/>
    <cellStyle name="Normal 27" xfId="719" xr:uid="{00000000-0005-0000-0000-0000D0020000}"/>
    <cellStyle name="Normal 27 2" xfId="720" xr:uid="{00000000-0005-0000-0000-0000D1020000}"/>
    <cellStyle name="Normal 28" xfId="721" xr:uid="{00000000-0005-0000-0000-0000D2020000}"/>
    <cellStyle name="Normal 29" xfId="722" xr:uid="{00000000-0005-0000-0000-0000D3020000}"/>
    <cellStyle name="Normal 3" xfId="723" xr:uid="{00000000-0005-0000-0000-0000D4020000}"/>
    <cellStyle name="Normal 3 10" xfId="724" xr:uid="{00000000-0005-0000-0000-0000D5020000}"/>
    <cellStyle name="Normal 3 11" xfId="725" xr:uid="{00000000-0005-0000-0000-0000D6020000}"/>
    <cellStyle name="Normal 3 12" xfId="726" xr:uid="{00000000-0005-0000-0000-0000D7020000}"/>
    <cellStyle name="Normal 3 13" xfId="727" xr:uid="{00000000-0005-0000-0000-0000D8020000}"/>
    <cellStyle name="Normal 3 14" xfId="728" xr:uid="{00000000-0005-0000-0000-0000D9020000}"/>
    <cellStyle name="Normal 3 15" xfId="729" xr:uid="{00000000-0005-0000-0000-0000DA020000}"/>
    <cellStyle name="Normal 3 2" xfId="730" xr:uid="{00000000-0005-0000-0000-0000DB020000}"/>
    <cellStyle name="Normal 3 2 2" xfId="731" xr:uid="{00000000-0005-0000-0000-0000DC020000}"/>
    <cellStyle name="Normal 3 2 3" xfId="732" xr:uid="{00000000-0005-0000-0000-0000DD020000}"/>
    <cellStyle name="Normal 3 2 4" xfId="733" xr:uid="{00000000-0005-0000-0000-0000DE020000}"/>
    <cellStyle name="Normal 3 2 5" xfId="734" xr:uid="{00000000-0005-0000-0000-0000DF020000}"/>
    <cellStyle name="Normal 3 2 6" xfId="735" xr:uid="{00000000-0005-0000-0000-0000E0020000}"/>
    <cellStyle name="Normal 3 2 7" xfId="736" xr:uid="{00000000-0005-0000-0000-0000E1020000}"/>
    <cellStyle name="Normal 3 2_Main Allocation Sheet" xfId="737" xr:uid="{00000000-0005-0000-0000-0000E2020000}"/>
    <cellStyle name="Normal 3 3" xfId="738" xr:uid="{00000000-0005-0000-0000-0000E3020000}"/>
    <cellStyle name="Normal 3 3 2" xfId="739" xr:uid="{00000000-0005-0000-0000-0000E4020000}"/>
    <cellStyle name="Normal 3 3 2 2" xfId="740" xr:uid="{00000000-0005-0000-0000-0000E5020000}"/>
    <cellStyle name="Normal 3 3 3" xfId="741" xr:uid="{00000000-0005-0000-0000-0000E6020000}"/>
    <cellStyle name="Normal 3 4" xfId="742" xr:uid="{00000000-0005-0000-0000-0000E7020000}"/>
    <cellStyle name="Normal 3 4 2" xfId="743" xr:uid="{00000000-0005-0000-0000-0000E8020000}"/>
    <cellStyle name="Normal 3 4 2 2" xfId="744" xr:uid="{00000000-0005-0000-0000-0000E9020000}"/>
    <cellStyle name="Normal 3 4 3" xfId="745" xr:uid="{00000000-0005-0000-0000-0000EA020000}"/>
    <cellStyle name="Normal 3 5" xfId="746" xr:uid="{00000000-0005-0000-0000-0000EB020000}"/>
    <cellStyle name="Normal 3 5 2" xfId="747" xr:uid="{00000000-0005-0000-0000-0000EC020000}"/>
    <cellStyle name="Normal 3 5 2 2" xfId="748" xr:uid="{00000000-0005-0000-0000-0000ED020000}"/>
    <cellStyle name="Normal 3 5 3" xfId="749" xr:uid="{00000000-0005-0000-0000-0000EE020000}"/>
    <cellStyle name="Normal 3 6" xfId="750" xr:uid="{00000000-0005-0000-0000-0000EF020000}"/>
    <cellStyle name="Normal 3 6 2" xfId="751" xr:uid="{00000000-0005-0000-0000-0000F0020000}"/>
    <cellStyle name="Normal 3 6 2 2" xfId="752" xr:uid="{00000000-0005-0000-0000-0000F1020000}"/>
    <cellStyle name="Normal 3 6 3" xfId="753" xr:uid="{00000000-0005-0000-0000-0000F2020000}"/>
    <cellStyle name="Normal 3 7" xfId="754" xr:uid="{00000000-0005-0000-0000-0000F3020000}"/>
    <cellStyle name="Normal 3 8" xfId="755" xr:uid="{00000000-0005-0000-0000-0000F4020000}"/>
    <cellStyle name="Normal 3 9" xfId="756" xr:uid="{00000000-0005-0000-0000-0000F5020000}"/>
    <cellStyle name="Normal 3_Colleges and Providers" xfId="757" xr:uid="{00000000-0005-0000-0000-0000F6020000}"/>
    <cellStyle name="Normal 30" xfId="758" xr:uid="{00000000-0005-0000-0000-0000F7020000}"/>
    <cellStyle name="Normal 31" xfId="759" xr:uid="{00000000-0005-0000-0000-0000F8020000}"/>
    <cellStyle name="Normal 32" xfId="760" xr:uid="{00000000-0005-0000-0000-0000F9020000}"/>
    <cellStyle name="Normal 33" xfId="761" xr:uid="{00000000-0005-0000-0000-0000FA020000}"/>
    <cellStyle name="Normal 34" xfId="762" xr:uid="{00000000-0005-0000-0000-0000FB020000}"/>
    <cellStyle name="Normal 35" xfId="763" xr:uid="{00000000-0005-0000-0000-0000FC020000}"/>
    <cellStyle name="Normal 35 2" xfId="764" xr:uid="{00000000-0005-0000-0000-0000FD020000}"/>
    <cellStyle name="Normal 36" xfId="765" xr:uid="{00000000-0005-0000-0000-0000FE020000}"/>
    <cellStyle name="Normal 37" xfId="766" xr:uid="{00000000-0005-0000-0000-0000FF020000}"/>
    <cellStyle name="Normal 38" xfId="767" xr:uid="{00000000-0005-0000-0000-000000030000}"/>
    <cellStyle name="Normal 39" xfId="768" xr:uid="{00000000-0005-0000-0000-000001030000}"/>
    <cellStyle name="Normal 4" xfId="769" xr:uid="{00000000-0005-0000-0000-000002030000}"/>
    <cellStyle name="Normal 4 2" xfId="770" xr:uid="{00000000-0005-0000-0000-000003030000}"/>
    <cellStyle name="Normal 4 2 2" xfId="771" xr:uid="{00000000-0005-0000-0000-000004030000}"/>
    <cellStyle name="Normal 4 2 2 2" xfId="772" xr:uid="{00000000-0005-0000-0000-000005030000}"/>
    <cellStyle name="Normal 4 2 3" xfId="773" xr:uid="{00000000-0005-0000-0000-000006030000}"/>
    <cellStyle name="Normal 4 3" xfId="774" xr:uid="{00000000-0005-0000-0000-000007030000}"/>
    <cellStyle name="Normal 4 3 2" xfId="775" xr:uid="{00000000-0005-0000-0000-000008030000}"/>
    <cellStyle name="Normal 4 3 2 2" xfId="776" xr:uid="{00000000-0005-0000-0000-000009030000}"/>
    <cellStyle name="Normal 4 3 3" xfId="777" xr:uid="{00000000-0005-0000-0000-00000A030000}"/>
    <cellStyle name="Normal 4 4" xfId="778" xr:uid="{00000000-0005-0000-0000-00000B030000}"/>
    <cellStyle name="Normal 4 4 2" xfId="779" xr:uid="{00000000-0005-0000-0000-00000C030000}"/>
    <cellStyle name="Normal 4 4 2 2" xfId="780" xr:uid="{00000000-0005-0000-0000-00000D030000}"/>
    <cellStyle name="Normal 4 4 3" xfId="781" xr:uid="{00000000-0005-0000-0000-00000E030000}"/>
    <cellStyle name="Normal 4 5" xfId="782" xr:uid="{00000000-0005-0000-0000-00000F030000}"/>
    <cellStyle name="Normal 4 5 2" xfId="783" xr:uid="{00000000-0005-0000-0000-000010030000}"/>
    <cellStyle name="Normal 4 5 2 2" xfId="784" xr:uid="{00000000-0005-0000-0000-000011030000}"/>
    <cellStyle name="Normal 4 5 3" xfId="785" xr:uid="{00000000-0005-0000-0000-000012030000}"/>
    <cellStyle name="Normal 4 6" xfId="786" xr:uid="{00000000-0005-0000-0000-000013030000}"/>
    <cellStyle name="Normal 4 6 2" xfId="787" xr:uid="{00000000-0005-0000-0000-000014030000}"/>
    <cellStyle name="Normal 4 6 2 2" xfId="788" xr:uid="{00000000-0005-0000-0000-000015030000}"/>
    <cellStyle name="Normal 4 6 3" xfId="789" xr:uid="{00000000-0005-0000-0000-000016030000}"/>
    <cellStyle name="Normal 4 7" xfId="790" xr:uid="{00000000-0005-0000-0000-000017030000}"/>
    <cellStyle name="Normal 4 8" xfId="791" xr:uid="{00000000-0005-0000-0000-000018030000}"/>
    <cellStyle name="Normal 4 9" xfId="792" xr:uid="{00000000-0005-0000-0000-000019030000}"/>
    <cellStyle name="Normal 4_Regional Readiness Sheet" xfId="793" xr:uid="{00000000-0005-0000-0000-00001A030000}"/>
    <cellStyle name="Normal 40" xfId="794" xr:uid="{00000000-0005-0000-0000-00001B030000}"/>
    <cellStyle name="Normal 41" xfId="795" xr:uid="{00000000-0005-0000-0000-00001C030000}"/>
    <cellStyle name="Normal 42" xfId="796" xr:uid="{00000000-0005-0000-0000-00001D030000}"/>
    <cellStyle name="Normal 43" xfId="797" xr:uid="{00000000-0005-0000-0000-00001E030000}"/>
    <cellStyle name="Normal 44" xfId="798" xr:uid="{00000000-0005-0000-0000-00001F030000}"/>
    <cellStyle name="Normal 45" xfId="799" xr:uid="{00000000-0005-0000-0000-000020030000}"/>
    <cellStyle name="Normal 46" xfId="800" xr:uid="{00000000-0005-0000-0000-000021030000}"/>
    <cellStyle name="Normal 47" xfId="1066" xr:uid="{D8BD2F31-E57B-46E2-8E8A-7BF075488BA6}"/>
    <cellStyle name="Normal 48" xfId="1067" xr:uid="{4B2D124F-33D8-4056-9ABF-AFD6EB11B087}"/>
    <cellStyle name="Normal 49" xfId="1068" xr:uid="{B2DDF93D-A2A8-45F8-9CE2-66ABFEEE48F2}"/>
    <cellStyle name="Normal 5" xfId="801" xr:uid="{00000000-0005-0000-0000-000022030000}"/>
    <cellStyle name="Normal 5 2" xfId="802" xr:uid="{00000000-0005-0000-0000-000023030000}"/>
    <cellStyle name="Normal 5 2 2" xfId="803" xr:uid="{00000000-0005-0000-0000-000024030000}"/>
    <cellStyle name="Normal 5 3" xfId="804" xr:uid="{00000000-0005-0000-0000-000025030000}"/>
    <cellStyle name="Normal 5 3 2" xfId="805" xr:uid="{00000000-0005-0000-0000-000026030000}"/>
    <cellStyle name="Normal 5 4" xfId="806" xr:uid="{00000000-0005-0000-0000-000027030000}"/>
    <cellStyle name="Normal 5 5" xfId="807" xr:uid="{00000000-0005-0000-0000-000028030000}"/>
    <cellStyle name="Normal 50" xfId="1071" xr:uid="{1A6FADAC-2860-42AC-B39A-65AD89E3B7F1}"/>
    <cellStyle name="Normal 51" xfId="1073" xr:uid="{92FD024B-6044-431D-8363-7E522D7B3B47}"/>
    <cellStyle name="Normal 52" xfId="1074" xr:uid="{3010335D-0581-4095-AB5F-2E4E07EACF21}"/>
    <cellStyle name="Normal 53" xfId="1076" xr:uid="{9898AC87-0695-408C-A29E-1CB9CEE8DBAD}"/>
    <cellStyle name="Normal 54" xfId="1077" xr:uid="{56E25E8A-67B2-4A14-8AA2-D9C967E90DE1}"/>
    <cellStyle name="Normal 55" xfId="1079" xr:uid="{CBC74E13-51AC-46F6-8F96-9CEC2BE039FE}"/>
    <cellStyle name="Normal 56" xfId="1080" xr:uid="{7CF563C7-562C-4FFC-9CC4-0AC6F286F3E7}"/>
    <cellStyle name="Normal 6" xfId="808" xr:uid="{00000000-0005-0000-0000-000029030000}"/>
    <cellStyle name="Normal 6 2" xfId="809" xr:uid="{00000000-0005-0000-0000-00002A030000}"/>
    <cellStyle name="Normal 6 3" xfId="810" xr:uid="{00000000-0005-0000-0000-00002B030000}"/>
    <cellStyle name="Normal 6 3 2" xfId="811" xr:uid="{00000000-0005-0000-0000-00002C030000}"/>
    <cellStyle name="Normal 6 4" xfId="812" xr:uid="{00000000-0005-0000-0000-00002D030000}"/>
    <cellStyle name="Normal 7" xfId="813" xr:uid="{00000000-0005-0000-0000-00002E030000}"/>
    <cellStyle name="Normal 7 2" xfId="814" xr:uid="{00000000-0005-0000-0000-00002F030000}"/>
    <cellStyle name="Normal 8" xfId="815" xr:uid="{00000000-0005-0000-0000-000030030000}"/>
    <cellStyle name="Normal 8 2" xfId="816" xr:uid="{00000000-0005-0000-0000-000031030000}"/>
    <cellStyle name="Normal 9" xfId="817" xr:uid="{00000000-0005-0000-0000-000032030000}"/>
    <cellStyle name="Normal 9 2" xfId="818" xr:uid="{00000000-0005-0000-0000-000033030000}"/>
    <cellStyle name="Normal 9 2 2" xfId="819" xr:uid="{00000000-0005-0000-0000-000034030000}"/>
    <cellStyle name="Normal 9 2 2 2" xfId="820" xr:uid="{00000000-0005-0000-0000-000035030000}"/>
    <cellStyle name="Normal 9 3" xfId="821" xr:uid="{00000000-0005-0000-0000-000036030000}"/>
    <cellStyle name="Normal 9 3 2" xfId="822" xr:uid="{00000000-0005-0000-0000-000037030000}"/>
    <cellStyle name="Normal 9 4" xfId="823" xr:uid="{00000000-0005-0000-0000-000038030000}"/>
    <cellStyle name="Normal 9 4 2" xfId="824" xr:uid="{00000000-0005-0000-0000-000039030000}"/>
    <cellStyle name="Normal 9 4 2 2" xfId="825" xr:uid="{00000000-0005-0000-0000-00003A030000}"/>
    <cellStyle name="Normal 9 4 3" xfId="826" xr:uid="{00000000-0005-0000-0000-00003B030000}"/>
    <cellStyle name="NormalStyleCurrency" xfId="827" xr:uid="{00000000-0005-0000-0000-00003D030000}"/>
    <cellStyle name="NormalStyleText" xfId="828" xr:uid="{00000000-0005-0000-0000-00003E030000}"/>
    <cellStyle name="Note" xfId="829" builtinId="10" customBuiltin="1"/>
    <cellStyle name="Note 2" xfId="830" xr:uid="{00000000-0005-0000-0000-000040030000}"/>
    <cellStyle name="Note 2 2" xfId="831" xr:uid="{00000000-0005-0000-0000-000041030000}"/>
    <cellStyle name="Note 2 2 2" xfId="832" xr:uid="{00000000-0005-0000-0000-000042030000}"/>
    <cellStyle name="Note 2 2 3" xfId="833" xr:uid="{00000000-0005-0000-0000-000043030000}"/>
    <cellStyle name="Note 2 2 4" xfId="834" xr:uid="{00000000-0005-0000-0000-000044030000}"/>
    <cellStyle name="Note 2 3" xfId="835" xr:uid="{00000000-0005-0000-0000-000045030000}"/>
    <cellStyle name="Note 2 3 2" xfId="836" xr:uid="{00000000-0005-0000-0000-000046030000}"/>
    <cellStyle name="Note 2 3 3" xfId="837" xr:uid="{00000000-0005-0000-0000-000047030000}"/>
    <cellStyle name="Note 2 4" xfId="838" xr:uid="{00000000-0005-0000-0000-000048030000}"/>
    <cellStyle name="Note 2 4 2" xfId="839" xr:uid="{00000000-0005-0000-0000-000049030000}"/>
    <cellStyle name="Note 2 4 3" xfId="840" xr:uid="{00000000-0005-0000-0000-00004A030000}"/>
    <cellStyle name="Note 2 5" xfId="841" xr:uid="{00000000-0005-0000-0000-00004B030000}"/>
    <cellStyle name="Note 2 5 2" xfId="842" xr:uid="{00000000-0005-0000-0000-00004C030000}"/>
    <cellStyle name="Note 2 6" xfId="843" xr:uid="{00000000-0005-0000-0000-00004D030000}"/>
    <cellStyle name="Note 2 6 2" xfId="844" xr:uid="{00000000-0005-0000-0000-00004E030000}"/>
    <cellStyle name="Note 3" xfId="845" xr:uid="{00000000-0005-0000-0000-00004F030000}"/>
    <cellStyle name="Note 3 2" xfId="846" xr:uid="{00000000-0005-0000-0000-000050030000}"/>
    <cellStyle name="Note 3 2 2" xfId="847" xr:uid="{00000000-0005-0000-0000-000051030000}"/>
    <cellStyle name="Note 3 2 3" xfId="848" xr:uid="{00000000-0005-0000-0000-000052030000}"/>
    <cellStyle name="Note 3 3" xfId="849" xr:uid="{00000000-0005-0000-0000-000053030000}"/>
    <cellStyle name="Note 3 3 2" xfId="850" xr:uid="{00000000-0005-0000-0000-000054030000}"/>
    <cellStyle name="Note 3 3 3" xfId="851" xr:uid="{00000000-0005-0000-0000-000055030000}"/>
    <cellStyle name="Note 3 4" xfId="852" xr:uid="{00000000-0005-0000-0000-000056030000}"/>
    <cellStyle name="Note 3 4 2" xfId="853" xr:uid="{00000000-0005-0000-0000-000057030000}"/>
    <cellStyle name="Note 3 4 3" xfId="854" xr:uid="{00000000-0005-0000-0000-000058030000}"/>
    <cellStyle name="Note 3 5" xfId="855" xr:uid="{00000000-0005-0000-0000-000059030000}"/>
    <cellStyle name="Note 4" xfId="856" xr:uid="{00000000-0005-0000-0000-00005A030000}"/>
    <cellStyle name="Note 4 2" xfId="857" xr:uid="{00000000-0005-0000-0000-00005B030000}"/>
    <cellStyle name="Note 4 2 2" xfId="858" xr:uid="{00000000-0005-0000-0000-00005C030000}"/>
    <cellStyle name="Note 4 2 3" xfId="859" xr:uid="{00000000-0005-0000-0000-00005D030000}"/>
    <cellStyle name="Note 4 3" xfId="860" xr:uid="{00000000-0005-0000-0000-00005E030000}"/>
    <cellStyle name="Note 4 3 2" xfId="861" xr:uid="{00000000-0005-0000-0000-00005F030000}"/>
    <cellStyle name="Note 4 3 3" xfId="862" xr:uid="{00000000-0005-0000-0000-000060030000}"/>
    <cellStyle name="Note 4 4" xfId="863" xr:uid="{00000000-0005-0000-0000-000061030000}"/>
    <cellStyle name="Note 4 4 2" xfId="864" xr:uid="{00000000-0005-0000-0000-000062030000}"/>
    <cellStyle name="Note 4 4 3" xfId="865" xr:uid="{00000000-0005-0000-0000-000063030000}"/>
    <cellStyle name="Note 4 5" xfId="866" xr:uid="{00000000-0005-0000-0000-000064030000}"/>
    <cellStyle name="Note 5" xfId="867" xr:uid="{00000000-0005-0000-0000-000065030000}"/>
    <cellStyle name="Note 5 2" xfId="868" xr:uid="{00000000-0005-0000-0000-000066030000}"/>
    <cellStyle name="Note 5 3" xfId="869" xr:uid="{00000000-0005-0000-0000-000067030000}"/>
    <cellStyle name="Note 6" xfId="870" xr:uid="{00000000-0005-0000-0000-000068030000}"/>
    <cellStyle name="Note 6 2" xfId="871" xr:uid="{00000000-0005-0000-0000-000069030000}"/>
    <cellStyle name="Note 6 3" xfId="872" xr:uid="{00000000-0005-0000-0000-00006A030000}"/>
    <cellStyle name="Note 7" xfId="873" xr:uid="{00000000-0005-0000-0000-00006B030000}"/>
    <cellStyle name="Note 7 2" xfId="874" xr:uid="{00000000-0005-0000-0000-00006C030000}"/>
    <cellStyle name="Note 7 3" xfId="875" xr:uid="{00000000-0005-0000-0000-00006D030000}"/>
    <cellStyle name="Note 8" xfId="876" xr:uid="{00000000-0005-0000-0000-00006E030000}"/>
    <cellStyle name="Note 8 2" xfId="877" xr:uid="{00000000-0005-0000-0000-00006F030000}"/>
    <cellStyle name="Number" xfId="878" xr:uid="{00000000-0005-0000-0000-000070030000}"/>
    <cellStyle name="Number 2" xfId="879" xr:uid="{00000000-0005-0000-0000-000071030000}"/>
    <cellStyle name="Number 3" xfId="880" xr:uid="{00000000-0005-0000-0000-000072030000}"/>
    <cellStyle name="Œ…‹æØ‚è [0.00]_laroux" xfId="881" xr:uid="{00000000-0005-0000-0000-000073030000}"/>
    <cellStyle name="Œ…‹æØ‚è_laroux" xfId="882" xr:uid="{00000000-0005-0000-0000-000074030000}"/>
    <cellStyle name="Output" xfId="883" builtinId="21" customBuiltin="1"/>
    <cellStyle name="Output 2" xfId="884" xr:uid="{00000000-0005-0000-0000-000076030000}"/>
    <cellStyle name="Output 2 2" xfId="885" xr:uid="{00000000-0005-0000-0000-000077030000}"/>
    <cellStyle name="Output 2 2 2" xfId="886" xr:uid="{00000000-0005-0000-0000-000078030000}"/>
    <cellStyle name="Output 2 2 3" xfId="887" xr:uid="{00000000-0005-0000-0000-000079030000}"/>
    <cellStyle name="Output 2 2 4" xfId="888" xr:uid="{00000000-0005-0000-0000-00007A030000}"/>
    <cellStyle name="Output 2 3" xfId="889" xr:uid="{00000000-0005-0000-0000-00007B030000}"/>
    <cellStyle name="Output 2 3 2" xfId="890" xr:uid="{00000000-0005-0000-0000-00007C030000}"/>
    <cellStyle name="Output 2 3 3" xfId="891" xr:uid="{00000000-0005-0000-0000-00007D030000}"/>
    <cellStyle name="Output 2 4" xfId="892" xr:uid="{00000000-0005-0000-0000-00007E030000}"/>
    <cellStyle name="Output 2 4 2" xfId="893" xr:uid="{00000000-0005-0000-0000-00007F030000}"/>
    <cellStyle name="Output 2 4 3" xfId="894" xr:uid="{00000000-0005-0000-0000-000080030000}"/>
    <cellStyle name="Output 2 5" xfId="895" xr:uid="{00000000-0005-0000-0000-000081030000}"/>
    <cellStyle name="Output 3" xfId="896" xr:uid="{00000000-0005-0000-0000-000082030000}"/>
    <cellStyle name="Output 3 2" xfId="897" xr:uid="{00000000-0005-0000-0000-000083030000}"/>
    <cellStyle name="Output 3 2 2" xfId="898" xr:uid="{00000000-0005-0000-0000-000084030000}"/>
    <cellStyle name="Output 3 2 3" xfId="899" xr:uid="{00000000-0005-0000-0000-000085030000}"/>
    <cellStyle name="Output 3 3" xfId="900" xr:uid="{00000000-0005-0000-0000-000086030000}"/>
    <cellStyle name="Output 3 3 2" xfId="901" xr:uid="{00000000-0005-0000-0000-000087030000}"/>
    <cellStyle name="Output 3 3 3" xfId="902" xr:uid="{00000000-0005-0000-0000-000088030000}"/>
    <cellStyle name="Output 3 4" xfId="903" xr:uid="{00000000-0005-0000-0000-000089030000}"/>
    <cellStyle name="Output 3 4 2" xfId="904" xr:uid="{00000000-0005-0000-0000-00008A030000}"/>
    <cellStyle name="Output 3 4 3" xfId="905" xr:uid="{00000000-0005-0000-0000-00008B030000}"/>
    <cellStyle name="Output 3 5" xfId="906" xr:uid="{00000000-0005-0000-0000-00008C030000}"/>
    <cellStyle name="Output 4" xfId="907" xr:uid="{00000000-0005-0000-0000-00008D030000}"/>
    <cellStyle name="Output 4 2" xfId="908" xr:uid="{00000000-0005-0000-0000-00008E030000}"/>
    <cellStyle name="Output 4 2 2" xfId="909" xr:uid="{00000000-0005-0000-0000-00008F030000}"/>
    <cellStyle name="Output 4 2 3" xfId="910" xr:uid="{00000000-0005-0000-0000-000090030000}"/>
    <cellStyle name="Output 4 3" xfId="911" xr:uid="{00000000-0005-0000-0000-000091030000}"/>
    <cellStyle name="Output 4 3 2" xfId="912" xr:uid="{00000000-0005-0000-0000-000092030000}"/>
    <cellStyle name="Output 4 3 3" xfId="913" xr:uid="{00000000-0005-0000-0000-000093030000}"/>
    <cellStyle name="Output 4 4" xfId="914" xr:uid="{00000000-0005-0000-0000-000094030000}"/>
    <cellStyle name="Output 4 4 2" xfId="915" xr:uid="{00000000-0005-0000-0000-000095030000}"/>
    <cellStyle name="Output 4 4 3" xfId="916" xr:uid="{00000000-0005-0000-0000-000096030000}"/>
    <cellStyle name="Output 4 5" xfId="917" xr:uid="{00000000-0005-0000-0000-000097030000}"/>
    <cellStyle name="Output 5" xfId="918" xr:uid="{00000000-0005-0000-0000-000098030000}"/>
    <cellStyle name="Output 5 2" xfId="919" xr:uid="{00000000-0005-0000-0000-000099030000}"/>
    <cellStyle name="Output 5 3" xfId="920" xr:uid="{00000000-0005-0000-0000-00009A030000}"/>
    <cellStyle name="Output 6" xfId="921" xr:uid="{00000000-0005-0000-0000-00009B030000}"/>
    <cellStyle name="Output 6 2" xfId="922" xr:uid="{00000000-0005-0000-0000-00009C030000}"/>
    <cellStyle name="Output 6 3" xfId="923" xr:uid="{00000000-0005-0000-0000-00009D030000}"/>
    <cellStyle name="Output 7" xfId="924" xr:uid="{00000000-0005-0000-0000-00009E030000}"/>
    <cellStyle name="Output 7 2" xfId="925" xr:uid="{00000000-0005-0000-0000-00009F030000}"/>
    <cellStyle name="Output 7 3" xfId="926" xr:uid="{00000000-0005-0000-0000-0000A0030000}"/>
    <cellStyle name="Output 8" xfId="927" xr:uid="{00000000-0005-0000-0000-0000A1030000}"/>
    <cellStyle name="Page heading" xfId="928" xr:uid="{00000000-0005-0000-0000-0000A2030000}"/>
    <cellStyle name="Percent" xfId="929" builtinId="5"/>
    <cellStyle name="Percent [0]" xfId="930" xr:uid="{00000000-0005-0000-0000-0000A4030000}"/>
    <cellStyle name="Percent [00]" xfId="931" xr:uid="{00000000-0005-0000-0000-0000A5030000}"/>
    <cellStyle name="Percent [2]" xfId="932" xr:uid="{00000000-0005-0000-0000-0000A6030000}"/>
    <cellStyle name="Percent 2" xfId="933" xr:uid="{00000000-0005-0000-0000-0000A7030000}"/>
    <cellStyle name="Percent 2 2" xfId="934" xr:uid="{00000000-0005-0000-0000-0000A8030000}"/>
    <cellStyle name="Percent 2 2 2" xfId="935" xr:uid="{00000000-0005-0000-0000-0000A9030000}"/>
    <cellStyle name="Percent 2 3" xfId="936" xr:uid="{00000000-0005-0000-0000-0000AA030000}"/>
    <cellStyle name="Percent 2 3 2" xfId="937" xr:uid="{00000000-0005-0000-0000-0000AB030000}"/>
    <cellStyle name="Percent 2 4" xfId="938" xr:uid="{00000000-0005-0000-0000-0000AC030000}"/>
    <cellStyle name="Percent 2 4 2" xfId="939" xr:uid="{00000000-0005-0000-0000-0000AD030000}"/>
    <cellStyle name="Percent 2 5" xfId="940" xr:uid="{00000000-0005-0000-0000-0000AE030000}"/>
    <cellStyle name="Percent 3" xfId="941" xr:uid="{00000000-0005-0000-0000-0000AF030000}"/>
    <cellStyle name="Percent 3 2" xfId="942" xr:uid="{00000000-0005-0000-0000-0000B0030000}"/>
    <cellStyle name="Percent 4" xfId="943" xr:uid="{00000000-0005-0000-0000-0000B1030000}"/>
    <cellStyle name="Percent 4 2" xfId="944" xr:uid="{00000000-0005-0000-0000-0000B2030000}"/>
    <cellStyle name="Percent 5" xfId="945" xr:uid="{00000000-0005-0000-0000-0000B3030000}"/>
    <cellStyle name="Percent 6" xfId="946" xr:uid="{00000000-0005-0000-0000-0000B4030000}"/>
    <cellStyle name="Percent 7" xfId="947" xr:uid="{00000000-0005-0000-0000-0000B5030000}"/>
    <cellStyle name="Percent 8" xfId="1070" xr:uid="{9E1921C9-0613-4F83-8B69-93A54B38B43D}"/>
    <cellStyle name="PrePop Currency (0)" xfId="948" xr:uid="{00000000-0005-0000-0000-0000B6030000}"/>
    <cellStyle name="PrePop Currency (2)" xfId="949" xr:uid="{00000000-0005-0000-0000-0000B7030000}"/>
    <cellStyle name="PrePop Units (0)" xfId="950" xr:uid="{00000000-0005-0000-0000-0000B8030000}"/>
    <cellStyle name="PrePop Units (1)" xfId="951" xr:uid="{00000000-0005-0000-0000-0000B9030000}"/>
    <cellStyle name="PrePop Units (2)" xfId="952" xr:uid="{00000000-0005-0000-0000-0000BA030000}"/>
    <cellStyle name="provisional PN158/97" xfId="953" xr:uid="{00000000-0005-0000-0000-0000BB030000}"/>
    <cellStyle name="PSChar" xfId="954" xr:uid="{00000000-0005-0000-0000-0000BC030000}"/>
    <cellStyle name="PSDate" xfId="955" xr:uid="{00000000-0005-0000-0000-0000BD030000}"/>
    <cellStyle name="PSDec" xfId="956" xr:uid="{00000000-0005-0000-0000-0000BE030000}"/>
    <cellStyle name="PSHeading" xfId="957" xr:uid="{00000000-0005-0000-0000-0000BF030000}"/>
    <cellStyle name="PSInt" xfId="958" xr:uid="{00000000-0005-0000-0000-0000C0030000}"/>
    <cellStyle name="PSSpacer" xfId="959" xr:uid="{00000000-0005-0000-0000-0000C1030000}"/>
    <cellStyle name="P嗴_x000c_〘 ńバ঒〘 " xfId="960" xr:uid="{00000000-0005-0000-0000-0000C2030000}"/>
    <cellStyle name="P嗴_x000c_〘 ńバ঒〘  2" xfId="961" xr:uid="{00000000-0005-0000-0000-0000C3030000}"/>
    <cellStyle name="P嗴_x000c_〘 ńバ঒〘 _Main Allocation Sheet" xfId="962" xr:uid="{00000000-0005-0000-0000-0000C4030000}"/>
    <cellStyle name="SAPBEXstdData" xfId="963" xr:uid="{00000000-0005-0000-0000-0000C5030000}"/>
    <cellStyle name="SAPBEXstdData 2" xfId="964" xr:uid="{00000000-0005-0000-0000-0000C6030000}"/>
    <cellStyle name="SAPBEXstdData 2 2" xfId="965" xr:uid="{00000000-0005-0000-0000-0000C7030000}"/>
    <cellStyle name="SAPBEXstdData 2 3" xfId="966" xr:uid="{00000000-0005-0000-0000-0000C8030000}"/>
    <cellStyle name="SAPBEXstdData 3" xfId="967" xr:uid="{00000000-0005-0000-0000-0000C9030000}"/>
    <cellStyle name="SAPBEXstdData 3 2" xfId="968" xr:uid="{00000000-0005-0000-0000-0000CA030000}"/>
    <cellStyle name="SAPBEXstdData 3 3" xfId="969" xr:uid="{00000000-0005-0000-0000-0000CB030000}"/>
    <cellStyle name="SAPBEXstdData 4" xfId="970" xr:uid="{00000000-0005-0000-0000-0000CC030000}"/>
    <cellStyle name="SAPBEXstdData 4 2" xfId="971" xr:uid="{00000000-0005-0000-0000-0000CD030000}"/>
    <cellStyle name="SAPBEXstdData 4 3" xfId="972" xr:uid="{00000000-0005-0000-0000-0000CE030000}"/>
    <cellStyle name="SAPBEXstdData 5" xfId="973" xr:uid="{00000000-0005-0000-0000-0000CF030000}"/>
    <cellStyle name="Satisfaisant" xfId="974" xr:uid="{00000000-0005-0000-0000-0000D0030000}"/>
    <cellStyle name="Sheet Title" xfId="975" xr:uid="{00000000-0005-0000-0000-0000D1030000}"/>
    <cellStyle name="Sortie" xfId="976" xr:uid="{00000000-0005-0000-0000-0000D2030000}"/>
    <cellStyle name="Style 1" xfId="977" xr:uid="{00000000-0005-0000-0000-0000D3030000}"/>
    <cellStyle name="Style 1 2" xfId="978" xr:uid="{00000000-0005-0000-0000-0000D4030000}"/>
    <cellStyle name="Style 1_Main Allocation Sheet" xfId="979" xr:uid="{00000000-0005-0000-0000-0000D5030000}"/>
    <cellStyle name="Style 22" xfId="980" xr:uid="{00000000-0005-0000-0000-0000D6030000}"/>
    <cellStyle name="Style 23" xfId="981" xr:uid="{00000000-0005-0000-0000-0000D7030000}"/>
    <cellStyle name="Style 24" xfId="982" xr:uid="{00000000-0005-0000-0000-0000D8030000}"/>
    <cellStyle name="Style 25" xfId="983" xr:uid="{00000000-0005-0000-0000-0000D9030000}"/>
    <cellStyle name="Style 26" xfId="984" xr:uid="{00000000-0005-0000-0000-0000DA030000}"/>
    <cellStyle name="Style 27" xfId="985" xr:uid="{00000000-0005-0000-0000-0000DB030000}"/>
    <cellStyle name="sub" xfId="986" xr:uid="{00000000-0005-0000-0000-0000DC030000}"/>
    <cellStyle name="table imported" xfId="987" xr:uid="{00000000-0005-0000-0000-0000DD030000}"/>
    <cellStyle name="table imported 2" xfId="988" xr:uid="{00000000-0005-0000-0000-0000DE030000}"/>
    <cellStyle name="table imported 2 2" xfId="989" xr:uid="{00000000-0005-0000-0000-0000DF030000}"/>
    <cellStyle name="table sum" xfId="990" xr:uid="{00000000-0005-0000-0000-0000E0030000}"/>
    <cellStyle name="table sum 2" xfId="991" xr:uid="{00000000-0005-0000-0000-0000E1030000}"/>
    <cellStyle name="table sum 2 2" xfId="992" xr:uid="{00000000-0005-0000-0000-0000E2030000}"/>
    <cellStyle name="table values" xfId="993" xr:uid="{00000000-0005-0000-0000-0000E3030000}"/>
    <cellStyle name="table values 2" xfId="994" xr:uid="{00000000-0005-0000-0000-0000E4030000}"/>
    <cellStyle name="table values 2 2" xfId="995" xr:uid="{00000000-0005-0000-0000-0000E5030000}"/>
    <cellStyle name="Text Indent A" xfId="996" xr:uid="{00000000-0005-0000-0000-0000E6030000}"/>
    <cellStyle name="Text Indent B" xfId="997" xr:uid="{00000000-0005-0000-0000-0000E7030000}"/>
    <cellStyle name="Text Indent C" xfId="998" xr:uid="{00000000-0005-0000-0000-0000E8030000}"/>
    <cellStyle name="Texte explicatif" xfId="999" xr:uid="{00000000-0005-0000-0000-0000E9030000}"/>
    <cellStyle name="Title" xfId="1000" builtinId="15" customBuiltin="1"/>
    <cellStyle name="Title 2" xfId="1001" xr:uid="{00000000-0005-0000-0000-0000EB030000}"/>
    <cellStyle name="Title 3" xfId="1002" xr:uid="{00000000-0005-0000-0000-0000EC030000}"/>
    <cellStyle name="Title 4" xfId="1003" xr:uid="{00000000-0005-0000-0000-0000ED030000}"/>
    <cellStyle name="Title 5" xfId="1004" xr:uid="{00000000-0005-0000-0000-0000EE030000}"/>
    <cellStyle name="Titre" xfId="1005" xr:uid="{00000000-0005-0000-0000-0000EF030000}"/>
    <cellStyle name="Titre 1" xfId="1006" xr:uid="{00000000-0005-0000-0000-0000F0030000}"/>
    <cellStyle name="Titre 2" xfId="1007" xr:uid="{00000000-0005-0000-0000-0000F1030000}"/>
    <cellStyle name="Titre 3" xfId="1008" xr:uid="{00000000-0005-0000-0000-0000F2030000}"/>
    <cellStyle name="Titre 4" xfId="1009" xr:uid="{00000000-0005-0000-0000-0000F3030000}"/>
    <cellStyle name="Total" xfId="1010" builtinId="25" customBuiltin="1"/>
    <cellStyle name="Total 2" xfId="1011" xr:uid="{00000000-0005-0000-0000-0000F5030000}"/>
    <cellStyle name="Total 2 2" xfId="1012" xr:uid="{00000000-0005-0000-0000-0000F6030000}"/>
    <cellStyle name="Total 2 2 2" xfId="1013" xr:uid="{00000000-0005-0000-0000-0000F7030000}"/>
    <cellStyle name="Total 2 2 3" xfId="1014" xr:uid="{00000000-0005-0000-0000-0000F8030000}"/>
    <cellStyle name="Total 2 2 4" xfId="1015" xr:uid="{00000000-0005-0000-0000-0000F9030000}"/>
    <cellStyle name="Total 2 3" xfId="1016" xr:uid="{00000000-0005-0000-0000-0000FA030000}"/>
    <cellStyle name="Total 2 3 2" xfId="1017" xr:uid="{00000000-0005-0000-0000-0000FB030000}"/>
    <cellStyle name="Total 2 3 3" xfId="1018" xr:uid="{00000000-0005-0000-0000-0000FC030000}"/>
    <cellStyle name="Total 2 4" xfId="1019" xr:uid="{00000000-0005-0000-0000-0000FD030000}"/>
    <cellStyle name="Total 2 4 2" xfId="1020" xr:uid="{00000000-0005-0000-0000-0000FE030000}"/>
    <cellStyle name="Total 2 4 3" xfId="1021" xr:uid="{00000000-0005-0000-0000-0000FF030000}"/>
    <cellStyle name="Total 2 5" xfId="1022" xr:uid="{00000000-0005-0000-0000-000000040000}"/>
    <cellStyle name="Total 3" xfId="1023" xr:uid="{00000000-0005-0000-0000-000001040000}"/>
    <cellStyle name="Total 3 2" xfId="1024" xr:uid="{00000000-0005-0000-0000-000002040000}"/>
    <cellStyle name="Total 3 2 2" xfId="1025" xr:uid="{00000000-0005-0000-0000-000003040000}"/>
    <cellStyle name="Total 3 2 3" xfId="1026" xr:uid="{00000000-0005-0000-0000-000004040000}"/>
    <cellStyle name="Total 3 3" xfId="1027" xr:uid="{00000000-0005-0000-0000-000005040000}"/>
    <cellStyle name="Total 3 3 2" xfId="1028" xr:uid="{00000000-0005-0000-0000-000006040000}"/>
    <cellStyle name="Total 3 3 3" xfId="1029" xr:uid="{00000000-0005-0000-0000-000007040000}"/>
    <cellStyle name="Total 3 4" xfId="1030" xr:uid="{00000000-0005-0000-0000-000008040000}"/>
    <cellStyle name="Total 3 4 2" xfId="1031" xr:uid="{00000000-0005-0000-0000-000009040000}"/>
    <cellStyle name="Total 3 4 3" xfId="1032" xr:uid="{00000000-0005-0000-0000-00000A040000}"/>
    <cellStyle name="Total 3 5" xfId="1033" xr:uid="{00000000-0005-0000-0000-00000B040000}"/>
    <cellStyle name="Total 4" xfId="1034" xr:uid="{00000000-0005-0000-0000-00000C040000}"/>
    <cellStyle name="Total 4 2" xfId="1035" xr:uid="{00000000-0005-0000-0000-00000D040000}"/>
    <cellStyle name="Total 4 2 2" xfId="1036" xr:uid="{00000000-0005-0000-0000-00000E040000}"/>
    <cellStyle name="Total 4 2 3" xfId="1037" xr:uid="{00000000-0005-0000-0000-00000F040000}"/>
    <cellStyle name="Total 4 3" xfId="1038" xr:uid="{00000000-0005-0000-0000-000010040000}"/>
    <cellStyle name="Total 4 3 2" xfId="1039" xr:uid="{00000000-0005-0000-0000-000011040000}"/>
    <cellStyle name="Total 4 3 3" xfId="1040" xr:uid="{00000000-0005-0000-0000-000012040000}"/>
    <cellStyle name="Total 4 4" xfId="1041" xr:uid="{00000000-0005-0000-0000-000013040000}"/>
    <cellStyle name="Total 4 4 2" xfId="1042" xr:uid="{00000000-0005-0000-0000-000014040000}"/>
    <cellStyle name="Total 4 4 3" xfId="1043" xr:uid="{00000000-0005-0000-0000-000015040000}"/>
    <cellStyle name="Total 4 5" xfId="1044" xr:uid="{00000000-0005-0000-0000-000016040000}"/>
    <cellStyle name="Total 5" xfId="1045" xr:uid="{00000000-0005-0000-0000-000017040000}"/>
    <cellStyle name="Total 5 2" xfId="1046" xr:uid="{00000000-0005-0000-0000-000018040000}"/>
    <cellStyle name="Total 5 3" xfId="1047" xr:uid="{00000000-0005-0000-0000-000019040000}"/>
    <cellStyle name="Total 6" xfId="1048" xr:uid="{00000000-0005-0000-0000-00001A040000}"/>
    <cellStyle name="Total 6 2" xfId="1049" xr:uid="{00000000-0005-0000-0000-00001B040000}"/>
    <cellStyle name="Total 6 3" xfId="1050" xr:uid="{00000000-0005-0000-0000-00001C040000}"/>
    <cellStyle name="Total 7" xfId="1051" xr:uid="{00000000-0005-0000-0000-00001D040000}"/>
    <cellStyle name="Total 7 2" xfId="1052" xr:uid="{00000000-0005-0000-0000-00001E040000}"/>
    <cellStyle name="Total 7 3" xfId="1053" xr:uid="{00000000-0005-0000-0000-00001F040000}"/>
    <cellStyle name="Total 8" xfId="1054" xr:uid="{00000000-0005-0000-0000-000020040000}"/>
    <cellStyle name="TotalStyleCurrency" xfId="1055" xr:uid="{00000000-0005-0000-0000-000021040000}"/>
    <cellStyle name="TotalStyleText" xfId="1056" xr:uid="{00000000-0005-0000-0000-000022040000}"/>
    <cellStyle name="u5shares" xfId="1057" xr:uid="{00000000-0005-0000-0000-000023040000}"/>
    <cellStyle name="Variable assumptions" xfId="1058" xr:uid="{00000000-0005-0000-0000-000024040000}"/>
    <cellStyle name="Vérification" xfId="1059" xr:uid="{00000000-0005-0000-0000-000025040000}"/>
    <cellStyle name="Warning Text" xfId="1060" builtinId="11" customBuiltin="1"/>
    <cellStyle name="Warning Text 2" xfId="1061" xr:uid="{00000000-0005-0000-0000-000027040000}"/>
    <cellStyle name="Warning Text 2 2" xfId="1062" xr:uid="{00000000-0005-0000-0000-000028040000}"/>
    <cellStyle name="Warning Text 3" xfId="1063" xr:uid="{00000000-0005-0000-0000-000029040000}"/>
    <cellStyle name="Warning Text 4" xfId="1064" xr:uid="{00000000-0005-0000-0000-00002A040000}"/>
    <cellStyle name="Warning Text 5" xfId="1065" xr:uid="{00000000-0005-0000-0000-00002B040000}"/>
  </cellStyles>
  <dxfs count="36"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b/>
        <i val="0"/>
        <condense val="0"/>
        <extend val="0"/>
      </font>
      <fill>
        <patternFill>
          <bgColor indexed="13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1695450</xdr:colOff>
      <xdr:row>2</xdr:row>
      <xdr:rowOff>428625</xdr:rowOff>
    </xdr:from>
    <xdr:to>
      <xdr:col>1</xdr:col>
      <xdr:colOff>2019300</xdr:colOff>
      <xdr:row>2</xdr:row>
      <xdr:rowOff>428625</xdr:rowOff>
    </xdr:to>
    <xdr:sp macro="" textlink="">
      <xdr:nvSpPr>
        <xdr:cNvPr id="1032" name="Line 1">
          <a:extLst>
            <a:ext uri="{FF2B5EF4-FFF2-40B4-BE49-F238E27FC236}">
              <a16:creationId xmlns:a16="http://schemas.microsoft.com/office/drawing/2014/main" id="{1CB881E4-CA7A-86DB-0B38-A12D00BE3C9F}"/>
            </a:ext>
          </a:extLst>
        </xdr:cNvPr>
        <xdr:cNvSpPr>
          <a:spLocks noChangeShapeType="1"/>
        </xdr:cNvSpPr>
      </xdr:nvSpPr>
      <xdr:spPr bwMode="auto">
        <a:xfrm>
          <a:off x="3952875" y="914400"/>
          <a:ext cx="3238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11205</xdr:colOff>
      <xdr:row>14</xdr:row>
      <xdr:rowOff>123265</xdr:rowOff>
    </xdr:from>
    <xdr:to>
      <xdr:col>21</xdr:col>
      <xdr:colOff>121733</xdr:colOff>
      <xdr:row>41</xdr:row>
      <xdr:rowOff>57299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58DA5D-B99D-46A5-8420-5374E7BDF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51105" y="3506545"/>
          <a:ext cx="9338348" cy="48717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38</xdr:row>
      <xdr:rowOff>0</xdr:rowOff>
    </xdr:from>
    <xdr:to>
      <xdr:col>24</xdr:col>
      <xdr:colOff>668040</xdr:colOff>
      <xdr:row>64</xdr:row>
      <xdr:rowOff>121174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0023E9-494F-45D7-9C2B-353F65E20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21300" y="7772400"/>
          <a:ext cx="9484380" cy="48912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952501</xdr:colOff>
      <xdr:row>76</xdr:row>
      <xdr:rowOff>11206</xdr:rowOff>
    </xdr:from>
    <xdr:to>
      <xdr:col>24</xdr:col>
      <xdr:colOff>1015423</xdr:colOff>
      <xdr:row>102</xdr:row>
      <xdr:rowOff>135740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378A45-7218-46D7-82FE-260382C4A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475441" y="14733046"/>
          <a:ext cx="9496482" cy="487941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School%20Funding/Cycle%2017%20-%202025-26/EY%20Block/School%20DATA%20%2025%2026%20%20Spring%20Term.xlsx" TargetMode="External"/><Relationship Id="rId2" Type="http://schemas.openxmlformats.org/officeDocument/2006/relationships/externalLinkPath" Target="file:///X:\School%20Funding\Cycle%2017%20-%202025-26\EY%20Block\School%20DATA%20%2025%2026%20%20Spring%20Term.xlsx" TargetMode="External"/><Relationship Id="rId1" Type="http://schemas.openxmlformats.org/officeDocument/2006/relationships/externalLinkPath" Target="/School%20Funding/Cycle%2017%20-%202025-26/EY%20Block/School%20DATA%20%2025%2026%20%20Spring%20Te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EE 9mt -2YO Sum 25 - 26 "/>
      <sheetName val="FEE9m-2 Aut 25 - 26"/>
      <sheetName val="FEE2Sum 25 - 26"/>
      <sheetName val="FEE9m-2 Spr 25 - 26"/>
      <sheetName val="FEE2 Aut 25 - 26"/>
      <sheetName val="FEE 34 Sum 25 - 26"/>
      <sheetName val="EYPP FEE 34 Summer"/>
      <sheetName val="FEE2 Spring 25 - 26"/>
      <sheetName val="FEE 34 Autumn 25 - 26"/>
      <sheetName val="FEE 34 Spring 25 - 26"/>
      <sheetName val="Suppli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Provider</v>
          </cell>
          <cell r="B1" t="str">
            <v>ID</v>
          </cell>
        </row>
        <row r="2">
          <cell r="A2" t="str">
            <v>All Saints C Of E Primary School - 5282 - Maintained Nursery Class</v>
          </cell>
          <cell r="B2" t="str">
            <v>SCH001</v>
          </cell>
        </row>
        <row r="3">
          <cell r="A3" t="str">
            <v>Annuciation Catholic Infant School - 5331 - Maintained Nursery Class</v>
          </cell>
          <cell r="B3" t="str">
            <v>SCH002</v>
          </cell>
        </row>
        <row r="4">
          <cell r="A4" t="str">
            <v>Barnfield Primary School - 5281 - Maintained Nursery Class</v>
          </cell>
          <cell r="B4" t="str">
            <v>SCH003</v>
          </cell>
        </row>
        <row r="5">
          <cell r="A5" t="str">
            <v>Beis Yaakov Primary School - 5238 - Maintained Nursery Class</v>
          </cell>
          <cell r="B5" t="str">
            <v>SCH004</v>
          </cell>
        </row>
        <row r="6">
          <cell r="A6" t="str">
            <v>Beis Soroh Schneirer - 1832 - Independent School</v>
          </cell>
          <cell r="B6" t="str">
            <v>SCH005</v>
          </cell>
        </row>
        <row r="7">
          <cell r="A7" t="str">
            <v>Beit Shvidler Primary School - 5459 - Maintained Nursery Class</v>
          </cell>
          <cell r="B7" t="str">
            <v>SCH006</v>
          </cell>
        </row>
        <row r="8">
          <cell r="A8" t="str">
            <v>Bell Lane Children's Centre - 4176 - Children's Centre - Main Centre Site</v>
          </cell>
          <cell r="B8" t="str">
            <v>SCH007</v>
          </cell>
        </row>
        <row r="9">
          <cell r="A9" t="str">
            <v>Blessed Dominic Rc School - 5285 - Maintained Nursery Class</v>
          </cell>
          <cell r="B9" t="str">
            <v>SCH008</v>
          </cell>
        </row>
        <row r="10">
          <cell r="A10" t="str">
            <v>Broadfields Primary School - 5286 - Independent School</v>
          </cell>
          <cell r="B10" t="str">
            <v>SCH009</v>
          </cell>
        </row>
        <row r="11">
          <cell r="A11" t="str">
            <v>Broadfields Primary School - 5286 - Maintained Nursery Class</v>
          </cell>
          <cell r="B11" t="str">
            <v>SCH010</v>
          </cell>
        </row>
        <row r="12">
          <cell r="A12" t="str">
            <v>Brookhill Nursery School - 5352 - Nursery School</v>
          </cell>
          <cell r="B12" t="str">
            <v>SCH011</v>
          </cell>
        </row>
        <row r="13">
          <cell r="A13" t="str">
            <v>Brookland Infants &amp; Primary School - 5287 - Maintained Nursery Class</v>
          </cell>
          <cell r="B13" t="str">
            <v>SCH012</v>
          </cell>
        </row>
        <row r="14">
          <cell r="A14" t="str">
            <v>Brunswick Park - 5288 - Maintained Nursery Class</v>
          </cell>
          <cell r="B14" t="str">
            <v>SCH013</v>
          </cell>
        </row>
        <row r="15">
          <cell r="A15" t="str">
            <v>Childs Hill School - 5289 - Maintained Nursery Class</v>
          </cell>
          <cell r="B15" t="str">
            <v>SCH014</v>
          </cell>
        </row>
        <row r="16">
          <cell r="A16" t="str">
            <v>Christ Church Primary School - 5290 - Maintained Nursery Class</v>
          </cell>
          <cell r="B16" t="str">
            <v>SCH015</v>
          </cell>
        </row>
        <row r="17">
          <cell r="A17" t="str">
            <v>Claremont Primary School - 5291 - Maintained Nursery Class</v>
          </cell>
          <cell r="B17" t="str">
            <v>SCH016</v>
          </cell>
        </row>
        <row r="18">
          <cell r="A18" t="str">
            <v>Claremont Primary - 1650 - Maintained Nursery Class</v>
          </cell>
          <cell r="B18" t="str">
            <v>SCH017</v>
          </cell>
        </row>
        <row r="19">
          <cell r="A19" t="str">
            <v>Colindale Primary School - 5292 - Maintained Nursery Class</v>
          </cell>
          <cell r="B19" t="str">
            <v>SCH018</v>
          </cell>
        </row>
        <row r="20">
          <cell r="A20" t="str">
            <v>Coppetts Wood - 5293 - Maintained Nursery Class</v>
          </cell>
          <cell r="B20" t="str">
            <v>SCH019</v>
          </cell>
        </row>
        <row r="21">
          <cell r="A21" t="str">
            <v>Deansbrook Infant School - 5294 - Maintained Nursery Class</v>
          </cell>
          <cell r="B21" t="str">
            <v>SCH021</v>
          </cell>
        </row>
        <row r="22">
          <cell r="A22" t="str">
            <v>Dollis Infant - 1669 - Primary School</v>
          </cell>
          <cell r="B22" t="str">
            <v>SCH022</v>
          </cell>
        </row>
        <row r="23">
          <cell r="A23" t="str">
            <v>Edgware Jewish Girls - Beis Chinuch - 6671 - Independant School - Nursery Unit</v>
          </cell>
          <cell r="B23" t="str">
            <v>SCH023</v>
          </cell>
        </row>
        <row r="24">
          <cell r="A24" t="str">
            <v>Edgware Primary School - 5296 - Maintained Nursery Class</v>
          </cell>
          <cell r="B24" t="str">
            <v>SCH024</v>
          </cell>
        </row>
        <row r="25">
          <cell r="A25" t="str">
            <v>Etz Chaim Jewish Primary School - 5814 - Maintained Nursery Class</v>
          </cell>
          <cell r="B25" t="str">
            <v>SCH025</v>
          </cell>
        </row>
        <row r="26">
          <cell r="A26" t="str">
            <v>Fairway Primary School - 5297 - Maintained Nursery Class</v>
          </cell>
          <cell r="B26" t="str">
            <v>SCH027</v>
          </cell>
        </row>
        <row r="27">
          <cell r="A27" t="str">
            <v>Finchley Yochien - 82 - Nursery School</v>
          </cell>
          <cell r="B27" t="str">
            <v>SCH028</v>
          </cell>
        </row>
        <row r="28">
          <cell r="A28" t="str">
            <v>Frith Manor - 5298 - Maintained Nursery Class</v>
          </cell>
          <cell r="B28" t="str">
            <v>SCH029</v>
          </cell>
        </row>
        <row r="29">
          <cell r="A29" t="str">
            <v>Goldbeaters - 5299 - Maintained Nursery Class</v>
          </cell>
          <cell r="B29" t="str">
            <v>SCH030</v>
          </cell>
        </row>
        <row r="30">
          <cell r="A30" t="str">
            <v>Hampden Way Nursery - 6163 - Nursery School</v>
          </cell>
          <cell r="B30" t="str">
            <v>SCH031</v>
          </cell>
        </row>
        <row r="31">
          <cell r="A31" t="str">
            <v>Hasmonean Primary School - 5330 - Maintained Nursery Class</v>
          </cell>
          <cell r="B31" t="str">
            <v>SCH032</v>
          </cell>
        </row>
        <row r="32">
          <cell r="A32" t="str">
            <v>Hollickwood Primary School - 5300 - Maintained Nursery Class</v>
          </cell>
          <cell r="B32" t="str">
            <v>SCH033</v>
          </cell>
        </row>
        <row r="33">
          <cell r="A33" t="str">
            <v>Holly Park - 5301 - Maintained Nursery Class</v>
          </cell>
          <cell r="B33" t="str">
            <v>SCH034</v>
          </cell>
        </row>
        <row r="34">
          <cell r="A34" t="str">
            <v>Holy Trinity Ce - 5302 - Maintained Nursery Class</v>
          </cell>
          <cell r="B34" t="str">
            <v>SCH035</v>
          </cell>
        </row>
        <row r="35">
          <cell r="A35" t="str">
            <v>Independent Jewish Day - 5303 - Maintained Nursery Class</v>
          </cell>
          <cell r="B35" t="str">
            <v>SCH036</v>
          </cell>
        </row>
        <row r="36">
          <cell r="A36" t="str">
            <v>King Alfred School - 537 - Independent School</v>
          </cell>
          <cell r="B36" t="str">
            <v>SCH037</v>
          </cell>
        </row>
        <row r="37">
          <cell r="A37" t="str">
            <v>Livingstone Primary and Nursery  School - 1676 - Primary School</v>
          </cell>
          <cell r="B37" t="str">
            <v>SCH038</v>
          </cell>
        </row>
        <row r="38">
          <cell r="A38" t="str">
            <v>Lyonsdown School - 419 - Independant School - Nursery Unit</v>
          </cell>
          <cell r="B38" t="str">
            <v>SCH083</v>
          </cell>
        </row>
        <row r="39">
          <cell r="A39" t="str">
            <v>Manorside Primary School - 5305 - Maintained Nursery Class</v>
          </cell>
          <cell r="B39" t="str">
            <v>SCH039</v>
          </cell>
        </row>
        <row r="40">
          <cell r="A40" t="str">
            <v>Martin Primary School - 5306 - Maintained Nursery Class</v>
          </cell>
          <cell r="B40" t="str">
            <v>SCH040</v>
          </cell>
        </row>
        <row r="41">
          <cell r="A41" t="str">
            <v>Mathilda Marks Kennedy - 5307 - Maintained Nursery Class</v>
          </cell>
          <cell r="B41" t="str">
            <v>SCH041</v>
          </cell>
        </row>
        <row r="42">
          <cell r="A42" t="str">
            <v>Menorah Foundation - 5308 - Maintained Nursery Class</v>
          </cell>
          <cell r="B42" t="str">
            <v>SCH042</v>
          </cell>
        </row>
        <row r="43">
          <cell r="A43" t="str">
            <v>Menorah Primary School - 5309 - Maintained Nursery Class</v>
          </cell>
          <cell r="B43" t="str">
            <v>SCH043</v>
          </cell>
        </row>
        <row r="44">
          <cell r="A44" t="str">
            <v>Millbrook Park Church Of England Primary School - 7026 - Independent School</v>
          </cell>
          <cell r="B44" t="str">
            <v>SCH044</v>
          </cell>
        </row>
        <row r="45">
          <cell r="A45" t="str">
            <v>Moss Hall Nursery School - 1764 - Nursery School</v>
          </cell>
          <cell r="B45" t="str">
            <v>SCH045</v>
          </cell>
        </row>
        <row r="46">
          <cell r="A46" t="str">
            <v>Nancy Reuben Primary School - 369 - Independent School</v>
          </cell>
          <cell r="B46" t="str">
            <v>SCH046</v>
          </cell>
        </row>
        <row r="47">
          <cell r="A47" t="str">
            <v>Newstead Children's Centre - 1343 - Day Nursery</v>
          </cell>
          <cell r="B47" t="str">
            <v>SCH047</v>
          </cell>
        </row>
        <row r="48">
          <cell r="A48" t="str">
            <v>Noam Primary School - 7761 - Primary School</v>
          </cell>
          <cell r="B48" t="str">
            <v>SCH048</v>
          </cell>
        </row>
        <row r="49">
          <cell r="A49" t="str">
            <v>Northside Primary School - 5310 - Maintained Nursery Class</v>
          </cell>
          <cell r="B49" t="str">
            <v>SCH049</v>
          </cell>
        </row>
        <row r="50">
          <cell r="A50" t="str">
            <v>Our Lady Of Lourdes Catholic Primary School - 5461 - Maintained Nursery Class</v>
          </cell>
          <cell r="B50" t="str">
            <v>SCH052</v>
          </cell>
        </row>
        <row r="51">
          <cell r="A51" t="str">
            <v>Parkfield - 1678 - Day Nursery</v>
          </cell>
          <cell r="B51" t="str">
            <v>SCH053</v>
          </cell>
        </row>
        <row r="52">
          <cell r="A52" t="str">
            <v>Parkfield Primary Academy - 5311 - Academy</v>
          </cell>
          <cell r="B52" t="str">
            <v>SCH055</v>
          </cell>
        </row>
        <row r="53">
          <cell r="A53" t="str">
            <v>Peninim - 5813 - Independant School - Nursery Unit</v>
          </cell>
          <cell r="B53" t="str">
            <v>SCH056</v>
          </cell>
        </row>
        <row r="54">
          <cell r="A54" t="str">
            <v>Queenswell Federation - 1689 - Maintained Nursery Class</v>
          </cell>
          <cell r="B54" t="str">
            <v>SCH057</v>
          </cell>
        </row>
        <row r="55">
          <cell r="A55" t="str">
            <v>Queenswell Infant &amp; Nursery School - 1689 - Maintained Nursery Class</v>
          </cell>
          <cell r="B55" t="str">
            <v>SCH058</v>
          </cell>
        </row>
        <row r="56">
          <cell r="A56" t="str">
            <v>Rosh Pinah Primary School - 5313 - Maintained Nursery Class</v>
          </cell>
          <cell r="B56" t="str">
            <v>SCH059</v>
          </cell>
        </row>
        <row r="57">
          <cell r="A57" t="str">
            <v>St Agnes Catholic School - 5314 - Maintained Nursery Class</v>
          </cell>
          <cell r="B57" t="str">
            <v>SCH060</v>
          </cell>
        </row>
        <row r="58">
          <cell r="A58" t="str">
            <v>St Catherine's Catholic - 5315 - Maintained Nursery Class</v>
          </cell>
          <cell r="B58" t="str">
            <v>SCH061</v>
          </cell>
        </row>
        <row r="59">
          <cell r="A59" t="str">
            <v>St Johns Ce - 5316 - Maintained Nursery Class</v>
          </cell>
          <cell r="B59" t="str">
            <v>SCH062</v>
          </cell>
        </row>
        <row r="60">
          <cell r="A60" t="str">
            <v>St Johns Ce N20 - 5317 - Primary School</v>
          </cell>
          <cell r="B60" t="str">
            <v>SCH063</v>
          </cell>
        </row>
        <row r="61">
          <cell r="A61" t="str">
            <v>St Joseph's Catholic School - 5329 - Maintained Nursery Class</v>
          </cell>
          <cell r="B61" t="str">
            <v>SCH064</v>
          </cell>
        </row>
        <row r="62">
          <cell r="A62" t="str">
            <v>St Margaret's Nursery School - 1776 - Nursery School</v>
          </cell>
          <cell r="B62" t="str">
            <v>SCH065</v>
          </cell>
        </row>
        <row r="63">
          <cell r="A63" t="str">
            <v>St Mary's &amp; John's Cofe Primary School - 5319 - Maintained Nursery Class</v>
          </cell>
          <cell r="B63" t="str">
            <v>SCH066</v>
          </cell>
        </row>
        <row r="64">
          <cell r="A64" t="str">
            <v>St Mary's Ce N3 - 5318 - Maintained Nursery Class</v>
          </cell>
          <cell r="B64" t="str">
            <v>SCH068</v>
          </cell>
        </row>
        <row r="65">
          <cell r="A65" t="str">
            <v>St Paul's Ce N11 - 5320 - Maintained Nursery Class</v>
          </cell>
          <cell r="B65" t="str">
            <v>SCH069</v>
          </cell>
        </row>
        <row r="66">
          <cell r="A66" t="str">
            <v>Summerside Academy - 5321 - Maintained Nursery Class</v>
          </cell>
          <cell r="B66" t="str">
            <v>SCH070</v>
          </cell>
        </row>
        <row r="67">
          <cell r="A67" t="str">
            <v>Sunnyfields - 5322 - Maintained Nursery Class</v>
          </cell>
          <cell r="B67" t="str">
            <v>SCH071</v>
          </cell>
        </row>
        <row r="68">
          <cell r="A68" t="str">
            <v>The Hyde - 5323 - Maintained Nursery Class</v>
          </cell>
          <cell r="B68" t="str">
            <v>SCH072</v>
          </cell>
        </row>
        <row r="69">
          <cell r="A69" t="str">
            <v>The Orion - 5324 - Maintained Nursery Class</v>
          </cell>
          <cell r="B69" t="str">
            <v>SCH073</v>
          </cell>
        </row>
        <row r="70">
          <cell r="A70" t="str">
            <v>Tudor Primary School - 5325 - Maintained Nursery Class</v>
          </cell>
          <cell r="B70" t="str">
            <v>SCH075</v>
          </cell>
        </row>
        <row r="71">
          <cell r="A71" t="str">
            <v>Underhill School &amp; Children''s Centre - 7956 - Maintained Nursery Class</v>
          </cell>
          <cell r="B71" t="str">
            <v>SCH078</v>
          </cell>
        </row>
        <row r="72">
          <cell r="A72" t="str">
            <v>Wessex Gardens - 5326 - Maintained Nursery Class</v>
          </cell>
          <cell r="B72" t="str">
            <v>SCH079</v>
          </cell>
        </row>
        <row r="73">
          <cell r="A73" t="str">
            <v>Whitings Hill - 5327 - Maintained Nursery Class</v>
          </cell>
          <cell r="B73" t="str">
            <v>SCH080</v>
          </cell>
        </row>
        <row r="74">
          <cell r="A74" t="str">
            <v>Woodcroft - 1766 - Maintained Nursery Class</v>
          </cell>
          <cell r="B74" t="str">
            <v>SCH081</v>
          </cell>
        </row>
        <row r="75">
          <cell r="A75" t="str">
            <v>Hendon Preparatory And Pre-School - 111 - Independent School</v>
          </cell>
          <cell r="B75" t="str">
            <v>SCH082</v>
          </cell>
        </row>
        <row r="76">
          <cell r="A76" t="str">
            <v>St Anthony's School For Girls - 8056 - Independent School</v>
          </cell>
          <cell r="B76" t="str">
            <v>SCH083</v>
          </cell>
        </row>
        <row r="77">
          <cell r="A77" t="str">
            <v>St Martin's School - 543 - Independant School - Nursery Unit</v>
          </cell>
          <cell r="B77" t="str">
            <v>SCH084</v>
          </cell>
        </row>
        <row r="78">
          <cell r="A78" t="str">
            <v>St Theresa's Rc School Nursery - 8327 - Maintained Nursery Class</v>
          </cell>
          <cell r="B78" t="str">
            <v>SCH085</v>
          </cell>
        </row>
        <row r="79">
          <cell r="A79" t="str">
            <v>St Vincents Catholic Primary School - 8293 - Maintained Nursery Class</v>
          </cell>
          <cell r="B79" t="str">
            <v>SCH086</v>
          </cell>
        </row>
        <row r="80">
          <cell r="A80" t="str">
            <v>Hendon Preparatory And Pre-School - 111 - Independant School - Nursery Unit</v>
          </cell>
          <cell r="B80" t="str">
            <v>SCH087</v>
          </cell>
        </row>
        <row r="88">
          <cell r="A88" t="str">
            <v>PVI's not to be included in the school heacounts</v>
          </cell>
        </row>
        <row r="89">
          <cell r="A89" t="str">
            <v>Akibola, Deirdre Bolanle - 6237 - Childminder</v>
          </cell>
        </row>
        <row r="90">
          <cell r="A90" t="str">
            <v>Blue Skies Nursery - 5203 - Day Nursery</v>
          </cell>
        </row>
        <row r="91">
          <cell r="A91" t="str">
            <v>MacKinnon, Lesley - 39 - Childminder</v>
          </cell>
        </row>
        <row r="92">
          <cell r="A92" t="str">
            <v>Milicevic, Ivana - 6257 - Childminder</v>
          </cell>
        </row>
        <row r="93">
          <cell r="A93" t="str">
            <v>Pardes House - 1443 - Day Nursery</v>
          </cell>
        </row>
        <row r="94">
          <cell r="A94" t="str">
            <v>St. Philips Pre-School - 1407 - Playgroup Or Pre-School</v>
          </cell>
        </row>
        <row r="95">
          <cell r="A95" t="str">
            <v>Twisty Tails Nursery Ltd - 5375 - Day Nursery</v>
          </cell>
        </row>
        <row r="96">
          <cell r="A96" t="str">
            <v>Fountain Montessori Nursery And Pre-School -edgware - 7837 - Day Nursery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indexed="36"/>
  </sheetPr>
  <dimension ref="A1:AH529"/>
  <sheetViews>
    <sheetView tabSelected="1" zoomScale="80" zoomScaleNormal="80" workbookViewId="0">
      <pane xSplit="2" ySplit="7" topLeftCell="C8" activePane="bottomRight" state="frozen"/>
      <selection activeCell="A57" sqref="A57:IV57"/>
      <selection pane="topRight" activeCell="A57" sqref="A57:IV57"/>
      <selection pane="bottomLeft" activeCell="A57" sqref="A57:IV57"/>
      <selection pane="bottomRight" activeCell="C3" sqref="C3"/>
    </sheetView>
  </sheetViews>
  <sheetFormatPr defaultRowHeight="13.2"/>
  <cols>
    <col min="1" max="1" width="32.88671875" customWidth="1"/>
    <col min="2" max="2" width="35.33203125" customWidth="1"/>
    <col min="3" max="6" width="18.88671875" customWidth="1"/>
    <col min="7" max="7" width="16.33203125" bestFit="1" customWidth="1"/>
    <col min="8" max="9" width="14.33203125" bestFit="1" customWidth="1"/>
    <col min="10" max="11" width="15.5546875" bestFit="1" customWidth="1"/>
    <col min="29" max="32" width="11.33203125" customWidth="1"/>
  </cols>
  <sheetData>
    <row r="1" spans="1:34" ht="19.2" thickBot="1">
      <c r="A1" s="209" t="s">
        <v>493</v>
      </c>
      <c r="B1" s="30"/>
      <c r="C1" s="30"/>
      <c r="D1" s="30"/>
      <c r="E1" s="30"/>
      <c r="F1" s="30"/>
      <c r="G1" s="30"/>
      <c r="H1" s="30"/>
      <c r="I1" s="30"/>
      <c r="J1" s="30"/>
      <c r="AD1" t="e">
        <f>VLOOKUP(C2,'All Schools Data view only'!A:EC,61,0)</f>
        <v>#N/A</v>
      </c>
    </row>
    <row r="2" spans="1:34" ht="18.600000000000001" thickTop="1" thickBot="1">
      <c r="B2" s="31" t="s">
        <v>297</v>
      </c>
      <c r="C2" s="1">
        <f>VLOOKUP(C3,$B$422:$C$537,2,0)</f>
        <v>9999</v>
      </c>
      <c r="D2" s="1">
        <f>VLOOKUP(D3,$B$422:$C$537,2,0)</f>
        <v>9999</v>
      </c>
      <c r="E2" s="1">
        <f>VLOOKUP(E3,$B$422:$C$537,2,0)</f>
        <v>9999</v>
      </c>
      <c r="F2" s="1">
        <f>VLOOKUP(F3,$B$422:$C$537,2,0)</f>
        <v>9999</v>
      </c>
      <c r="AC2" s="11" t="s">
        <v>376</v>
      </c>
      <c r="AD2" s="11" t="s">
        <v>377</v>
      </c>
      <c r="AE2" s="11" t="s">
        <v>378</v>
      </c>
      <c r="AF2" s="11" t="s">
        <v>379</v>
      </c>
      <c r="AG2" s="11" t="s">
        <v>380</v>
      </c>
      <c r="AH2" s="29"/>
    </row>
    <row r="3" spans="1:34" ht="42.75" customHeight="1" thickTop="1" thickBot="1">
      <c r="A3" s="314" t="s">
        <v>0</v>
      </c>
      <c r="B3" s="315"/>
      <c r="C3" s="219" t="s">
        <v>26</v>
      </c>
      <c r="D3" s="219" t="s">
        <v>26</v>
      </c>
      <c r="E3" s="219" t="s">
        <v>26</v>
      </c>
      <c r="F3" s="219" t="s">
        <v>26</v>
      </c>
      <c r="AC3" s="24">
        <v>1999</v>
      </c>
      <c r="AD3">
        <v>5999</v>
      </c>
      <c r="AE3">
        <v>6999</v>
      </c>
      <c r="AF3">
        <v>7999</v>
      </c>
      <c r="AG3">
        <v>8999</v>
      </c>
    </row>
    <row r="4" spans="1:34" ht="13.5" hidden="1" customHeight="1" thickTop="1" thickBot="1"/>
    <row r="5" spans="1:34" ht="17.25" customHeight="1" thickTop="1" thickBot="1">
      <c r="B5" s="32" t="s">
        <v>283</v>
      </c>
      <c r="C5" s="211" t="e">
        <f>VLOOKUP(C2,'All Schools Data view only'!$A$4:$EC$94,65,0)</f>
        <v>#N/A</v>
      </c>
      <c r="D5" s="211" t="e">
        <f>VLOOKUP(D2,'All Schools Data view only'!$A$4:$EC$94,65,0)</f>
        <v>#N/A</v>
      </c>
      <c r="E5" s="211" t="e">
        <f>VLOOKUP(E2,'All Schools Data view only'!$A$4:$EC$94,65,0)</f>
        <v>#N/A</v>
      </c>
      <c r="F5" s="211" t="e">
        <f>VLOOKUP(F2,'All Schools Data view only'!$A$4:$EC$94,65,0)</f>
        <v>#N/A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34" ht="16.8" thickTop="1" thickBot="1">
      <c r="A6" s="33"/>
      <c r="B6" s="34"/>
      <c r="C6" s="35"/>
      <c r="D6" s="35"/>
      <c r="E6" s="35"/>
      <c r="F6" s="35"/>
      <c r="G6" s="316" t="s">
        <v>298</v>
      </c>
      <c r="H6" s="317"/>
      <c r="I6" s="317"/>
      <c r="J6" s="317"/>
      <c r="K6" s="318"/>
    </row>
    <row r="7" spans="1:34" ht="49.2" customHeight="1" thickTop="1" thickBot="1">
      <c r="A7" s="212" t="s">
        <v>1</v>
      </c>
      <c r="B7" s="213" t="s">
        <v>2</v>
      </c>
      <c r="C7" s="210" t="s">
        <v>3</v>
      </c>
      <c r="D7" s="210" t="s">
        <v>3</v>
      </c>
      <c r="E7" s="210" t="s">
        <v>3</v>
      </c>
      <c r="F7" s="210" t="s">
        <v>3</v>
      </c>
      <c r="G7" s="214" t="s">
        <v>4</v>
      </c>
      <c r="H7" s="215" t="s">
        <v>5</v>
      </c>
      <c r="I7" s="215" t="s">
        <v>6</v>
      </c>
      <c r="J7" s="216" t="s">
        <v>7</v>
      </c>
      <c r="K7" s="216" t="s">
        <v>303</v>
      </c>
    </row>
    <row r="8" spans="1:34" ht="16.2" thickTop="1">
      <c r="A8" s="36" t="s">
        <v>8</v>
      </c>
      <c r="B8" s="37"/>
      <c r="C8" s="38"/>
      <c r="D8" s="38"/>
      <c r="E8" s="38"/>
      <c r="F8" s="38"/>
      <c r="G8" s="46"/>
      <c r="H8" s="47"/>
      <c r="I8" s="47"/>
      <c r="J8" s="47"/>
      <c r="K8" s="48"/>
    </row>
    <row r="9" spans="1:34" ht="15.6">
      <c r="A9" s="39" t="s">
        <v>226</v>
      </c>
      <c r="B9" s="40" t="s">
        <v>9</v>
      </c>
      <c r="C9" s="41" t="str">
        <f>IF(ISERROR(VLOOKUP(C$2,'All Schools Data view only'!$A:$EC,68,0)),"",VLOOKUP(C$2,'All Schools Data view only'!$A:$EC,68,0))</f>
        <v/>
      </c>
      <c r="D9" s="41" t="str">
        <f>IF(ISERROR(VLOOKUP(D$2,'All Schools Data view only'!$A:$EC,68,0)),"",VLOOKUP(D$2,'All Schools Data view only'!$A:$EC,68,0))</f>
        <v/>
      </c>
      <c r="E9" s="41" t="str">
        <f>IF(ISERROR(VLOOKUP(E$2,'All Schools Data view only'!$A:$EC,68,0)),"",VLOOKUP(E$2,'All Schools Data view only'!$A:$EC,68,0))</f>
        <v/>
      </c>
      <c r="F9" s="41" t="str">
        <f>IF(ISERROR(VLOOKUP(F$2,'All Schools Data view only'!$A:$EC,68,0)),"",VLOOKUP(F$2,'All Schools Data view only'!$A:$EC,68,0))</f>
        <v/>
      </c>
      <c r="G9" s="42">
        <f>VLOOKUP(AC$3,'All Schools Data view only'!$A:$EC,68,0)</f>
        <v>0.35657546363890247</v>
      </c>
      <c r="H9" s="42">
        <f>VLOOKUP(AD$3,'All Schools Data view only'!$A:$EC,68,0)</f>
        <v>0.74955796460287727</v>
      </c>
      <c r="I9" s="42">
        <f>VLOOKUP(AE$3,'All Schools Data view only'!$A:$EC,68,0)</f>
        <v>0.66841363231408801</v>
      </c>
      <c r="J9" s="42">
        <f>VLOOKUP(AF$3,'All Schools Data view only'!$A:$EC,68,0)</f>
        <v>0.3666903921627987</v>
      </c>
      <c r="K9" s="49">
        <f>VLOOKUP(AG$3,'All Schools Data view only'!$A:$EC,68,0)</f>
        <v>0.58120447250103835</v>
      </c>
    </row>
    <row r="10" spans="1:34" ht="15.6">
      <c r="A10" s="36"/>
      <c r="B10" s="43" t="s">
        <v>10</v>
      </c>
      <c r="C10" s="44" t="str">
        <f>IF(ISERROR(VLOOKUP(C$2,'All Schools Data view only'!$A:$EC,69,0)),"",VLOOKUP(C$2,'All Schools Data view only'!$A:$EC,69,0))</f>
        <v/>
      </c>
      <c r="D10" s="44" t="str">
        <f>IF(ISERROR(VLOOKUP(D$2,'All Schools Data view only'!$A:$EC,69,0)),"",VLOOKUP(D$2,'All Schools Data view only'!$A:$EC,69,0))</f>
        <v/>
      </c>
      <c r="E10" s="44" t="str">
        <f>IF(ISERROR(VLOOKUP(E$2,'All Schools Data view only'!$A:$EC,69,0)),"",VLOOKUP(E$2,'All Schools Data view only'!$A:$EC,69,0))</f>
        <v/>
      </c>
      <c r="F10" s="44" t="str">
        <f>IF(ISERROR(VLOOKUP(F$2,'All Schools Data view only'!$A:$EC,69,0)),"",VLOOKUP(F$2,'All Schools Data view only'!$A:$EC,69,0))</f>
        <v/>
      </c>
      <c r="G10" s="45">
        <f>VLOOKUP(AC$3,'All Schools Data view only'!$A:$EC,69,0)</f>
        <v>3882.8577648644714</v>
      </c>
      <c r="H10" s="45">
        <f>VLOOKUP(AD$3,'All Schools Data view only'!$A:$EC,69,0)</f>
        <v>6789.9641796488404</v>
      </c>
      <c r="I10" s="45">
        <f>VLOOKUP(AE$3,'All Schools Data view only'!$A:$EC,69,0)</f>
        <v>7913.3042550209211</v>
      </c>
      <c r="J10" s="45">
        <f>VLOOKUP(AF$3,'All Schools Data view only'!$A:$EC,69,0)</f>
        <v>17896.646618180384</v>
      </c>
      <c r="K10" s="50">
        <f>VLOOKUP(AG$3,'All Schools Data view only'!$A:$EC,69,0)</f>
        <v>67338.054345238081</v>
      </c>
    </row>
    <row r="11" spans="1:34" ht="15.6">
      <c r="A11" s="36"/>
      <c r="B11" s="37"/>
      <c r="C11" s="38"/>
      <c r="D11" s="38"/>
      <c r="E11" s="38"/>
      <c r="F11" s="38"/>
      <c r="G11" s="46"/>
      <c r="H11" s="47"/>
      <c r="I11" s="47"/>
      <c r="J11" s="47"/>
      <c r="K11" s="48"/>
    </row>
    <row r="12" spans="1:34" ht="15.6">
      <c r="A12" s="39" t="s">
        <v>119</v>
      </c>
      <c r="B12" s="40" t="s">
        <v>9</v>
      </c>
      <c r="C12" s="41" t="str">
        <f>IF(ISERROR(VLOOKUP(C$2,'All Schools Data view only'!$A:$EC,70,0)),"",VLOOKUP(C$2,'All Schools Data view only'!$A:$EC,70,0))</f>
        <v/>
      </c>
      <c r="D12" s="41" t="str">
        <f>IF(ISERROR(VLOOKUP(D$2,'All Schools Data view only'!$A:$EC,70,0)),"",VLOOKUP(D$2,'All Schools Data view only'!$A:$EC,70,0))</f>
        <v/>
      </c>
      <c r="E12" s="41" t="str">
        <f>IF(ISERROR(VLOOKUP(E$2,'All Schools Data view only'!$A:$EC,70,0)),"",VLOOKUP(E$2,'All Schools Data view only'!$A:$EC,70,0))</f>
        <v/>
      </c>
      <c r="F12" s="41" t="str">
        <f>IF(ISERROR(VLOOKUP(F$2,'All Schools Data view only'!$A:$EC,70,0)),"",VLOOKUP(F$2,'All Schools Data view only'!$A:$EC,70,0))</f>
        <v/>
      </c>
      <c r="G12" s="42">
        <f>VLOOKUP(AC$3,'All Schools Data view only'!$A:$EC,70,0)</f>
        <v>0</v>
      </c>
      <c r="H12" s="42">
        <f>VLOOKUP(AD$3,'All Schools Data view only'!$A:$EC,70,0)</f>
        <v>0</v>
      </c>
      <c r="I12" s="42">
        <f>VLOOKUP(AE$3,'All Schools Data view only'!$A:$EC,70,0)</f>
        <v>0.14137274671867342</v>
      </c>
      <c r="J12" s="42">
        <f>VLOOKUP(AF$3,'All Schools Data view only'!$A:$EC,70,0)</f>
        <v>2.7897352701567661E-4</v>
      </c>
      <c r="K12" s="49">
        <f>VLOOKUP(AG$3,'All Schools Data view only'!$A:$EC,70,0)</f>
        <v>0</v>
      </c>
    </row>
    <row r="13" spans="1:34" ht="15.6">
      <c r="A13" s="39"/>
      <c r="B13" s="43" t="s">
        <v>10</v>
      </c>
      <c r="C13" s="44" t="str">
        <f>IF(ISERROR(VLOOKUP(C$2,'All Schools Data view only'!$A:$EC,71,0)),"",VLOOKUP(C$2,'All Schools Data view only'!$A:$EC,71,0))</f>
        <v/>
      </c>
      <c r="D13" s="44" t="str">
        <f>IF(ISERROR(VLOOKUP(D$2,'All Schools Data view only'!$A:$EC,71,0)),"",VLOOKUP(D$2,'All Schools Data view only'!$A:$EC,71,0))</f>
        <v/>
      </c>
      <c r="E13" s="44" t="str">
        <f>IF(ISERROR(VLOOKUP(E$2,'All Schools Data view only'!$A:$EC,71,0)),"",VLOOKUP(E$2,'All Schools Data view only'!$A:$EC,71,0))</f>
        <v/>
      </c>
      <c r="F13" s="44" t="str">
        <f>IF(ISERROR(VLOOKUP(F$2,'All Schools Data view only'!$A:$EC,71,0)),"",VLOOKUP(F$2,'All Schools Data view only'!$A:$EC,71,0))</f>
        <v/>
      </c>
      <c r="G13" s="45">
        <f>VLOOKUP(AC$3,'All Schools Data view only'!$A:$EC,71,0)</f>
        <v>0</v>
      </c>
      <c r="H13" s="45">
        <f>VLOOKUP(AD$3,'All Schools Data view only'!$A:$EC,71,0)</f>
        <v>0</v>
      </c>
      <c r="I13" s="45">
        <f>VLOOKUP(AE$3,'All Schools Data view only'!$A:$EC,71,0)</f>
        <v>1726.0909804514704</v>
      </c>
      <c r="J13" s="45">
        <f>VLOOKUP(AF$3,'All Schools Data view only'!$A:$EC,71,0)</f>
        <v>18.638356164383563</v>
      </c>
      <c r="K13" s="50">
        <f>VLOOKUP(AG$3,'All Schools Data view only'!$A:$EC,71,0)</f>
        <v>0</v>
      </c>
      <c r="L13" s="42"/>
    </row>
    <row r="14" spans="1:34" ht="15.6">
      <c r="A14" s="39"/>
      <c r="B14" s="43"/>
      <c r="C14" s="38"/>
      <c r="D14" s="38"/>
      <c r="E14" s="38"/>
      <c r="F14" s="38"/>
      <c r="G14" s="46"/>
      <c r="H14" s="47"/>
      <c r="I14" s="47"/>
      <c r="J14" s="47"/>
      <c r="K14" s="48"/>
    </row>
    <row r="15" spans="1:34" ht="15.6">
      <c r="A15" s="39" t="s">
        <v>120</v>
      </c>
      <c r="B15" s="40" t="s">
        <v>9</v>
      </c>
      <c r="C15" s="41" t="str">
        <f>IF(ISERROR(VLOOKUP(C$2,'All Schools Data view only'!$A:$EC,72,0)),"",VLOOKUP(C$2,'All Schools Data view only'!$A:$EC,72,0))</f>
        <v/>
      </c>
      <c r="D15" s="41" t="str">
        <f>IF(ISERROR(VLOOKUP(D$2,'All Schools Data view only'!$A:$EC,72,0)),"",VLOOKUP(D$2,'All Schools Data view only'!$A:$EC,72,0))</f>
        <v/>
      </c>
      <c r="E15" s="41" t="str">
        <f>IF(ISERROR(VLOOKUP(E$2,'All Schools Data view only'!$A:$EC,72,0)),"",VLOOKUP(E$2,'All Schools Data view only'!$A:$EC,72,0))</f>
        <v/>
      </c>
      <c r="F15" s="41" t="str">
        <f>IF(ISERROR(VLOOKUP(F$2,'All Schools Data view only'!$A:$EC,72,0)),"",VLOOKUP(F$2,'All Schools Data view only'!$A:$EC,72,0))</f>
        <v/>
      </c>
      <c r="G15" s="42">
        <f>VLOOKUP(AC$3,'All Schools Data view only'!$A:$EC,72,0)</f>
        <v>1.2045214696447376E-2</v>
      </c>
      <c r="H15" s="42">
        <f>VLOOKUP(AD$3,'All Schools Data view only'!$A:$EC,72,0)</f>
        <v>7.0161524507500114E-2</v>
      </c>
      <c r="I15" s="42">
        <f>VLOOKUP(AE$3,'All Schools Data view only'!$A:$EC,72,0)</f>
        <v>4.9360681001674518E-2</v>
      </c>
      <c r="J15" s="42">
        <f>VLOOKUP(AF$3,'All Schools Data view only'!$A:$EC,72,0)</f>
        <v>0.56352359084104309</v>
      </c>
      <c r="K15" s="49">
        <f>VLOOKUP(AG$3,'All Schools Data view only'!$A:$EC,72,0)</f>
        <v>0.17374828559570676</v>
      </c>
    </row>
    <row r="16" spans="1:34" ht="15.6">
      <c r="A16" s="39"/>
      <c r="B16" s="43" t="s">
        <v>10</v>
      </c>
      <c r="C16" s="44" t="str">
        <f>IF(ISERROR(VLOOKUP(C$2,'All Schools Data view only'!$A:$EC,73,0)),"",VLOOKUP(C$2,'All Schools Data view only'!$A:$EC,73,0))</f>
        <v/>
      </c>
      <c r="D16" s="44" t="str">
        <f>IF(ISERROR(VLOOKUP(D$2,'All Schools Data view only'!$A:$EC,73,0)),"",VLOOKUP(D$2,'All Schools Data view only'!$A:$EC,73,0))</f>
        <v/>
      </c>
      <c r="E16" s="44" t="str">
        <f>IF(ISERROR(VLOOKUP(E$2,'All Schools Data view only'!$A:$EC,73,0)),"",VLOOKUP(E$2,'All Schools Data view only'!$A:$EC,73,0))</f>
        <v/>
      </c>
      <c r="F16" s="44" t="str">
        <f>IF(ISERROR(VLOOKUP(F$2,'All Schools Data view only'!$A:$EC,73,0)),"",VLOOKUP(F$2,'All Schools Data view only'!$A:$EC,73,0))</f>
        <v/>
      </c>
      <c r="G16" s="45">
        <f>VLOOKUP(AC$3,'All Schools Data view only'!$A:$EC,73,0)</f>
        <v>130.07017997668319</v>
      </c>
      <c r="H16" s="45">
        <f>VLOOKUP(AD$3,'All Schools Data view only'!$A:$EC,73,0)</f>
        <v>669.97913744965388</v>
      </c>
      <c r="I16" s="45">
        <f>VLOOKUP(AE$3,'All Schools Data view only'!$A:$EC,73,0)</f>
        <v>649.46558862219774</v>
      </c>
      <c r="J16" s="45">
        <f>VLOOKUP(AF$3,'All Schools Data view only'!$A:$EC,73,0)</f>
        <v>28747.553223403982</v>
      </c>
      <c r="K16" s="50">
        <f>VLOOKUP(AG$3,'All Schools Data view only'!$A:$EC,73,0)</f>
        <v>16406.781101190474</v>
      </c>
    </row>
    <row r="17" spans="1:11" ht="15">
      <c r="A17" s="39"/>
      <c r="B17" s="43"/>
      <c r="C17" s="51"/>
      <c r="D17" s="51"/>
      <c r="E17" s="51"/>
      <c r="F17" s="51"/>
      <c r="G17" s="46"/>
      <c r="H17" s="47"/>
      <c r="I17" s="47"/>
      <c r="J17" s="47"/>
      <c r="K17" s="48"/>
    </row>
    <row r="18" spans="1:11" ht="15.6">
      <c r="A18" s="39" t="s">
        <v>295</v>
      </c>
      <c r="B18" s="40" t="s">
        <v>9</v>
      </c>
      <c r="C18" s="41" t="str">
        <f>IF(ISERROR(VLOOKUP(C$2,'All Schools Data view only'!$A:$EC,76,0)),"",VLOOKUP(C$2,'All Schools Data view only'!$A:$EC,76,0))</f>
        <v/>
      </c>
      <c r="D18" s="41" t="str">
        <f>IF(ISERROR(VLOOKUP(D$2,'All Schools Data view only'!$A:$EC,76,0)),"",VLOOKUP(D$2,'All Schools Data view only'!$A:$EC,76,0))</f>
        <v/>
      </c>
      <c r="E18" s="41" t="str">
        <f>IF(ISERROR(VLOOKUP(E$2,'All Schools Data view only'!$A:$EC,76,0)),"",VLOOKUP(E$2,'All Schools Data view only'!$A:$EC,76,0))</f>
        <v/>
      </c>
      <c r="F18" s="41" t="str">
        <f>IF(ISERROR(VLOOKUP(F$2,'All Schools Data view only'!$A:$EC,76,0)),"",VLOOKUP(F$2,'All Schools Data view only'!$A:$EC,76,0))</f>
        <v/>
      </c>
      <c r="G18" s="42">
        <f>VLOOKUP(AC$3,'All Schools Data view only'!$A:$EC,76,0)</f>
        <v>0</v>
      </c>
      <c r="H18" s="42">
        <f>VLOOKUP(AD$3,'All Schools Data view only'!$A:$EC,76,0)</f>
        <v>3.4005077230865891E-2</v>
      </c>
      <c r="I18" s="42">
        <f>VLOOKUP(AE$3,'All Schools Data view only'!$A:$EC,76,0)</f>
        <v>1.8695048878693804E-2</v>
      </c>
      <c r="J18" s="42">
        <f>VLOOKUP(AF$3,'All Schools Data view only'!$A:$EC,76,0)</f>
        <v>1.3853899383235621E-2</v>
      </c>
      <c r="K18" s="49">
        <f>VLOOKUP(AG$3,'All Schools Data view only'!$A:$EC,76,0)</f>
        <v>7.1038857908834636E-3</v>
      </c>
    </row>
    <row r="19" spans="1:11" ht="15.6">
      <c r="A19" s="39"/>
      <c r="B19" s="43" t="s">
        <v>10</v>
      </c>
      <c r="C19" s="44" t="str">
        <f>IF(ISERROR(VLOOKUP(C$2,'All Schools Data view only'!$A:$EC,77,0)),"",VLOOKUP(C$2,'All Schools Data view only'!$A:$EC,77,0))</f>
        <v/>
      </c>
      <c r="D19" s="44" t="str">
        <f>IF(ISERROR(VLOOKUP(D$2,'All Schools Data view only'!$A:$EC,77,0)),"",VLOOKUP(D$2,'All Schools Data view only'!$A:$EC,77,0))</f>
        <v/>
      </c>
      <c r="E19" s="44" t="str">
        <f>IF(ISERROR(VLOOKUP(E$2,'All Schools Data view only'!$A:$EC,77,0)),"",VLOOKUP(E$2,'All Schools Data view only'!$A:$EC,77,0))</f>
        <v/>
      </c>
      <c r="F19" s="44" t="str">
        <f>IF(ISERROR(VLOOKUP(F$2,'All Schools Data view only'!$A:$EC,77,0)),"",VLOOKUP(F$2,'All Schools Data view only'!$A:$EC,77,0))</f>
        <v/>
      </c>
      <c r="G19" s="45">
        <f>VLOOKUP(AC$3,'All Schools Data view only'!$A:$EC,77,0)</f>
        <v>0</v>
      </c>
      <c r="H19" s="45">
        <f>VLOOKUP(AD$3,'All Schools Data view only'!$A:$EC,77,0)</f>
        <v>309.47882632743858</v>
      </c>
      <c r="I19" s="45">
        <f>VLOOKUP(AE$3,'All Schools Data view only'!$A:$EC,77,0)</f>
        <v>205.13394940663534</v>
      </c>
      <c r="J19" s="45">
        <f>VLOOKUP(AF$3,'All Schools Data view only'!$A:$EC,77,0)</f>
        <v>642.72263576874911</v>
      </c>
      <c r="K19" s="50">
        <f>VLOOKUP(AG$3,'All Schools Data view only'!$A:$EC,77,0)</f>
        <v>753.16964285714289</v>
      </c>
    </row>
    <row r="20" spans="1:11" ht="15.6">
      <c r="A20" s="39"/>
      <c r="B20" s="43"/>
      <c r="C20" s="38"/>
      <c r="D20" s="38"/>
      <c r="E20" s="38"/>
      <c r="F20" s="38"/>
      <c r="G20" s="46"/>
      <c r="H20" s="47"/>
      <c r="I20" s="47"/>
      <c r="J20" s="47"/>
      <c r="K20" s="48"/>
    </row>
    <row r="21" spans="1:11" ht="15.6">
      <c r="A21" s="39" t="s">
        <v>122</v>
      </c>
      <c r="B21" s="40" t="s">
        <v>9</v>
      </c>
      <c r="C21" s="41" t="str">
        <f>IF(ISERROR(VLOOKUP(C$2,'All Schools Data view only'!$A:$EC,78,0)),"",VLOOKUP(C$2,'All Schools Data view only'!$A:$EC,78,0))</f>
        <v/>
      </c>
      <c r="D21" s="41" t="str">
        <f>IF(ISERROR(VLOOKUP(D$2,'All Schools Data view only'!$A:$EC,78,0)),"",VLOOKUP(D$2,'All Schools Data view only'!$A:$EC,78,0))</f>
        <v/>
      </c>
      <c r="E21" s="41" t="str">
        <f>IF(ISERROR(VLOOKUP(E$2,'All Schools Data view only'!$A:$EC,78,0)),"",VLOOKUP(E$2,'All Schools Data view only'!$A:$EC,78,0))</f>
        <v/>
      </c>
      <c r="F21" s="41" t="str">
        <f>IF(ISERROR(VLOOKUP(F$2,'All Schools Data view only'!$A:$EC,78,0)),"",VLOOKUP(F$2,'All Schools Data view only'!$A:$EC,78,0))</f>
        <v/>
      </c>
      <c r="G21" s="42">
        <f>VLOOKUP(AC$3,'All Schools Data view only'!$A:$EC,78,0)</f>
        <v>0</v>
      </c>
      <c r="H21" s="42">
        <f>VLOOKUP(AD$3,'All Schools Data view only'!$A:$EC,78,0)</f>
        <v>2.8753972073604174E-2</v>
      </c>
      <c r="I21" s="42">
        <f>VLOOKUP(AE$3,'All Schools Data view only'!$A:$EC,78,0)</f>
        <v>6.1767171954756192E-3</v>
      </c>
      <c r="J21" s="42">
        <f>VLOOKUP(AF$3,'All Schools Data view only'!$A:$EC,78,0)</f>
        <v>6.0097130979959758E-3</v>
      </c>
      <c r="K21" s="49">
        <f>VLOOKUP(AG$3,'All Schools Data view only'!$A:$EC,78,0)</f>
        <v>-1.6112569965565152E-3</v>
      </c>
    </row>
    <row r="22" spans="1:11" ht="15.6">
      <c r="A22" s="39"/>
      <c r="B22" s="43" t="s">
        <v>10</v>
      </c>
      <c r="C22" s="44" t="str">
        <f>IF(ISERROR(VLOOKUP(C$2,'All Schools Data view only'!$A:$EC,79,0)),"",VLOOKUP(C$2,'All Schools Data view only'!$A:$EC,79,0))</f>
        <v/>
      </c>
      <c r="D22" s="44" t="str">
        <f>IF(ISERROR(VLOOKUP(D$2,'All Schools Data view only'!$A:$EC,79,0)),"",VLOOKUP(D$2,'All Schools Data view only'!$A:$EC,79,0))</f>
        <v/>
      </c>
      <c r="E22" s="44" t="str">
        <f>IF(ISERROR(VLOOKUP(E$2,'All Schools Data view only'!$A:$EC,79,0)),"",VLOOKUP(E$2,'All Schools Data view only'!$A:$EC,79,0))</f>
        <v/>
      </c>
      <c r="F22" s="44" t="str">
        <f>IF(ISERROR(VLOOKUP(F$2,'All Schools Data view only'!$A:$EC,79,0)),"",VLOOKUP(F$2,'All Schools Data view only'!$A:$EC,79,0))</f>
        <v/>
      </c>
      <c r="G22" s="45">
        <f>VLOOKUP(AC$3,'All Schools Data view only'!$A:$EC,79,0)</f>
        <v>0</v>
      </c>
      <c r="H22" s="45">
        <f>VLOOKUP(AD$3,'All Schools Data view only'!$A:$EC,79,0)</f>
        <v>264.84914095685889</v>
      </c>
      <c r="I22" s="45">
        <f>VLOOKUP(AE$3,'All Schools Data view only'!$A:$EC,79,0)</f>
        <v>85.102308174455587</v>
      </c>
      <c r="J22" s="45">
        <f>VLOOKUP(AF$3,'All Schools Data view only'!$A:$EC,79,0)</f>
        <v>394.71735332048866</v>
      </c>
      <c r="K22" s="50">
        <f>VLOOKUP(AG$3,'All Schools Data view only'!$A:$EC,79,0)</f>
        <v>-132.76839285714286</v>
      </c>
    </row>
    <row r="23" spans="1:11" ht="15.6">
      <c r="A23" s="39"/>
      <c r="B23" s="43"/>
      <c r="C23" s="38"/>
      <c r="D23" s="38"/>
      <c r="E23" s="38"/>
      <c r="F23" s="38"/>
      <c r="G23" s="46"/>
      <c r="H23" s="47"/>
      <c r="I23" s="47"/>
      <c r="J23" s="47"/>
      <c r="K23" s="48"/>
    </row>
    <row r="24" spans="1:11" ht="15.6">
      <c r="A24" s="39" t="s">
        <v>123</v>
      </c>
      <c r="B24" s="40" t="s">
        <v>9</v>
      </c>
      <c r="C24" s="41" t="str">
        <f>IF(ISERROR(VLOOKUP(C$2,'All Schools Data view only'!$A:$EC,80,0)),"",VLOOKUP(C$2,'All Schools Data view only'!$A:$EC,80,0))</f>
        <v/>
      </c>
      <c r="D24" s="41" t="str">
        <f>IF(ISERROR(VLOOKUP(D$2,'All Schools Data view only'!$A:$EC,80,0)),"",VLOOKUP(D$2,'All Schools Data view only'!$A:$EC,80,0))</f>
        <v/>
      </c>
      <c r="E24" s="41" t="str">
        <f>IF(ISERROR(VLOOKUP(E$2,'All Schools Data view only'!$A:$EC,80,0)),"",VLOOKUP(E$2,'All Schools Data view only'!$A:$EC,80,0))</f>
        <v/>
      </c>
      <c r="F24" s="41" t="str">
        <f>IF(ISERROR(VLOOKUP(F$2,'All Schools Data view only'!$A:$EC,80,0)),"",VLOOKUP(F$2,'All Schools Data view only'!$A:$EC,80,0))</f>
        <v/>
      </c>
      <c r="G24" s="42">
        <f>VLOOKUP(AC$3,'All Schools Data view only'!$A:$EC,80,0)</f>
        <v>2.046980853436161E-3</v>
      </c>
      <c r="H24" s="42">
        <f>VLOOKUP(AD$3,'All Schools Data view only'!$A:$EC,80,0)</f>
        <v>3.4148446091133614E-2</v>
      </c>
      <c r="I24" s="42">
        <f>VLOOKUP(AE$3,'All Schools Data view only'!$A:$EC,80,0)</f>
        <v>9.1502791970500704E-4</v>
      </c>
      <c r="J24" s="42">
        <f>VLOOKUP(AF$3,'All Schools Data view only'!$A:$EC,80,0)</f>
        <v>5.6868899306573477E-3</v>
      </c>
      <c r="K24" s="49">
        <f>VLOOKUP(AG$3,'All Schools Data view only'!$A:$EC,80,0)</f>
        <v>8.6298042978051829E-3</v>
      </c>
    </row>
    <row r="25" spans="1:11" ht="15.6">
      <c r="A25" s="39"/>
      <c r="B25" s="43" t="s">
        <v>10</v>
      </c>
      <c r="C25" s="44" t="str">
        <f>IF(ISERROR(VLOOKUP(C$2,'All Schools Data view only'!$A:$EC,81,0)),"",VLOOKUP(C$2,'All Schools Data view only'!$A:$EC,81,0))</f>
        <v/>
      </c>
      <c r="D25" s="44" t="str">
        <f>IF(ISERROR(VLOOKUP(D$2,'All Schools Data view only'!$A:$EC,81,0)),"",VLOOKUP(D$2,'All Schools Data view only'!$A:$EC,81,0))</f>
        <v/>
      </c>
      <c r="E25" s="44" t="str">
        <f>IF(ISERROR(VLOOKUP(E$2,'All Schools Data view only'!$A:$EC,81,0)),"",VLOOKUP(E$2,'All Schools Data view only'!$A:$EC,81,0))</f>
        <v/>
      </c>
      <c r="F25" s="44" t="str">
        <f>IF(ISERROR(VLOOKUP(F$2,'All Schools Data view only'!$A:$EC,81,0)),"",VLOOKUP(F$2,'All Schools Data view only'!$A:$EC,81,0))</f>
        <v/>
      </c>
      <c r="G25" s="45">
        <f>VLOOKUP(AC$3,'All Schools Data view only'!$A:$EC,81,0)</f>
        <v>21.103834523462545</v>
      </c>
      <c r="H25" s="45">
        <f>VLOOKUP(AD$3,'All Schools Data view only'!$A:$EC,81,0)</f>
        <v>303.19415662932931</v>
      </c>
      <c r="I25" s="45">
        <f>VLOOKUP(AE$3,'All Schools Data view only'!$A:$EC,81,0)</f>
        <v>9.9653787575091872</v>
      </c>
      <c r="J25" s="45">
        <f>VLOOKUP(AF$3,'All Schools Data view only'!$A:$EC,81,0)</f>
        <v>293.54210008518197</v>
      </c>
      <c r="K25" s="50">
        <f>VLOOKUP(AG$3,'All Schools Data view only'!$A:$EC,81,0)</f>
        <v>793.45203869047623</v>
      </c>
    </row>
    <row r="26" spans="1:11" ht="15.6">
      <c r="A26" s="39"/>
      <c r="B26" s="43"/>
      <c r="C26" s="38"/>
      <c r="D26" s="38"/>
      <c r="E26" s="38"/>
      <c r="F26" s="38"/>
      <c r="G26" s="46"/>
      <c r="H26" s="47"/>
      <c r="I26" s="47"/>
      <c r="J26" s="47"/>
      <c r="K26" s="48"/>
    </row>
    <row r="27" spans="1:11" ht="30.6">
      <c r="A27" s="52" t="s">
        <v>389</v>
      </c>
      <c r="B27" s="40" t="s">
        <v>9</v>
      </c>
      <c r="C27" s="41" t="str">
        <f>IF(ISERROR(VLOOKUP(C$2,'All Schools Data view only'!$A:$EC,82,0)),"",VLOOKUP(C$2,'All Schools Data view only'!$A:$EC,82,0))</f>
        <v/>
      </c>
      <c r="D27" s="41" t="str">
        <f>IF(ISERROR(VLOOKUP(D$2,'All Schools Data view only'!$A:$EC,82,0)),"",VLOOKUP(D$2,'All Schools Data view only'!$A:$EC,82,0))</f>
        <v/>
      </c>
      <c r="E27" s="41" t="str">
        <f>IF(ISERROR(VLOOKUP(E$2,'All Schools Data view only'!$A:$EC,82,0)),"",VLOOKUP(E$2,'All Schools Data view only'!$A:$EC,82,0))</f>
        <v/>
      </c>
      <c r="F27" s="41" t="str">
        <f>IF(ISERROR(VLOOKUP(F$2,'All Schools Data view only'!$A:$EC,82,0)),"",VLOOKUP(F$2,'All Schools Data view only'!$A:$EC,82,0))</f>
        <v/>
      </c>
      <c r="G27" s="42">
        <f>VLOOKUP(AC$3,'All Schools Data view only'!$A:$EC,82,0)</f>
        <v>2.2814002299342481E-3</v>
      </c>
      <c r="H27" s="42">
        <f>VLOOKUP(AD$3,'All Schools Data view only'!$A:$EC,82,0)</f>
        <v>2.7342237613505658E-2</v>
      </c>
      <c r="I27" s="42">
        <f>VLOOKUP(AE$3,'All Schools Data view only'!$A:$EC,82,0)</f>
        <v>3.3384903557520744E-3</v>
      </c>
      <c r="J27" s="42">
        <f>VLOOKUP(AF$3,'All Schools Data view only'!$A:$EC,82,0)</f>
        <v>4.0867532155151293E-2</v>
      </c>
      <c r="K27" s="49">
        <f>VLOOKUP(AG$3,'All Schools Data view only'!$A:$EC,82,0)</f>
        <v>0.2303384388164777</v>
      </c>
    </row>
    <row r="28" spans="1:11" ht="15.6">
      <c r="A28" s="39"/>
      <c r="B28" s="43" t="s">
        <v>10</v>
      </c>
      <c r="C28" s="44" t="str">
        <f>IF(ISERROR(VLOOKUP(C$2,'All Schools Data view only'!$A:$EC,83,0)),"",VLOOKUP(C$2,'All Schools Data view only'!$A:$EC,83,0))</f>
        <v/>
      </c>
      <c r="D28" s="44" t="str">
        <f>IF(ISERROR(VLOOKUP(D$2,'All Schools Data view only'!$A:$EC,83,0)),"",VLOOKUP(D$2,'All Schools Data view only'!$A:$EC,83,0))</f>
        <v/>
      </c>
      <c r="E28" s="44" t="str">
        <f>IF(ISERROR(VLOOKUP(E$2,'All Schools Data view only'!$A:$EC,83,0)),"",VLOOKUP(E$2,'All Schools Data view only'!$A:$EC,83,0))</f>
        <v/>
      </c>
      <c r="F28" s="44" t="str">
        <f>IF(ISERROR(VLOOKUP(F$2,'All Schools Data view only'!$A:$EC,83,0)),"",VLOOKUP(F$2,'All Schools Data view only'!$A:$EC,83,0))</f>
        <v/>
      </c>
      <c r="G28" s="45">
        <f>VLOOKUP(AC$3,'All Schools Data view only'!$A:$EC,83,0)</f>
        <v>23.318527397260276</v>
      </c>
      <c r="H28" s="45">
        <f>VLOOKUP(AD$3,'All Schools Data view only'!$A:$EC,83,0)</f>
        <v>244.91194993208785</v>
      </c>
      <c r="I28" s="45">
        <f>VLOOKUP(AE$3,'All Schools Data view only'!$A:$EC,83,0)</f>
        <v>38.897457007443627</v>
      </c>
      <c r="J28" s="45">
        <f>VLOOKUP(AF$3,'All Schools Data view only'!$A:$EC,83,0)</f>
        <v>1911.3499489509959</v>
      </c>
      <c r="K28" s="50">
        <f>VLOOKUP(AG$3,'All Schools Data view only'!$A:$EC,83,0)</f>
        <v>33286.398735119044</v>
      </c>
    </row>
    <row r="29" spans="1:11" ht="15.6">
      <c r="A29" s="39"/>
      <c r="B29" s="43"/>
      <c r="C29" s="38"/>
      <c r="D29" s="38"/>
      <c r="E29" s="38"/>
      <c r="F29" s="38"/>
      <c r="G29" s="46"/>
      <c r="H29" s="47"/>
      <c r="I29" s="47"/>
      <c r="J29" s="47"/>
      <c r="K29" s="48"/>
    </row>
    <row r="30" spans="1:11" ht="15.6">
      <c r="A30" s="39" t="s">
        <v>127</v>
      </c>
      <c r="B30" s="40" t="s">
        <v>9</v>
      </c>
      <c r="C30" s="41" t="str">
        <f>IF(ISERROR(VLOOKUP(C$2,'All Schools Data view only'!$A:$EC,84,0)),"",VLOOKUP(C$2,'All Schools Data view only'!$A:$EC,84,0))</f>
        <v/>
      </c>
      <c r="D30" s="41" t="str">
        <f>IF(ISERROR(VLOOKUP(D$2,'All Schools Data view only'!$A:$EC,84,0)),"",VLOOKUP(D$2,'All Schools Data view only'!$A:$EC,84,0))</f>
        <v/>
      </c>
      <c r="E30" s="41" t="str">
        <f>IF(ISERROR(VLOOKUP(E$2,'All Schools Data view only'!$A:$EC,84,0)),"",VLOOKUP(E$2,'All Schools Data view only'!$A:$EC,84,0))</f>
        <v/>
      </c>
      <c r="F30" s="41" t="str">
        <f>IF(ISERROR(VLOOKUP(F$2,'All Schools Data view only'!$A:$EC,84,0)),"",VLOOKUP(F$2,'All Schools Data view only'!$A:$EC,84,0))</f>
        <v/>
      </c>
      <c r="G30" s="42">
        <f>VLOOKUP(AC$3,'All Schools Data view only'!$A:$EC,84,0)</f>
        <v>0.1200252610978699</v>
      </c>
      <c r="H30" s="42">
        <f>VLOOKUP(AD$3,'All Schools Data view only'!$A:$EC,84,0)</f>
        <v>1.7861169682537991E-2</v>
      </c>
      <c r="I30" s="42">
        <f>VLOOKUP(AE$3,'All Schools Data view only'!$A:$EC,84,0)</f>
        <v>2.5524925452321851E-2</v>
      </c>
      <c r="J30" s="42">
        <f>VLOOKUP(AF$3,'All Schools Data view only'!$A:$EC,84,0)</f>
        <v>2.4037400804762161E-4</v>
      </c>
      <c r="K30" s="49">
        <f>VLOOKUP(AG$3,'All Schools Data view only'!$A:$EC,84,0)</f>
        <v>1.4598698134748883E-4</v>
      </c>
    </row>
    <row r="31" spans="1:11" ht="15.6">
      <c r="A31" s="39"/>
      <c r="B31" s="43" t="s">
        <v>10</v>
      </c>
      <c r="C31" s="44" t="str">
        <f>IF(ISERROR(VLOOKUP(C$2,'All Schools Data view only'!$A:$EC,85,0)),"",VLOOKUP(C$2,'All Schools Data view only'!$A:$EC,85,0))</f>
        <v/>
      </c>
      <c r="D31" s="44" t="str">
        <f>IF(ISERROR(VLOOKUP(D$2,'All Schools Data view only'!$A:$EC,85,0)),"",VLOOKUP(D$2,'All Schools Data view only'!$A:$EC,85,0))</f>
        <v/>
      </c>
      <c r="E31" s="44" t="str">
        <f>IF(ISERROR(VLOOKUP(E$2,'All Schools Data view only'!$A:$EC,85,0)),"",VLOOKUP(E$2,'All Schools Data view only'!$A:$EC,85,0))</f>
        <v/>
      </c>
      <c r="F31" s="44" t="str">
        <f>IF(ISERROR(VLOOKUP(F$2,'All Schools Data view only'!$A:$EC,85,0)),"",VLOOKUP(F$2,'All Schools Data view only'!$A:$EC,85,0))</f>
        <v/>
      </c>
      <c r="G31" s="45">
        <f>VLOOKUP(AC$3,'All Schools Data view only'!$A:$EC,85,0)</f>
        <v>1337.5022329495773</v>
      </c>
      <c r="H31" s="45">
        <f>VLOOKUP(AD$3,'All Schools Data view only'!$A:$EC,85,0)</f>
        <v>161.34342289888599</v>
      </c>
      <c r="I31" s="45">
        <f>VLOOKUP(AE$3,'All Schools Data view only'!$A:$EC,85,0)</f>
        <v>400.24164823954726</v>
      </c>
      <c r="J31" s="45">
        <f>VLOOKUP(AF$3,'All Schools Data view only'!$A:$EC,85,0)</f>
        <v>13.638983242704283</v>
      </c>
      <c r="K31" s="50">
        <f>VLOOKUP(AG$3,'All Schools Data view only'!$A:$EC,85,0)</f>
        <v>21.257440476190474</v>
      </c>
    </row>
    <row r="32" spans="1:11" ht="15.6">
      <c r="A32" s="39"/>
      <c r="B32" s="43"/>
      <c r="C32" s="38"/>
      <c r="D32" s="38"/>
      <c r="E32" s="38"/>
      <c r="F32" s="38"/>
      <c r="G32" s="46"/>
      <c r="H32" s="47"/>
      <c r="I32" s="47"/>
      <c r="J32" s="47"/>
      <c r="K32" s="48"/>
    </row>
    <row r="33" spans="1:11" ht="15.6">
      <c r="A33" s="39" t="s">
        <v>128</v>
      </c>
      <c r="B33" s="40" t="s">
        <v>9</v>
      </c>
      <c r="C33" s="41" t="str">
        <f>IF(ISERROR(VLOOKUP(C$2,'All Schools Data view only'!$A:$EC,86,0)),"",VLOOKUP(C$2,'All Schools Data view only'!$A:$EC,86,0))</f>
        <v/>
      </c>
      <c r="D33" s="41" t="str">
        <f>IF(ISERROR(VLOOKUP(D$2,'All Schools Data view only'!$A:$EC,86,0)),"",VLOOKUP(D$2,'All Schools Data view only'!$A:$EC,86,0))</f>
        <v/>
      </c>
      <c r="E33" s="41" t="str">
        <f>IF(ISERROR(VLOOKUP(E$2,'All Schools Data view only'!$A:$EC,86,0)),"",VLOOKUP(E$2,'All Schools Data view only'!$A:$EC,86,0))</f>
        <v/>
      </c>
      <c r="F33" s="41" t="str">
        <f>IF(ISERROR(VLOOKUP(F$2,'All Schools Data view only'!$A:$EC,86,0)),"",VLOOKUP(F$2,'All Schools Data view only'!$A:$EC,86,0))</f>
        <v/>
      </c>
      <c r="G33" s="42">
        <f>VLOOKUP(AC$3,'All Schools Data view only'!$A:$EC,86,0)</f>
        <v>1.9006978456004447E-3</v>
      </c>
      <c r="H33" s="42">
        <f>VLOOKUP(AD$3,'All Schools Data view only'!$A:$EC,86,0)</f>
        <v>3.2728282843897061E-2</v>
      </c>
      <c r="I33" s="42">
        <f>VLOOKUP(AE$3,'All Schools Data view only'!$A:$EC,86,0)</f>
        <v>6.9406447559794179E-2</v>
      </c>
      <c r="J33" s="42">
        <f>VLOOKUP(AF$3,'All Schools Data view only'!$A:$EC,86,0)</f>
        <v>1.8971468625657139E-3</v>
      </c>
      <c r="K33" s="49">
        <f>VLOOKUP(AG$3,'All Schools Data view only'!$A:$EC,86,0)</f>
        <v>1.4378609402214103E-4</v>
      </c>
    </row>
    <row r="34" spans="1:11" ht="15.6">
      <c r="A34" s="39"/>
      <c r="B34" s="43" t="s">
        <v>10</v>
      </c>
      <c r="C34" s="44" t="str">
        <f>IF(ISERROR(VLOOKUP(C$2,'All Schools Data view only'!$A:$EC,87,0)),"",VLOOKUP(C$2,'All Schools Data view only'!$A:$EC,87,0))</f>
        <v/>
      </c>
      <c r="D34" s="44" t="str">
        <f>IF(ISERROR(VLOOKUP(D$2,'All Schools Data view only'!$A:$EC,87,0)),"",VLOOKUP(D$2,'All Schools Data view only'!$A:$EC,87,0))</f>
        <v/>
      </c>
      <c r="E34" s="44" t="str">
        <f>IF(ISERROR(VLOOKUP(E$2,'All Schools Data view only'!$A:$EC,87,0)),"",VLOOKUP(E$2,'All Schools Data view only'!$A:$EC,87,0))</f>
        <v/>
      </c>
      <c r="F34" s="44" t="str">
        <f>IF(ISERROR(VLOOKUP(F$2,'All Schools Data view only'!$A:$EC,87,0)),"",VLOOKUP(F$2,'All Schools Data view only'!$A:$EC,87,0))</f>
        <v/>
      </c>
      <c r="G34" s="45">
        <f>VLOOKUP(AC$3,'All Schools Data view only'!$A:$EC,87,0)</f>
        <v>21.253124089186826</v>
      </c>
      <c r="H34" s="45">
        <f>VLOOKUP(AD$3,'All Schools Data view only'!$A:$EC,87,0)</f>
        <v>335.36901410396626</v>
      </c>
      <c r="I34" s="45">
        <f>VLOOKUP(AE$3,'All Schools Data view only'!$A:$EC,87,0)</f>
        <v>964.56060908610573</v>
      </c>
      <c r="J34" s="45">
        <f>VLOOKUP(AF$3,'All Schools Data view only'!$A:$EC,87,0)</f>
        <v>102.4805183089356</v>
      </c>
      <c r="K34" s="50">
        <f>VLOOKUP(AG$3,'All Schools Data view only'!$A:$EC,87,0)</f>
        <v>12.605654761904763</v>
      </c>
    </row>
    <row r="35" spans="1:11" ht="15.6">
      <c r="A35" s="39"/>
      <c r="B35" s="43"/>
      <c r="C35" s="38"/>
      <c r="D35" s="38"/>
      <c r="E35" s="38"/>
      <c r="F35" s="38"/>
      <c r="G35" s="46"/>
      <c r="H35" s="47"/>
      <c r="I35" s="47"/>
      <c r="J35" s="47"/>
      <c r="K35" s="48"/>
    </row>
    <row r="36" spans="1:11" ht="15" customHeight="1">
      <c r="A36" s="36" t="s">
        <v>11</v>
      </c>
      <c r="B36" s="53"/>
      <c r="C36" s="38"/>
      <c r="D36" s="38"/>
      <c r="E36" s="38"/>
      <c r="F36" s="38"/>
      <c r="G36" s="46"/>
      <c r="H36" s="47"/>
      <c r="I36" s="47"/>
      <c r="J36" s="47"/>
      <c r="K36" s="48"/>
    </row>
    <row r="37" spans="1:11" ht="15" customHeight="1">
      <c r="A37" s="54" t="s">
        <v>12</v>
      </c>
      <c r="B37" s="43" t="s">
        <v>13</v>
      </c>
      <c r="C37" s="41" t="str">
        <f>IF(ISERROR(VLOOKUP(C$2,'All Schools Data view only'!$A:$EC,88,0)),"",VLOOKUP(C$2,'All Schools Data view only'!$A:$EC,88,0))</f>
        <v/>
      </c>
      <c r="D37" s="41" t="str">
        <f>IF(ISERROR(VLOOKUP(D$2,'All Schools Data view only'!$A:$EC,88,0)),"",VLOOKUP(D$2,'All Schools Data view only'!$A:$EC,88,0))</f>
        <v/>
      </c>
      <c r="E37" s="41" t="str">
        <f>IF(ISERROR(VLOOKUP(E$2,'All Schools Data view only'!$A:$EC,88,0)),"",VLOOKUP(E$2,'All Schools Data view only'!$A:$EC,88,0))</f>
        <v/>
      </c>
      <c r="F37" s="41" t="str">
        <f>IF(ISERROR(VLOOKUP(F$2,'All Schools Data view only'!$A:$EC,88,0)),"",VLOOKUP(F$2,'All Schools Data view only'!$A:$EC,88,0))</f>
        <v/>
      </c>
      <c r="G37" s="42">
        <f>VLOOKUP(AC$3,'All Schools Data view only'!$A:$EC,88,0)</f>
        <v>0.15325403346040437</v>
      </c>
      <c r="H37" s="42">
        <f>VLOOKUP(AD$3,'All Schools Data view only'!$A:$EC,88,0)</f>
        <v>0.57800268380845976</v>
      </c>
      <c r="I37" s="42">
        <f>VLOOKUP(AE$3,'All Schools Data view only'!$A:$EC,88,0)</f>
        <v>0.73243075167124727</v>
      </c>
      <c r="J37" s="42">
        <f>VLOOKUP(AF$3,'All Schools Data view only'!$A:$EC,88,0)</f>
        <v>0.36575714015398875</v>
      </c>
      <c r="K37" s="49">
        <f>VLOOKUP(AG$3,'All Schools Data view only'!$A:$EC,88,0)</f>
        <v>0.81291906060070795</v>
      </c>
    </row>
    <row r="38" spans="1:11" ht="15" customHeight="1">
      <c r="A38" s="54"/>
      <c r="B38" s="43" t="s">
        <v>390</v>
      </c>
      <c r="C38" s="41" t="str">
        <f>IF(ISERROR(VLOOKUP(C$2,'All Schools Data view only'!$A:$EC,89,0)),"",VLOOKUP(C$2,'All Schools Data view only'!$A:$EC,89,0))</f>
        <v/>
      </c>
      <c r="D38" s="41" t="str">
        <f>IF(ISERROR(VLOOKUP(D$2,'All Schools Data view only'!$A:$EC,89,0)),"",VLOOKUP(D$2,'All Schools Data view only'!$A:$EC,89,0))</f>
        <v/>
      </c>
      <c r="E38" s="41" t="str">
        <f>IF(ISERROR(VLOOKUP(E$2,'All Schools Data view only'!$A:$EC,89,0)),"",VLOOKUP(E$2,'All Schools Data view only'!$A:$EC,89,0))</f>
        <v/>
      </c>
      <c r="F38" s="41" t="str">
        <f>IF(ISERROR(VLOOKUP(F$2,'All Schools Data view only'!$A:$EC,89,0)),"",VLOOKUP(F$2,'All Schools Data view only'!$A:$EC,89,0))</f>
        <v/>
      </c>
      <c r="G38" s="42">
        <f>VLOOKUP(AC$3,'All Schools Data view only'!$A:$EC,89,0)</f>
        <v>0.10941076355507695</v>
      </c>
      <c r="H38" s="42">
        <f>VLOOKUP(AD$3,'All Schools Data view only'!$A:$EC,89,0)</f>
        <v>0.47108862138555063</v>
      </c>
      <c r="I38" s="42">
        <f>VLOOKUP(AE$3,'All Schools Data view only'!$A:$EC,89,0)</f>
        <v>0.62349898324611686</v>
      </c>
      <c r="J38" s="42">
        <f>VLOOKUP(AF$3,'All Schools Data view only'!$A:$EC,89,0)</f>
        <v>0.33863462264521527</v>
      </c>
      <c r="K38" s="49">
        <f>VLOOKUP(AG$3,'All Schools Data view only'!$A:$EC,89,0)</f>
        <v>0.59526218413740883</v>
      </c>
    </row>
    <row r="39" spans="1:11" ht="15" customHeight="1">
      <c r="A39" s="54"/>
      <c r="B39" s="43" t="s">
        <v>14</v>
      </c>
      <c r="C39" s="41" t="str">
        <f>IF(ISERROR(VLOOKUP(C$2,'All Schools Data view only'!$A:$EC,90,0)),"",VLOOKUP(C$2,'All Schools Data view only'!$A:$EC,90,0))</f>
        <v/>
      </c>
      <c r="D39" s="41" t="str">
        <f>IF(ISERROR(VLOOKUP(D$2,'All Schools Data view only'!$A:$EC,90,0)),"",VLOOKUP(D$2,'All Schools Data view only'!$A:$EC,90,0))</f>
        <v/>
      </c>
      <c r="E39" s="41" t="str">
        <f>IF(ISERROR(VLOOKUP(E$2,'All Schools Data view only'!$A:$EC,90,0)),"",VLOOKUP(E$2,'All Schools Data view only'!$A:$EC,90,0))</f>
        <v/>
      </c>
      <c r="F39" s="41" t="str">
        <f>IF(ISERROR(VLOOKUP(F$2,'All Schools Data view only'!$A:$EC,90,0)),"",VLOOKUP(F$2,'All Schools Data view only'!$A:$EC,90,0))</f>
        <v/>
      </c>
      <c r="G39" s="42">
        <f>VLOOKUP(AC$3,'All Schools Data view only'!$A:$EC,90,0)</f>
        <v>0.10897944259941558</v>
      </c>
      <c r="H39" s="42">
        <f>VLOOKUP(AD$3,'All Schools Data view only'!$A:$EC,90,0)</f>
        <v>0.46035589670595384</v>
      </c>
      <c r="I39" s="42">
        <f>VLOOKUP(AE$3,'All Schools Data view only'!$A:$EC,90,0)</f>
        <v>0.61780603331170669</v>
      </c>
      <c r="J39" s="42">
        <f>VLOOKUP(AF$3,'All Schools Data view only'!$A:$EC,90,0)</f>
        <v>0.34088110997938759</v>
      </c>
      <c r="K39" s="49">
        <f>VLOOKUP(AG$3,'All Schools Data view only'!$A:$EC,90,0)</f>
        <v>0.59532729584603405</v>
      </c>
    </row>
    <row r="40" spans="1:11" ht="15" customHeight="1">
      <c r="A40" s="54"/>
      <c r="B40" s="43" t="s">
        <v>15</v>
      </c>
      <c r="C40" s="44" t="str">
        <f>IF(ISERROR(VLOOKUP(C$2,'All Schools Data view only'!$A:$EC,91,0)),"",VLOOKUP(C$2,'All Schools Data view only'!$A:$EC,91,0))</f>
        <v/>
      </c>
      <c r="D40" s="44" t="str">
        <f>IF(ISERROR(VLOOKUP(D$2,'All Schools Data view only'!$A:$EC,91,0)),"",VLOOKUP(D$2,'All Schools Data view only'!$A:$EC,91,0))</f>
        <v/>
      </c>
      <c r="E40" s="44" t="str">
        <f>IF(ISERROR(VLOOKUP(E$2,'All Schools Data view only'!$A:$EC,91,0)),"",VLOOKUP(E$2,'All Schools Data view only'!$A:$EC,91,0))</f>
        <v/>
      </c>
      <c r="F40" s="44" t="str">
        <f>IF(ISERROR(VLOOKUP(F$2,'All Schools Data view only'!$A:$EC,91,0)),"",VLOOKUP(F$2,'All Schools Data view only'!$A:$EC,91,0))</f>
        <v/>
      </c>
      <c r="G40" s="45">
        <f>VLOOKUP(AC$3,'All Schools Data view only'!$A:$EC,91,0)</f>
        <v>1219.9380905712619</v>
      </c>
      <c r="H40" s="45">
        <f>VLOOKUP(AD$3,'All Schools Data view only'!$A:$EC,91,0)</f>
        <v>4270.4617615959178</v>
      </c>
      <c r="I40" s="45">
        <f>VLOOKUP(AE$3,'All Schools Data view only'!$A:$EC,91,0)</f>
        <v>7514.3519997677768</v>
      </c>
      <c r="J40" s="45">
        <f>VLOOKUP(AF$3,'All Schools Data view only'!$A:$EC,91,0)</f>
        <v>17054.563175033898</v>
      </c>
      <c r="K40" s="50">
        <f>VLOOKUP(AG$3,'All Schools Data view only'!$A:$EC,91,0)</f>
        <v>69270.683928571438</v>
      </c>
    </row>
    <row r="41" spans="1:11" ht="15" customHeight="1">
      <c r="A41" s="54"/>
      <c r="B41" s="53"/>
      <c r="C41" s="55"/>
      <c r="D41" s="55"/>
      <c r="E41" s="55"/>
      <c r="F41" s="55"/>
      <c r="G41" s="46"/>
      <c r="H41" s="47"/>
      <c r="I41" s="47"/>
      <c r="J41" s="47"/>
      <c r="K41" s="48"/>
    </row>
    <row r="42" spans="1:11" ht="15" customHeight="1">
      <c r="A42" s="52" t="s">
        <v>16</v>
      </c>
      <c r="B42" s="43" t="s">
        <v>13</v>
      </c>
      <c r="C42" s="41" t="str">
        <f>IF(ISERROR(VLOOKUP(C$2,'All Schools Data view only'!$A:$EC,92,0)),"",VLOOKUP(C$2,'All Schools Data view only'!$A:$EC,92,0))</f>
        <v/>
      </c>
      <c r="D42" s="41" t="str">
        <f>IF(ISERROR(VLOOKUP(D$2,'All Schools Data view only'!$A:$EC,92,0)),"",VLOOKUP(D$2,'All Schools Data view only'!$A:$EC,92,0))</f>
        <v/>
      </c>
      <c r="E42" s="41" t="str">
        <f>IF(ISERROR(VLOOKUP(E$2,'All Schools Data view only'!$A:$EC,92,0)),"",VLOOKUP(E$2,'All Schools Data view only'!$A:$EC,92,0))</f>
        <v/>
      </c>
      <c r="F42" s="41" t="str">
        <f>IF(ISERROR(VLOOKUP(F$2,'All Schools Data view only'!$A:$EC,92,0)),"",VLOOKUP(F$2,'All Schools Data view only'!$A:$EC,92,0))</f>
        <v/>
      </c>
      <c r="G42" s="42">
        <f>VLOOKUP(AC$3,'All Schools Data view only'!$A:$EC,92,0)</f>
        <v>0.31334396490525551</v>
      </c>
      <c r="H42" s="42">
        <f>VLOOKUP(AD$3,'All Schools Data view only'!$A:$EC,92,0)</f>
        <v>0.25323717394598344</v>
      </c>
      <c r="I42" s="42">
        <f>VLOOKUP(AE$3,'All Schools Data view only'!$A:$EC,92,0)</f>
        <v>0.12485186202077327</v>
      </c>
      <c r="J42" s="42">
        <f>VLOOKUP(AF$3,'All Schools Data view only'!$A:$EC,92,0)</f>
        <v>0.41586935344693199</v>
      </c>
      <c r="K42" s="42">
        <f>VLOOKUP(AG$3,'All Schools Data view only'!$A:$EC,92,0)</f>
        <v>0.1092664663538899</v>
      </c>
    </row>
    <row r="43" spans="1:11" ht="15" customHeight="1">
      <c r="A43" s="54"/>
      <c r="B43" s="43" t="s">
        <v>390</v>
      </c>
      <c r="C43" s="41" t="str">
        <f>IF(ISERROR(VLOOKUP(C$2,'All Schools Data view only'!$A:$EC,93,0)),"",VLOOKUP(C$2,'All Schools Data view only'!$A:$EC,93,0))</f>
        <v/>
      </c>
      <c r="D43" s="41" t="str">
        <f>IF(ISERROR(VLOOKUP(D$2,'All Schools Data view only'!$A:$EC,93,0)),"",VLOOKUP(D$2,'All Schools Data view only'!$A:$EC,93,0))</f>
        <v/>
      </c>
      <c r="E43" s="41" t="str">
        <f>IF(ISERROR(VLOOKUP(E$2,'All Schools Data view only'!$A:$EC,93,0)),"",VLOOKUP(E$2,'All Schools Data view only'!$A:$EC,93,0))</f>
        <v/>
      </c>
      <c r="F43" s="41" t="str">
        <f>IF(ISERROR(VLOOKUP(F$2,'All Schools Data view only'!$A:$EC,93,0)),"",VLOOKUP(F$2,'All Schools Data view only'!$A:$EC,93,0))</f>
        <v/>
      </c>
      <c r="G43" s="42">
        <f>VLOOKUP(AC$3,'All Schools Data view only'!$A:$EC,93,0)</f>
        <v>0.23267722688508455</v>
      </c>
      <c r="H43" s="42">
        <f>VLOOKUP(AD$3,'All Schools Data view only'!$A:$EC,93,0)</f>
        <v>0.20532144395009463</v>
      </c>
      <c r="I43" s="42">
        <f>VLOOKUP(AE$3,'All Schools Data view only'!$A:$EC,93,0)</f>
        <v>0.10737954024205822</v>
      </c>
      <c r="J43" s="42">
        <f>VLOOKUP(AF$3,'All Schools Data view only'!$A:$EC,93,0)</f>
        <v>0.38734660492539086</v>
      </c>
      <c r="K43" s="42">
        <f>VLOOKUP(AG$3,'All Schools Data view only'!$A:$EC,93,0)</f>
        <v>8.8846139680945901E-2</v>
      </c>
    </row>
    <row r="44" spans="1:11" ht="15" customHeight="1">
      <c r="A44" s="54"/>
      <c r="B44" s="43" t="s">
        <v>14</v>
      </c>
      <c r="C44" s="41" t="str">
        <f>IF(ISERROR(VLOOKUP(C$2,'All Schools Data view only'!$A:$EC,94,0)),"",VLOOKUP(C$2,'All Schools Data view only'!$A:$EC,94,0))</f>
        <v/>
      </c>
      <c r="D44" s="41" t="str">
        <f>IF(ISERROR(VLOOKUP(D$2,'All Schools Data view only'!$A:$EC,94,0)),"",VLOOKUP(D$2,'All Schools Data view only'!$A:$EC,94,0))</f>
        <v/>
      </c>
      <c r="E44" s="41" t="str">
        <f>IF(ISERROR(VLOOKUP(E$2,'All Schools Data view only'!$A:$EC,94,0)),"",VLOOKUP(E$2,'All Schools Data view only'!$A:$EC,94,0))</f>
        <v/>
      </c>
      <c r="F44" s="41" t="str">
        <f>IF(ISERROR(VLOOKUP(F$2,'All Schools Data view only'!$A:$EC,94,0)),"",VLOOKUP(F$2,'All Schools Data view only'!$A:$EC,94,0))</f>
        <v/>
      </c>
      <c r="G44" s="42">
        <f>VLOOKUP(AC$3,'All Schools Data view only'!$A:$EC,94,0)</f>
        <v>0.23676466375146843</v>
      </c>
      <c r="H44" s="42">
        <f>VLOOKUP(AD$3,'All Schools Data view only'!$A:$EC,94,0)</f>
        <v>0.20044462858551595</v>
      </c>
      <c r="I44" s="42">
        <f>VLOOKUP(AE$3,'All Schools Data view only'!$A:$EC,94,0)</f>
        <v>0.10582886727234646</v>
      </c>
      <c r="J44" s="42">
        <f>VLOOKUP(AF$3,'All Schools Data view only'!$A:$EC,94,0)</f>
        <v>0.38893855984843917</v>
      </c>
      <c r="K44" s="42">
        <f>VLOOKUP(AG$3,'All Schools Data view only'!$A:$EC,94,0)</f>
        <v>8.8677843764231656E-2</v>
      </c>
    </row>
    <row r="45" spans="1:11" ht="15" customHeight="1">
      <c r="A45" s="54"/>
      <c r="B45" s="43" t="s">
        <v>15</v>
      </c>
      <c r="C45" s="44" t="str">
        <f>IF(ISERROR(VLOOKUP(C$2,'All Schools Data view only'!$A:$EC,95,0)),"",VLOOKUP(C$2,'All Schools Data view only'!$A:$EC,95,0))</f>
        <v/>
      </c>
      <c r="D45" s="44" t="str">
        <f>IF(ISERROR(VLOOKUP(D$2,'All Schools Data view only'!$A:$EC,95,0)),"",VLOOKUP(D$2,'All Schools Data view only'!$A:$EC,95,0))</f>
        <v/>
      </c>
      <c r="E45" s="44" t="str">
        <f>IF(ISERROR(VLOOKUP(E$2,'All Schools Data view only'!$A:$EC,95,0)),"",VLOOKUP(E$2,'All Schools Data view only'!$A:$EC,95,0))</f>
        <v/>
      </c>
      <c r="F45" s="44" t="str">
        <f>IF(ISERROR(VLOOKUP(F$2,'All Schools Data view only'!$A:$EC,95,0)),"",VLOOKUP(F$2,'All Schools Data view only'!$A:$EC,95,0))</f>
        <v/>
      </c>
      <c r="G45" s="45">
        <f>VLOOKUP(AC$3,'All Schools Data view only'!$A:$EC,95,0)</f>
        <v>2519.5438778781695</v>
      </c>
      <c r="H45" s="45">
        <f>VLOOKUP(AD$3,'All Schools Data view only'!$A:$EC,95,0)</f>
        <v>1914.5890179054502</v>
      </c>
      <c r="I45" s="45">
        <f>VLOOKUP(AE$3,'All Schools Data view only'!$A:$EC,95,0)</f>
        <v>1302.8310894061221</v>
      </c>
      <c r="J45" s="45">
        <f>VLOOKUP(AF$3,'All Schools Data view only'!$A:$EC,95,0)</f>
        <v>19731.060274628326</v>
      </c>
      <c r="K45" s="45">
        <f>VLOOKUP(AG$3,'All Schools Data view only'!$A:$EC,95,0)</f>
        <v>8739.67650297619</v>
      </c>
    </row>
    <row r="46" spans="1:11" ht="15" customHeight="1">
      <c r="A46" s="54"/>
      <c r="B46" s="53"/>
      <c r="C46" s="55"/>
      <c r="D46" s="55"/>
      <c r="E46" s="55"/>
      <c r="F46" s="55"/>
      <c r="G46" s="46"/>
      <c r="H46" s="47"/>
      <c r="I46" s="47"/>
      <c r="J46" s="47"/>
      <c r="K46" s="48"/>
    </row>
    <row r="47" spans="1:11" ht="15" customHeight="1">
      <c r="A47" s="54" t="s">
        <v>17</v>
      </c>
      <c r="B47" s="43" t="s">
        <v>13</v>
      </c>
      <c r="C47" s="41" t="str">
        <f>IF(ISERROR(VLOOKUP(C$2,'All Schools Data view only'!$A:$EC,96,0)),"",VLOOKUP(C$2,'All Schools Data view only'!$A:$EC,96,0))</f>
        <v/>
      </c>
      <c r="D47" s="41" t="str">
        <f>IF(ISERROR(VLOOKUP(D$2,'All Schools Data view only'!$A:$EC,96,0)),"",VLOOKUP(D$2,'All Schools Data view only'!$A:$EC,96,0))</f>
        <v/>
      </c>
      <c r="E47" s="41" t="str">
        <f>IF(ISERROR(VLOOKUP(E$2,'All Schools Data view only'!$A:$EC,96,0)),"",VLOOKUP(E$2,'All Schools Data view only'!$A:$EC,96,0))</f>
        <v/>
      </c>
      <c r="F47" s="41" t="str">
        <f>IF(ISERROR(VLOOKUP(F$2,'All Schools Data view only'!$A:$EC,96,0)),"",VLOOKUP(F$2,'All Schools Data view only'!$A:$EC,96,0))</f>
        <v/>
      </c>
      <c r="G47" s="42">
        <f>VLOOKUP(AC$3,'All Schools Data view only'!$A:$EC,96,0)</f>
        <v>2.3175416901628609E-2</v>
      </c>
      <c r="H47" s="42">
        <f>VLOOKUP(AD$3,'All Schools Data view only'!$A:$EC,96,0)</f>
        <v>2.8317637997884264E-2</v>
      </c>
      <c r="I47" s="42">
        <f>VLOOKUP(AE$3,'All Schools Data view only'!$A:$EC,96,0)</f>
        <v>1.6316657826190777E-2</v>
      </c>
      <c r="J47" s="42">
        <f>VLOOKUP(AF$3,'All Schools Data view only'!$A:$EC,96,0)</f>
        <v>1.5512955001518515E-2</v>
      </c>
      <c r="K47" s="42">
        <f>VLOOKUP(AG$3,'All Schools Data view only'!$A:$EC,96,0)</f>
        <v>7.6024122717857738E-3</v>
      </c>
    </row>
    <row r="48" spans="1:11" ht="15" customHeight="1">
      <c r="A48" s="54"/>
      <c r="B48" s="43" t="s">
        <v>390</v>
      </c>
      <c r="C48" s="41" t="str">
        <f>IF(ISERROR(VLOOKUP(C$2,'All Schools Data view only'!$A:$EC,97,0)),"",VLOOKUP(C$2,'All Schools Data view only'!$A:$EC,97,0))</f>
        <v/>
      </c>
      <c r="D48" s="41" t="str">
        <f>IF(ISERROR(VLOOKUP(D$2,'All Schools Data view only'!$A:$EC,97,0)),"",VLOOKUP(D$2,'All Schools Data view only'!$A:$EC,97,0))</f>
        <v/>
      </c>
      <c r="E48" s="41" t="str">
        <f>IF(ISERROR(VLOOKUP(E$2,'All Schools Data view only'!$A:$EC,97,0)),"",VLOOKUP(E$2,'All Schools Data view only'!$A:$EC,97,0))</f>
        <v/>
      </c>
      <c r="F48" s="41" t="str">
        <f>IF(ISERROR(VLOOKUP(F$2,'All Schools Data view only'!$A:$EC,97,0)),"",VLOOKUP(F$2,'All Schools Data view only'!$A:$EC,97,0))</f>
        <v/>
      </c>
      <c r="G48" s="42">
        <f>VLOOKUP(AC$3,'All Schools Data view only'!$A:$EC,97,0)</f>
        <v>1.6637342791977087E-2</v>
      </c>
      <c r="H48" s="42">
        <f>VLOOKUP(AD$3,'All Schools Data view only'!$A:$EC,97,0)</f>
        <v>2.3370892692267383E-2</v>
      </c>
      <c r="I48" s="42">
        <f>VLOOKUP(AE$3,'All Schools Data view only'!$A:$EC,97,0)</f>
        <v>1.3956643268678593E-2</v>
      </c>
      <c r="J48" s="42">
        <f>VLOOKUP(AF$3,'All Schools Data view only'!$A:$EC,97,0)</f>
        <v>1.4671387565169199E-2</v>
      </c>
      <c r="K48" s="42">
        <f>VLOOKUP(AG$3,'All Schools Data view only'!$A:$EC,97,0)</f>
        <v>6.9067672595204375E-3</v>
      </c>
    </row>
    <row r="49" spans="1:11" ht="15" customHeight="1">
      <c r="A49" s="54"/>
      <c r="B49" s="43" t="s">
        <v>14</v>
      </c>
      <c r="C49" s="41" t="str">
        <f>IF(ISERROR(VLOOKUP(C$2,'All Schools Data view only'!$A:$EC,98,0)),"",VLOOKUP(C$2,'All Schools Data view only'!$A:$EC,98,0))</f>
        <v/>
      </c>
      <c r="D49" s="41" t="str">
        <f>IF(ISERROR(VLOOKUP(D$2,'All Schools Data view only'!$A:$EC,98,0)),"",VLOOKUP(D$2,'All Schools Data view only'!$A:$EC,98,0))</f>
        <v/>
      </c>
      <c r="E49" s="41" t="str">
        <f>IF(ISERROR(VLOOKUP(E$2,'All Schools Data view only'!$A:$EC,98,0)),"",VLOOKUP(E$2,'All Schools Data view only'!$A:$EC,98,0))</f>
        <v/>
      </c>
      <c r="F49" s="41" t="str">
        <f>IF(ISERROR(VLOOKUP(F$2,'All Schools Data view only'!$A:$EC,98,0)),"",VLOOKUP(F$2,'All Schools Data view only'!$A:$EC,98,0))</f>
        <v/>
      </c>
      <c r="G49" s="42">
        <f>VLOOKUP(AC$3,'All Schools Data view only'!$A:$EC,98,0)</f>
        <v>1.6623055653013606E-2</v>
      </c>
      <c r="H49" s="42">
        <f>VLOOKUP(AD$3,'All Schools Data view only'!$A:$EC,98,0)</f>
        <v>2.283922627680611E-2</v>
      </c>
      <c r="I49" s="42">
        <f>VLOOKUP(AE$3,'All Schools Data view only'!$A:$EC,98,0)</f>
        <v>1.3802366611390686E-2</v>
      </c>
      <c r="J49" s="42">
        <f>VLOOKUP(AF$3,'All Schools Data view only'!$A:$EC,98,0)</f>
        <v>1.4639295325897859E-2</v>
      </c>
      <c r="K49" s="42">
        <f>VLOOKUP(AG$3,'All Schools Data view only'!$A:$EC,98,0)</f>
        <v>6.8805272803775797E-3</v>
      </c>
    </row>
    <row r="50" spans="1:11" ht="15" customHeight="1">
      <c r="A50" s="54"/>
      <c r="B50" s="43" t="s">
        <v>15</v>
      </c>
      <c r="C50" s="44" t="str">
        <f>IF(ISERROR(VLOOKUP(C$2,'All Schools Data view only'!$A:$EC,99,0)),"",VLOOKUP(C$2,'All Schools Data view only'!$A:$EC,99,0))</f>
        <v/>
      </c>
      <c r="D50" s="44" t="str">
        <f>IF(ISERROR(VLOOKUP(D$2,'All Schools Data view only'!$A:$EC,99,0)),"",VLOOKUP(D$2,'All Schools Data view only'!$A:$EC,99,0))</f>
        <v/>
      </c>
      <c r="E50" s="44" t="str">
        <f>IF(ISERROR(VLOOKUP(E$2,'All Schools Data view only'!$A:$EC,99,0)),"",VLOOKUP(E$2,'All Schools Data view only'!$A:$EC,99,0))</f>
        <v/>
      </c>
      <c r="F50" s="44" t="str">
        <f>IF(ISERROR(VLOOKUP(F$2,'All Schools Data view only'!$A:$EC,99,0)),"",VLOOKUP(F$2,'All Schools Data view only'!$A:$EC,99,0))</f>
        <v/>
      </c>
      <c r="G50" s="45">
        <f>VLOOKUP(AC$3,'All Schools Data view only'!$A:$EC,99,0)</f>
        <v>184.7406102448266</v>
      </c>
      <c r="H50" s="45">
        <f>VLOOKUP(AD$3,'All Schools Data view only'!$A:$EC,99,0)</f>
        <v>210.5985111895354</v>
      </c>
      <c r="I50" s="45">
        <f>VLOOKUP(AE$3,'All Schools Data view only'!$A:$EC,99,0)</f>
        <v>168.36014404911387</v>
      </c>
      <c r="J50" s="45">
        <f>VLOOKUP(AF$3,'All Schools Data view only'!$A:$EC,99,0)</f>
        <v>818.47315915955187</v>
      </c>
      <c r="K50" s="45">
        <f>VLOOKUP(AG$3,'All Schools Data view only'!$A:$EC,99,0)</f>
        <v>561.20249999999999</v>
      </c>
    </row>
    <row r="51" spans="1:11" ht="15" customHeight="1">
      <c r="A51" s="54"/>
      <c r="B51" s="53"/>
      <c r="C51" s="55"/>
      <c r="D51" s="55"/>
      <c r="E51" s="55"/>
      <c r="F51" s="55"/>
      <c r="G51" s="46"/>
      <c r="H51" s="47"/>
      <c r="I51" s="47"/>
      <c r="J51" s="47"/>
      <c r="K51" s="48"/>
    </row>
    <row r="52" spans="1:11" ht="15" customHeight="1">
      <c r="A52" s="54" t="s">
        <v>18</v>
      </c>
      <c r="B52" s="43" t="s">
        <v>13</v>
      </c>
      <c r="C52" s="41" t="str">
        <f>IF(ISERROR(VLOOKUP(C$2,'All Schools Data view only'!$A:$EC,100,0)),"",VLOOKUP(C$2,'All Schools Data view only'!$A:$EC,100,0))</f>
        <v/>
      </c>
      <c r="D52" s="41" t="str">
        <f>IF(ISERROR(VLOOKUP(D$2,'All Schools Data view only'!$A:$EC,100,0)),"",VLOOKUP(D$2,'All Schools Data view only'!$A:$EC,100,0))</f>
        <v/>
      </c>
      <c r="E52" s="41" t="str">
        <f>IF(ISERROR(VLOOKUP(E$2,'All Schools Data view only'!$A:$EC,100,0)),"",VLOOKUP(E$2,'All Schools Data view only'!$A:$EC,100,0))</f>
        <v/>
      </c>
      <c r="F52" s="41" t="str">
        <f>IF(ISERROR(VLOOKUP(F$2,'All Schools Data view only'!$A:$EC,100,0)),"",VLOOKUP(F$2,'All Schools Data view only'!$A:$EC,100,0))</f>
        <v/>
      </c>
      <c r="G52" s="42">
        <f>VLOOKUP(AC$3,'All Schools Data view only'!$A:$EC,100,0)</f>
        <v>4.4686838446353905E-2</v>
      </c>
      <c r="H52" s="42">
        <f>VLOOKUP(AD$3,'All Schools Data view only'!$A:$EC,100,0)</f>
        <v>5.1902375072653738E-2</v>
      </c>
      <c r="I52" s="42">
        <f>VLOOKUP(AE$3,'All Schools Data view only'!$A:$EC,100,0)</f>
        <v>7.4298882189213669E-2</v>
      </c>
      <c r="J52" s="42">
        <f>VLOOKUP(AF$3,'All Schools Data view only'!$A:$EC,100,0)</f>
        <v>3.5918836644715291E-2</v>
      </c>
      <c r="K52" s="42">
        <f>VLOOKUP(AG$3,'All Schools Data view only'!$A:$EC,100,0)</f>
        <v>5.4986912499016737E-2</v>
      </c>
    </row>
    <row r="53" spans="1:11" ht="15" customHeight="1">
      <c r="A53" s="54"/>
      <c r="B53" s="43" t="s">
        <v>390</v>
      </c>
      <c r="C53" s="41" t="str">
        <f>IF(ISERROR(VLOOKUP(C$2,'All Schools Data view only'!$A:$EC,101,0)),"",VLOOKUP(C$2,'All Schools Data view only'!$A:$EC,101,0))</f>
        <v/>
      </c>
      <c r="D53" s="41" t="str">
        <f>IF(ISERROR(VLOOKUP(D$2,'All Schools Data view only'!$A:$EC,101,0)),"",VLOOKUP(D$2,'All Schools Data view only'!$A:$EC,101,0))</f>
        <v/>
      </c>
      <c r="E53" s="41" t="str">
        <f>IF(ISERROR(VLOOKUP(E$2,'All Schools Data view only'!$A:$EC,101,0)),"",VLOOKUP(E$2,'All Schools Data view only'!$A:$EC,101,0))</f>
        <v/>
      </c>
      <c r="F53" s="41" t="str">
        <f>IF(ISERROR(VLOOKUP(F$2,'All Schools Data view only'!$A:$EC,101,0)),"",VLOOKUP(F$2,'All Schools Data view only'!$A:$EC,101,0))</f>
        <v/>
      </c>
      <c r="G53" s="42">
        <f>VLOOKUP(AC$3,'All Schools Data view only'!$A:$EC,101,0)</f>
        <v>3.1966396166234555E-2</v>
      </c>
      <c r="H53" s="42">
        <f>VLOOKUP(AD$3,'All Schools Data view only'!$A:$EC,101,0)</f>
        <v>4.1920048743474651E-2</v>
      </c>
      <c r="I53" s="42">
        <f>VLOOKUP(AE$3,'All Schools Data view only'!$A:$EC,101,0)</f>
        <v>6.3703577356137173E-2</v>
      </c>
      <c r="J53" s="42">
        <f>VLOOKUP(AF$3,'All Schools Data view only'!$A:$EC,101,0)</f>
        <v>3.3859424924851882E-2</v>
      </c>
      <c r="K53" s="42">
        <f>VLOOKUP(AG$3,'All Schools Data view only'!$A:$EC,101,0)</f>
        <v>4.1959777934636899E-2</v>
      </c>
    </row>
    <row r="54" spans="1:11" ht="15" customHeight="1">
      <c r="A54" s="54"/>
      <c r="B54" s="43" t="s">
        <v>14</v>
      </c>
      <c r="C54" s="41" t="str">
        <f>IF(ISERROR(VLOOKUP(C$2,'All Schools Data view only'!$A:$EC,102,0)),"",VLOOKUP(C$2,'All Schools Data view only'!$A:$EC,102,0))</f>
        <v/>
      </c>
      <c r="D54" s="41" t="str">
        <f>IF(ISERROR(VLOOKUP(D$2,'All Schools Data view only'!$A:$EC,102,0)),"",VLOOKUP(D$2,'All Schools Data view only'!$A:$EC,102,0))</f>
        <v/>
      </c>
      <c r="E54" s="41" t="str">
        <f>IF(ISERROR(VLOOKUP(E$2,'All Schools Data view only'!$A:$EC,102,0)),"",VLOOKUP(E$2,'All Schools Data view only'!$A:$EC,102,0))</f>
        <v/>
      </c>
      <c r="F54" s="41" t="str">
        <f>IF(ISERROR(VLOOKUP(F$2,'All Schools Data view only'!$A:$EC,102,0)),"",VLOOKUP(F$2,'All Schools Data view only'!$A:$EC,102,0))</f>
        <v/>
      </c>
      <c r="G54" s="42">
        <f>VLOOKUP(AC$3,'All Schools Data view only'!$A:$EC,102,0)</f>
        <v>3.1875881362078085E-2</v>
      </c>
      <c r="H54" s="42">
        <f>VLOOKUP(AD$3,'All Schools Data view only'!$A:$EC,102,0)</f>
        <v>4.105033640414258E-2</v>
      </c>
      <c r="I54" s="42">
        <f>VLOOKUP(AE$3,'All Schools Data view only'!$A:$EC,102,0)</f>
        <v>6.2705484758371247E-2</v>
      </c>
      <c r="J54" s="42">
        <f>VLOOKUP(AF$3,'All Schools Data view only'!$A:$EC,102,0)</f>
        <v>3.3827208452779305E-2</v>
      </c>
      <c r="K54" s="42">
        <f>VLOOKUP(AG$3,'All Schools Data view only'!$A:$EC,102,0)</f>
        <v>4.1930208018635499E-2</v>
      </c>
    </row>
    <row r="55" spans="1:11" ht="15" customHeight="1">
      <c r="A55" s="54"/>
      <c r="B55" s="43" t="s">
        <v>15</v>
      </c>
      <c r="C55" s="44" t="str">
        <f>IF(ISERROR(VLOOKUP(C$2,'All Schools Data view only'!$A:$EC,103,0)),"",VLOOKUP(C$2,'All Schools Data view only'!$A:$EC,103,0))</f>
        <v/>
      </c>
      <c r="D55" s="44" t="str">
        <f>IF(ISERROR(VLOOKUP(D$2,'All Schools Data view only'!$A:$EC,103,0)),"",VLOOKUP(D$2,'All Schools Data view only'!$A:$EC,103,0))</f>
        <v/>
      </c>
      <c r="E55" s="44" t="str">
        <f>IF(ISERROR(VLOOKUP(E$2,'All Schools Data view only'!$A:$EC,103,0)),"",VLOOKUP(E$2,'All Schools Data view only'!$A:$EC,103,0))</f>
        <v/>
      </c>
      <c r="F55" s="44" t="str">
        <f>IF(ISERROR(VLOOKUP(F$2,'All Schools Data view only'!$A:$EC,103,0)),"",VLOOKUP(F$2,'All Schools Data view only'!$A:$EC,103,0))</f>
        <v/>
      </c>
      <c r="G55" s="45">
        <f>VLOOKUP(AC$3,'All Schools Data view only'!$A:$EC,103,0)</f>
        <v>355.89686825998251</v>
      </c>
      <c r="H55" s="45">
        <f>VLOOKUP(AD$3,'All Schools Data view only'!$A:$EC,103,0)</f>
        <v>381.58138181995787</v>
      </c>
      <c r="I55" s="45">
        <f>VLOOKUP(AE$3,'All Schools Data view only'!$A:$EC,103,0)</f>
        <v>770.39682979277177</v>
      </c>
      <c r="J55" s="45">
        <f>VLOOKUP(AF$3,'All Schools Data view only'!$A:$EC,103,0)</f>
        <v>1668.8903429710351</v>
      </c>
      <c r="K55" s="45">
        <f>VLOOKUP(AG$3,'All Schools Data view only'!$A:$EC,103,0)</f>
        <v>4575.9570982142859</v>
      </c>
    </row>
    <row r="56" spans="1:11" ht="15" customHeight="1">
      <c r="A56" s="54"/>
      <c r="B56" s="53"/>
      <c r="C56" s="55"/>
      <c r="D56" s="55"/>
      <c r="E56" s="55"/>
      <c r="F56" s="55"/>
      <c r="G56" s="46"/>
      <c r="H56" s="47"/>
      <c r="I56" s="47"/>
      <c r="J56" s="47"/>
      <c r="K56" s="48"/>
    </row>
    <row r="57" spans="1:11" ht="15" customHeight="1">
      <c r="A57" s="56" t="s">
        <v>19</v>
      </c>
      <c r="B57" s="43" t="s">
        <v>13</v>
      </c>
      <c r="C57" s="41" t="str">
        <f>IF(ISERROR(VLOOKUP(C$2,'All Schools Data view only'!$A:$EC,104,0)),"",VLOOKUP(C$2,'All Schools Data view only'!$A:$EC,104,0))</f>
        <v/>
      </c>
      <c r="D57" s="41" t="str">
        <f>IF(ISERROR(VLOOKUP(D$2,'All Schools Data view only'!$A:$EC,104,0)),"",VLOOKUP(D$2,'All Schools Data view only'!$A:$EC,104,0))</f>
        <v/>
      </c>
      <c r="E57" s="41" t="str">
        <f>IF(ISERROR(VLOOKUP(E$2,'All Schools Data view only'!$A:$EC,104,0)),"",VLOOKUP(E$2,'All Schools Data view only'!$A:$EC,104,0))</f>
        <v/>
      </c>
      <c r="F57" s="41" t="str">
        <f>IF(ISERROR(VLOOKUP(F$2,'All Schools Data view only'!$A:$EC,104,0)),"",VLOOKUP(F$2,'All Schools Data view only'!$A:$EC,104,0))</f>
        <v/>
      </c>
      <c r="G57" s="42">
        <f>VLOOKUP(AC$3,'All Schools Data view only'!$A:$EC,104,0)</f>
        <v>0.55663495440064747</v>
      </c>
      <c r="H57" s="42">
        <f>VLOOKUP(AD$3,'All Schools Data view only'!$A:$EC,104,0)</f>
        <v>0.9104461347565026</v>
      </c>
      <c r="I57" s="42">
        <f>VLOOKUP(AE$3,'All Schools Data view only'!$A:$EC,104,0)</f>
        <v>0.94445000528908774</v>
      </c>
      <c r="J57" s="42">
        <f>VLOOKUP(AF$3,'All Schools Data view only'!$A:$EC,104,0)</f>
        <v>0.83716286667264772</v>
      </c>
      <c r="K57" s="42">
        <f>VLOOKUP(AG$3,'All Schools Data view only'!$A:$EC,104,0)</f>
        <v>0.9430238421878997</v>
      </c>
    </row>
    <row r="58" spans="1:11" ht="15" customHeight="1">
      <c r="A58" s="54"/>
      <c r="B58" s="43" t="s">
        <v>390</v>
      </c>
      <c r="C58" s="41" t="str">
        <f>IF(ISERROR(VLOOKUP(C$2,'All Schools Data view only'!$A:$EC,105,0)),"",VLOOKUP(C$2,'All Schools Data view only'!$A:$EC,105,0))</f>
        <v/>
      </c>
      <c r="D58" s="41" t="str">
        <f>IF(ISERROR(VLOOKUP(D$2,'All Schools Data view only'!$A:$EC,105,0)),"",VLOOKUP(D$2,'All Schools Data view only'!$A:$EC,105,0))</f>
        <v/>
      </c>
      <c r="E58" s="41" t="str">
        <f>IF(ISERROR(VLOOKUP(E$2,'All Schools Data view only'!$A:$EC,105,0)),"",VLOOKUP(E$2,'All Schools Data view only'!$A:$EC,105,0))</f>
        <v/>
      </c>
      <c r="F58" s="41" t="str">
        <f>IF(ISERROR(VLOOKUP(F$2,'All Schools Data view only'!$A:$EC,105,0)),"",VLOOKUP(F$2,'All Schools Data view only'!$A:$EC,105,0))</f>
        <v/>
      </c>
      <c r="G58" s="42">
        <f>VLOOKUP(AC$3,'All Schools Data view only'!$A:$EC,105,0)</f>
        <v>0.40639882195491561</v>
      </c>
      <c r="H58" s="42">
        <f>VLOOKUP(AD$3,'All Schools Data view only'!$A:$EC,105,0)</f>
        <v>0.74084749695380048</v>
      </c>
      <c r="I58" s="42">
        <f>VLOOKUP(AE$3,'All Schools Data view only'!$A:$EC,105,0)</f>
        <v>0.80509183648860028</v>
      </c>
      <c r="J58" s="42">
        <f>VLOOKUP(AF$3,'All Schools Data view only'!$A:$EC,105,0)</f>
        <v>0.7778633952164592</v>
      </c>
      <c r="K58" s="42">
        <f>VLOOKUP(AG$3,'All Schools Data view only'!$A:$EC,105,0)</f>
        <v>0.70101898152881759</v>
      </c>
    </row>
    <row r="59" spans="1:11" ht="15" customHeight="1">
      <c r="A59" s="54"/>
      <c r="B59" s="43" t="s">
        <v>14</v>
      </c>
      <c r="C59" s="41" t="str">
        <f>IF(ISERROR(VLOOKUP(C$2,'All Schools Data view only'!$A:$EC,106,0)),"",VLOOKUP(C$2,'All Schools Data view only'!$A:$EC,106,0))</f>
        <v/>
      </c>
      <c r="D59" s="41" t="str">
        <f>IF(ISERROR(VLOOKUP(D$2,'All Schools Data view only'!$A:$EC,106,0)),"",VLOOKUP(D$2,'All Schools Data view only'!$A:$EC,106,0))</f>
        <v/>
      </c>
      <c r="E59" s="41" t="str">
        <f>IF(ISERROR(VLOOKUP(E$2,'All Schools Data view only'!$A:$EC,106,0)),"",VLOOKUP(E$2,'All Schools Data view only'!$A:$EC,106,0))</f>
        <v/>
      </c>
      <c r="F59" s="41" t="str">
        <f>IF(ISERROR(VLOOKUP(F$2,'All Schools Data view only'!$A:$EC,106,0)),"",VLOOKUP(F$2,'All Schools Data view only'!$A:$EC,106,0))</f>
        <v/>
      </c>
      <c r="G59" s="42">
        <f>VLOOKUP(AC$3,'All Schools Data view only'!$A:$EC,106,0)</f>
        <v>0.40981917409805446</v>
      </c>
      <c r="H59" s="42">
        <f>VLOOKUP(AD$3,'All Schools Data view only'!$A:$EC,106,0)</f>
        <v>0.72375697685340623</v>
      </c>
      <c r="I59" s="42">
        <f>VLOOKUP(AE$3,'All Schools Data view only'!$A:$EC,106,0)</f>
        <v>0.79664415037773406</v>
      </c>
      <c r="J59" s="42">
        <f>VLOOKUP(AF$3,'All Schools Data view only'!$A:$EC,106,0)</f>
        <v>0.78185263245859826</v>
      </c>
      <c r="K59" s="42">
        <f>VLOOKUP(AG$3,'All Schools Data view only'!$A:$EC,106,0)</f>
        <v>0.70088436825389433</v>
      </c>
    </row>
    <row r="60" spans="1:11" ht="15" customHeight="1">
      <c r="A60" s="54"/>
      <c r="B60" s="43" t="s">
        <v>15</v>
      </c>
      <c r="C60" s="44" t="str">
        <f>IF(ISERROR(VLOOKUP(C$2,'All Schools Data view only'!$A:$EC,107,0)),"",VLOOKUP(C$2,'All Schools Data view only'!$A:$EC,107,0))</f>
        <v/>
      </c>
      <c r="D60" s="44" t="str">
        <f>IF(ISERROR(VLOOKUP(D$2,'All Schools Data view only'!$A:$EC,107,0)),"",VLOOKUP(D$2,'All Schools Data view only'!$A:$EC,107,0))</f>
        <v/>
      </c>
      <c r="E60" s="44" t="str">
        <f>IF(ISERROR(VLOOKUP(E$2,'All Schools Data view only'!$A:$EC,107,0)),"",VLOOKUP(E$2,'All Schools Data view only'!$A:$EC,107,0))</f>
        <v/>
      </c>
      <c r="F60" s="44" t="str">
        <f>IF(ISERROR(VLOOKUP(F$2,'All Schools Data view only'!$A:$EC,107,0)),"",VLOOKUP(F$2,'All Schools Data view only'!$A:$EC,107,0))</f>
        <v/>
      </c>
      <c r="G60" s="45">
        <f>VLOOKUP(AC$3,'All Schools Data view only'!$A:$EC,107,0)</f>
        <v>4456.2869088822499</v>
      </c>
      <c r="H60" s="45">
        <f>VLOOKUP(AD$3,'All Schools Data view only'!$A:$EC,107,0)</f>
        <v>6768.6879726834777</v>
      </c>
      <c r="I60" s="45">
        <f>VLOOKUP(AE$3,'All Schools Data view only'!$A:$EC,107,0)</f>
        <v>9723.7992952601271</v>
      </c>
      <c r="J60" s="45">
        <f>VLOOKUP(AF$3,'All Schools Data view only'!$A:$EC,107,0)</f>
        <v>39577.052531180649</v>
      </c>
      <c r="K60" s="45">
        <f>VLOOKUP(AG$3,'All Schools Data view only'!$A:$EC,107,0)</f>
        <v>79679.263913690476</v>
      </c>
    </row>
    <row r="61" spans="1:11" ht="15" customHeight="1">
      <c r="A61" s="54"/>
      <c r="B61" s="43"/>
      <c r="C61" s="44"/>
      <c r="D61" s="44"/>
      <c r="E61" s="44"/>
      <c r="F61" s="44"/>
      <c r="G61" s="46"/>
      <c r="H61" s="47"/>
      <c r="I61" s="47"/>
      <c r="J61" s="47"/>
      <c r="K61" s="48"/>
    </row>
    <row r="62" spans="1:11" ht="15" customHeight="1">
      <c r="A62" s="54" t="s">
        <v>20</v>
      </c>
      <c r="B62" s="43" t="s">
        <v>13</v>
      </c>
      <c r="C62" s="41" t="str">
        <f>IF(ISERROR(VLOOKUP(C$2,'All Schools Data view only'!$A:$EC,108,0)),"",VLOOKUP(C$2,'All Schools Data view only'!$A:$EC,108,0))</f>
        <v/>
      </c>
      <c r="D62" s="41" t="str">
        <f>IF(ISERROR(VLOOKUP(D$2,'All Schools Data view only'!$A:$EC,108,0)),"",VLOOKUP(D$2,'All Schools Data view only'!$A:$EC,108,0))</f>
        <v/>
      </c>
      <c r="E62" s="41" t="str">
        <f>IF(ISERROR(VLOOKUP(E$2,'All Schools Data view only'!$A:$EC,108,0)),"",VLOOKUP(E$2,'All Schools Data view only'!$A:$EC,108,0))</f>
        <v/>
      </c>
      <c r="F62" s="41" t="str">
        <f>IF(ISERROR(VLOOKUP(F$2,'All Schools Data view only'!$A:$EC,108,0)),"",VLOOKUP(F$2,'All Schools Data view only'!$A:$EC,108,0))</f>
        <v/>
      </c>
      <c r="G62" s="42">
        <f>VLOOKUP(AC$3,'All Schools Data view only'!$A:$EC,108,0)</f>
        <v>8.745804326361864E-3</v>
      </c>
      <c r="H62" s="42">
        <f>VLOOKUP(AD$3,'All Schools Data view only'!$A:$EC,108,0)</f>
        <v>1.6709066711265191E-2</v>
      </c>
      <c r="I62" s="42">
        <f>VLOOKUP(AE$3,'All Schools Data view only'!$A:$EC,108,0)</f>
        <v>1.4801812659108423E-2</v>
      </c>
      <c r="J62" s="42">
        <f>VLOOKUP(AF$3,'All Schools Data view only'!$A:$EC,108,0)</f>
        <v>1.2596370136615043E-2</v>
      </c>
      <c r="K62" s="42">
        <f>VLOOKUP(AG$3,'All Schools Data view only'!$A:$EC,108,0)</f>
        <v>9.2972106595991732E-4</v>
      </c>
    </row>
    <row r="63" spans="1:11" ht="15" customHeight="1">
      <c r="A63" s="54"/>
      <c r="B63" s="43" t="s">
        <v>14</v>
      </c>
      <c r="C63" s="41" t="str">
        <f>IF(ISERROR(VLOOKUP(C$2,'All Schools Data view only'!$A:$EC,109,0)),"",VLOOKUP(C$2,'All Schools Data view only'!$A:$EC,109,0))</f>
        <v/>
      </c>
      <c r="D63" s="41" t="str">
        <f>IF(ISERROR(VLOOKUP(D$2,'All Schools Data view only'!$A:$EC,109,0)),"",VLOOKUP(D$2,'All Schools Data view only'!$A:$EC,109,0))</f>
        <v/>
      </c>
      <c r="E63" s="41" t="str">
        <f>IF(ISERROR(VLOOKUP(E$2,'All Schools Data view only'!$A:$EC,109,0)),"",VLOOKUP(E$2,'All Schools Data view only'!$A:$EC,109,0))</f>
        <v/>
      </c>
      <c r="F63" s="41" t="str">
        <f>IF(ISERROR(VLOOKUP(F$2,'All Schools Data view only'!$A:$EC,109,0)),"",VLOOKUP(F$2,'All Schools Data view only'!$A:$EC,109,0))</f>
        <v/>
      </c>
      <c r="G63" s="42">
        <f>VLOOKUP(AC$3,'All Schools Data view only'!$A:$EC,109,0)</f>
        <v>6.4466112440980123E-3</v>
      </c>
      <c r="H63" s="42">
        <f>VLOOKUP(AD$3,'All Schools Data view only'!$A:$EC,109,0)</f>
        <v>1.2810619481076686E-2</v>
      </c>
      <c r="I63" s="42">
        <f>VLOOKUP(AE$3,'All Schools Data view only'!$A:$EC,109,0)</f>
        <v>1.216279700889387E-2</v>
      </c>
      <c r="J63" s="42">
        <f>VLOOKUP(AF$3,'All Schools Data view only'!$A:$EC,109,0)</f>
        <v>1.1843490898411357E-2</v>
      </c>
      <c r="K63" s="42">
        <f>VLOOKUP(AG$3,'All Schools Data view only'!$A:$EC,109,0)</f>
        <v>7.6694202279206029E-4</v>
      </c>
    </row>
    <row r="64" spans="1:11" ht="15" customHeight="1">
      <c r="A64" s="54"/>
      <c r="B64" s="43" t="s">
        <v>15</v>
      </c>
      <c r="C64" s="44" t="str">
        <f>IF(ISERROR(VLOOKUP(C$2,'All Schools Data view only'!$A:$EC,110,0)),"",VLOOKUP(C$2,'All Schools Data view only'!$A:$EC,110,0))</f>
        <v/>
      </c>
      <c r="D64" s="44" t="str">
        <f>IF(ISERROR(VLOOKUP(D$2,'All Schools Data view only'!$A:$EC,110,0)),"",VLOOKUP(D$2,'All Schools Data view only'!$A:$EC,110,0))</f>
        <v/>
      </c>
      <c r="E64" s="44" t="str">
        <f>IF(ISERROR(VLOOKUP(E$2,'All Schools Data view only'!$A:$EC,110,0)),"",VLOOKUP(E$2,'All Schools Data view only'!$A:$EC,110,0))</f>
        <v/>
      </c>
      <c r="F64" s="44" t="str">
        <f>IF(ISERROR(VLOOKUP(F$2,'All Schools Data view only'!$A:$EC,110,0)),"",VLOOKUP(F$2,'All Schools Data view only'!$A:$EC,110,0))</f>
        <v/>
      </c>
      <c r="G64" s="45">
        <f>VLOOKUP(AC$3,'All Schools Data view only'!$A:$EC,110,0)</f>
        <v>70.030526085689303</v>
      </c>
      <c r="H64" s="45">
        <f>VLOOKUP(AD$3,'All Schools Data view only'!$A:$EC,110,0)</f>
        <v>122.17855698258849</v>
      </c>
      <c r="I64" s="45">
        <f>VLOOKUP(AE$3,'All Schools Data view only'!$A:$EC,110,0)</f>
        <v>153.792861267576</v>
      </c>
      <c r="J64" s="45">
        <f>VLOOKUP(AF$3,'All Schools Data view only'!$A:$EC,110,0)</f>
        <v>609.3878217424641</v>
      </c>
      <c r="K64" s="45">
        <f>VLOOKUP(AG$3,'All Schools Data view only'!$A:$EC,110,0)</f>
        <v>73.545446428571438</v>
      </c>
    </row>
    <row r="65" spans="1:11" ht="15" customHeight="1">
      <c r="A65" s="54"/>
      <c r="B65" s="43"/>
      <c r="C65" s="55"/>
      <c r="D65" s="55"/>
      <c r="E65" s="55"/>
      <c r="F65" s="55"/>
      <c r="G65" s="46"/>
      <c r="H65" s="47"/>
      <c r="I65" s="47"/>
      <c r="J65" s="47"/>
      <c r="K65" s="48"/>
    </row>
    <row r="66" spans="1:11" ht="15" customHeight="1">
      <c r="A66" s="54" t="s">
        <v>21</v>
      </c>
      <c r="B66" s="43" t="s">
        <v>14</v>
      </c>
      <c r="C66" s="41" t="str">
        <f>IF(ISERROR(VLOOKUP(C$2,'All Schools Data view only'!$A:$EC,111,0)),"",VLOOKUP(C$2,'All Schools Data view only'!$A:$EC,111,0))</f>
        <v/>
      </c>
      <c r="D66" s="41" t="str">
        <f>IF(ISERROR(VLOOKUP(D$2,'All Schools Data view only'!$A:$EC,111,0)),"",VLOOKUP(D$2,'All Schools Data view only'!$A:$EC,111,0))</f>
        <v/>
      </c>
      <c r="E66" s="41" t="str">
        <f>IF(ISERROR(VLOOKUP(E$2,'All Schools Data view only'!$A:$EC,111,0)),"",VLOOKUP(E$2,'All Schools Data view only'!$A:$EC,111,0))</f>
        <v/>
      </c>
      <c r="F66" s="41" t="str">
        <f>IF(ISERROR(VLOOKUP(F$2,'All Schools Data view only'!$A:$EC,111,0)),"",VLOOKUP(F$2,'All Schools Data view only'!$A:$EC,111,0))</f>
        <v/>
      </c>
      <c r="G66" s="42">
        <f>VLOOKUP(AC$3,'All Schools Data view only'!$A:$EC,111,0)</f>
        <v>8.9572240616274282E-4</v>
      </c>
      <c r="H66" s="42">
        <f>VLOOKUP(AD$3,'All Schools Data view only'!$A:$EC,111,0)</f>
        <v>2.8623365141353199E-3</v>
      </c>
      <c r="I66" s="42">
        <f>VLOOKUP(AE$3,'All Schools Data view only'!$A:$EC,111,0)</f>
        <v>1.3420745020881518E-3</v>
      </c>
      <c r="J66" s="42">
        <f>VLOOKUP(AF$3,'All Schools Data view only'!$A:$EC,111,0)</f>
        <v>1.640628915185212E-3</v>
      </c>
      <c r="K66" s="42">
        <f>VLOOKUP(AG$3,'All Schools Data view only'!$A:$EC,111,0)</f>
        <v>8.5729073349545871E-5</v>
      </c>
    </row>
    <row r="67" spans="1:11" ht="15" customHeight="1">
      <c r="A67" s="54"/>
      <c r="B67" s="43" t="s">
        <v>15</v>
      </c>
      <c r="C67" s="44" t="str">
        <f>IF(ISERROR(VLOOKUP(C$2,'All Schools Data view only'!$A:$EC,112,0)),"",VLOOKUP(C$2,'All Schools Data view only'!$A:$EC,112,0))</f>
        <v/>
      </c>
      <c r="D67" s="44" t="str">
        <f>IF(ISERROR(VLOOKUP(D$2,'All Schools Data view only'!$A:$EC,112,0)),"",VLOOKUP(D$2,'All Schools Data view only'!$A:$EC,112,0))</f>
        <v/>
      </c>
      <c r="E67" s="44" t="str">
        <f>IF(ISERROR(VLOOKUP(E$2,'All Schools Data view only'!$A:$EC,112,0)),"",VLOOKUP(E$2,'All Schools Data view only'!$A:$EC,112,0))</f>
        <v/>
      </c>
      <c r="F67" s="44" t="str">
        <f>IF(ISERROR(VLOOKUP(F$2,'All Schools Data view only'!$A:$EC,112,0)),"",VLOOKUP(F$2,'All Schools Data view only'!$A:$EC,112,0))</f>
        <v/>
      </c>
      <c r="G67" s="45">
        <f>VLOOKUP(AC$3,'All Schools Data view only'!$A:$EC,112,0)</f>
        <v>9.529820023316816</v>
      </c>
      <c r="H67" s="45">
        <f>VLOOKUP(AD$3,'All Schools Data view only'!$A:$EC,112,0)</f>
        <v>27.138119663429759</v>
      </c>
      <c r="I67" s="45">
        <f>VLOOKUP(AE$3,'All Schools Data view only'!$A:$EC,112,0)</f>
        <v>15.955171242895013</v>
      </c>
      <c r="J67" s="45">
        <f>VLOOKUP(AF$3,'All Schools Data view only'!$A:$EC,112,0)</f>
        <v>77.61283850390997</v>
      </c>
      <c r="K67" s="45">
        <f>VLOOKUP(AG$3,'All Schools Data view only'!$A:$EC,112,0)</f>
        <v>6.9923958333333331</v>
      </c>
    </row>
    <row r="68" spans="1:11" ht="15" customHeight="1">
      <c r="A68" s="54"/>
      <c r="B68" s="43"/>
      <c r="C68" s="55"/>
      <c r="D68" s="55"/>
      <c r="E68" s="55"/>
      <c r="F68" s="55"/>
      <c r="G68" s="46"/>
      <c r="H68" s="47"/>
      <c r="I68" s="47"/>
      <c r="J68" s="47"/>
      <c r="K68" s="48"/>
    </row>
    <row r="69" spans="1:11" ht="15" customHeight="1">
      <c r="A69" s="54" t="s">
        <v>22</v>
      </c>
      <c r="B69" s="43" t="s">
        <v>13</v>
      </c>
      <c r="C69" s="41" t="str">
        <f>IF(ISERROR(VLOOKUP(C$2,'All Schools Data view only'!$A:$EC,113,0)),"",VLOOKUP(C$2,'All Schools Data view only'!$A:$EC,113,0))</f>
        <v/>
      </c>
      <c r="D69" s="41" t="str">
        <f>IF(ISERROR(VLOOKUP(D$2,'All Schools Data view only'!$A:$EC,113,0)),"",VLOOKUP(D$2,'All Schools Data view only'!$A:$EC,113,0))</f>
        <v/>
      </c>
      <c r="E69" s="41" t="str">
        <f>IF(ISERROR(VLOOKUP(E$2,'All Schools Data view only'!$A:$EC,113,0)),"",VLOOKUP(E$2,'All Schools Data view only'!$A:$EC,113,0))</f>
        <v/>
      </c>
      <c r="F69" s="41" t="str">
        <f>IF(ISERROR(VLOOKUP(F$2,'All Schools Data view only'!$A:$EC,113,0)),"",VLOOKUP(F$2,'All Schools Data view only'!$A:$EC,113,0))</f>
        <v/>
      </c>
      <c r="G69" s="42">
        <f>VLOOKUP(AC$3,'All Schools Data view only'!$A:$EC,113,0)</f>
        <v>9.4117834575557537E-3</v>
      </c>
      <c r="H69" s="42">
        <f>VLOOKUP(AD$3,'All Schools Data view only'!$A:$EC,113,0)</f>
        <v>1.800193658066403E-2</v>
      </c>
      <c r="I69" s="42">
        <f>VLOOKUP(AE$3,'All Schools Data view only'!$A:$EC,113,0)</f>
        <v>2.0127576569982149E-2</v>
      </c>
      <c r="J69" s="42">
        <f>VLOOKUP(AF$3,'All Schools Data view only'!$A:$EC,113,0)</f>
        <v>8.6800734810327899E-3</v>
      </c>
      <c r="K69" s="42">
        <f>VLOOKUP(AG$3,'All Schools Data view only'!$A:$EC,113,0)</f>
        <v>8.2007225228458436E-3</v>
      </c>
    </row>
    <row r="70" spans="1:11" ht="15" customHeight="1">
      <c r="A70" s="54"/>
      <c r="B70" s="43" t="s">
        <v>14</v>
      </c>
      <c r="C70" s="41" t="str">
        <f>IF(ISERROR(VLOOKUP(C$2,'All Schools Data view only'!$A:$EC,114,0)),"",VLOOKUP(C$2,'All Schools Data view only'!$A:$EC,114,0))</f>
        <v/>
      </c>
      <c r="D70" s="41" t="str">
        <f>IF(ISERROR(VLOOKUP(D$2,'All Schools Data view only'!$A:$EC,114,0)),"",VLOOKUP(D$2,'All Schools Data view only'!$A:$EC,114,0))</f>
        <v/>
      </c>
      <c r="E70" s="41" t="str">
        <f>IF(ISERROR(VLOOKUP(E$2,'All Schools Data view only'!$A:$EC,114,0)),"",VLOOKUP(E$2,'All Schools Data view only'!$A:$EC,114,0))</f>
        <v/>
      </c>
      <c r="F70" s="41" t="str">
        <f>IF(ISERROR(VLOOKUP(F$2,'All Schools Data view only'!$A:$EC,114,0)),"",VLOOKUP(F$2,'All Schools Data view only'!$A:$EC,114,0))</f>
        <v/>
      </c>
      <c r="G70" s="42">
        <f>VLOOKUP(AC$3,'All Schools Data view only'!$A:$EC,114,0)</f>
        <v>6.6379248062726779E-3</v>
      </c>
      <c r="H70" s="42">
        <f>VLOOKUP(AD$3,'All Schools Data view only'!$A:$EC,114,0)</f>
        <v>1.4375270244186104E-2</v>
      </c>
      <c r="I70" s="42">
        <f>VLOOKUP(AE$3,'All Schools Data view only'!$A:$EC,114,0)</f>
        <v>1.7292109861065861E-2</v>
      </c>
      <c r="J70" s="42">
        <f>VLOOKUP(AF$3,'All Schools Data view only'!$A:$EC,114,0)</f>
        <v>8.1473221476634043E-3</v>
      </c>
      <c r="K70" s="42">
        <f>VLOOKUP(AG$3,'All Schools Data view only'!$A:$EC,114,0)</f>
        <v>7.4220251441314711E-3</v>
      </c>
    </row>
    <row r="71" spans="1:11" ht="15" customHeight="1">
      <c r="A71" s="54"/>
      <c r="B71" s="43" t="s">
        <v>15</v>
      </c>
      <c r="C71" s="44" t="str">
        <f>IF(ISERROR(VLOOKUP(C$2,'All Schools Data view only'!$A:$EC,115,0)),"",VLOOKUP(C$2,'All Schools Data view only'!$A:$EC,115,0))</f>
        <v/>
      </c>
      <c r="D71" s="44" t="str">
        <f>IF(ISERROR(VLOOKUP(D$2,'All Schools Data view only'!$A:$EC,115,0)),"",VLOOKUP(D$2,'All Schools Data view only'!$A:$EC,115,0))</f>
        <v/>
      </c>
      <c r="E71" s="44" t="str">
        <f>IF(ISERROR(VLOOKUP(E$2,'All Schools Data view only'!$A:$EC,115,0)),"",VLOOKUP(E$2,'All Schools Data view only'!$A:$EC,115,0))</f>
        <v/>
      </c>
      <c r="F71" s="44" t="str">
        <f>IF(ISERROR(VLOOKUP(F$2,'All Schools Data view only'!$A:$EC,115,0)),"",VLOOKUP(F$2,'All Schools Data view only'!$A:$EC,115,0))</f>
        <v/>
      </c>
      <c r="G71" s="45">
        <f>VLOOKUP(AC$3,'All Schools Data view only'!$A:$EC,115,0)</f>
        <v>74.820724278635964</v>
      </c>
      <c r="H71" s="45">
        <f>VLOOKUP(AD$3,'All Schools Data view only'!$A:$EC,115,0)</f>
        <v>133.63725837608135</v>
      </c>
      <c r="I71" s="45">
        <f>VLOOKUP(AE$3,'All Schools Data view only'!$A:$EC,115,0)</f>
        <v>208.91142760733689</v>
      </c>
      <c r="J71" s="45">
        <f>VLOOKUP(AF$3,'All Schools Data view only'!$A:$EC,115,0)</f>
        <v>397.85670382717086</v>
      </c>
      <c r="K71" s="45">
        <f>VLOOKUP(AG$3,'All Schools Data view only'!$A:$EC,115,0)</f>
        <v>605.36916666666673</v>
      </c>
    </row>
    <row r="72" spans="1:11" ht="15" customHeight="1">
      <c r="A72" s="54"/>
      <c r="B72" s="43"/>
      <c r="C72" s="44"/>
      <c r="D72" s="44"/>
      <c r="E72" s="44"/>
      <c r="F72" s="44"/>
      <c r="G72" s="46"/>
      <c r="H72" s="47"/>
      <c r="I72" s="47"/>
      <c r="J72" s="47"/>
      <c r="K72" s="48"/>
    </row>
    <row r="73" spans="1:11" ht="15" customHeight="1">
      <c r="A73" s="54" t="s">
        <v>438</v>
      </c>
      <c r="B73" s="43" t="s">
        <v>14</v>
      </c>
      <c r="C73" s="57" t="str">
        <f>IF(ISERROR(VLOOKUP(C$2,'All Schools Data view only'!$A:$EC,131,0)),"",VLOOKUP(C$2,'All Schools Data view only'!$A:$EC,131,0))</f>
        <v/>
      </c>
      <c r="D73" s="57" t="str">
        <f>IF(ISERROR(VLOOKUP(D$2,'All Schools Data view only'!$A:$EC,131,0)),"",VLOOKUP(D$2,'All Schools Data view only'!$A:$EC,131,0))</f>
        <v/>
      </c>
      <c r="E73" s="57" t="str">
        <f>IF(ISERROR(VLOOKUP(E$2,'All Schools Data view only'!$A:$EC,131,0)),"",VLOOKUP(E$2,'All Schools Data view only'!$A:$EC,131,0))</f>
        <v/>
      </c>
      <c r="F73" s="57" t="str">
        <f>IF(ISERROR(VLOOKUP(F$2,'All Schools Data view only'!$A:$EC,131,0)),"",VLOOKUP(F$2,'All Schools Data view only'!$A:$EC,131,0))</f>
        <v/>
      </c>
      <c r="G73" s="42">
        <f>VLOOKUP(AC$3,'All Schools Data view only'!$A:$EC,131,0)</f>
        <v>4.7750914938017646E-3</v>
      </c>
      <c r="H73" s="42">
        <f>VLOOKUP(AD$3,'All Schools Data view only'!$A:$EC,131,0)</f>
        <v>1.3710090760148565E-2</v>
      </c>
      <c r="I73" s="42">
        <f>VLOOKUP(AE$3,'All Schools Data view only'!$A:$EC,131,0)</f>
        <v>1.6604801127167352E-2</v>
      </c>
      <c r="J73" s="42">
        <f>VLOOKUP(AF$3,'All Schools Data view only'!$A:$EC,131,0)</f>
        <v>7.2236854600750029E-3</v>
      </c>
      <c r="K73" s="42">
        <f>VLOOKUP(AG$3,'All Schools Data view only'!$A:$EC,131,0)</f>
        <v>5.1391033096595054E-3</v>
      </c>
    </row>
    <row r="74" spans="1:11" ht="15" customHeight="1">
      <c r="A74" s="54"/>
      <c r="B74" s="43" t="s">
        <v>15</v>
      </c>
      <c r="C74" s="58" t="str">
        <f>IF(ISERROR(VLOOKUP(C$2,'All Schools Data view only'!$A:$EC,132,0)),"",VLOOKUP(C$2,'All Schools Data view only'!$A:$EC,132,0))</f>
        <v/>
      </c>
      <c r="D74" s="58" t="str">
        <f>IF(ISERROR(VLOOKUP(D$2,'All Schools Data view only'!$A:$EC,132,0)),"",VLOOKUP(D$2,'All Schools Data view only'!$A:$EC,132,0))</f>
        <v/>
      </c>
      <c r="E74" s="58" t="str">
        <f>IF(ISERROR(VLOOKUP(E$2,'All Schools Data view only'!$A:$EC,132,0)),"",VLOOKUP(E$2,'All Schools Data view only'!$A:$EC,132,0))</f>
        <v/>
      </c>
      <c r="F74" s="58" t="str">
        <f>IF(ISERROR(VLOOKUP(F$2,'All Schools Data view only'!$A:$EC,132,0)),"",VLOOKUP(F$2,'All Schools Data view only'!$A:$EC,132,0))</f>
        <v/>
      </c>
      <c r="G74" s="45">
        <f>VLOOKUP(AC$3,'All Schools Data view only'!$A:$EC,132,0)</f>
        <v>56.454919848440689</v>
      </c>
      <c r="H74" s="45">
        <f>VLOOKUP(AD$3,'All Schools Data view only'!$A:$EC,132,0)</f>
        <v>129.49471932240115</v>
      </c>
      <c r="I74" s="45">
        <f>VLOOKUP(AE$3,'All Schools Data view only'!$A:$EC,132,0)</f>
        <v>200.56573201387593</v>
      </c>
      <c r="J74" s="45">
        <f>VLOOKUP(AF$3,'All Schools Data view only'!$A:$EC,132,0)</f>
        <v>296.1963114920955</v>
      </c>
      <c r="K74" s="45">
        <f>VLOOKUP(AG$3,'All Schools Data view only'!$A:$EC,132,0)</f>
        <v>419.63308035714289</v>
      </c>
    </row>
    <row r="75" spans="1:11" ht="15" customHeight="1">
      <c r="A75" s="54"/>
      <c r="B75" s="43"/>
      <c r="C75" s="44"/>
      <c r="D75" s="44"/>
      <c r="E75" s="44"/>
      <c r="F75" s="44"/>
      <c r="G75" s="46"/>
      <c r="H75" s="47"/>
      <c r="I75" s="47"/>
      <c r="J75" s="47"/>
      <c r="K75" s="48"/>
    </row>
    <row r="76" spans="1:11" ht="15" customHeight="1">
      <c r="A76" s="54" t="s">
        <v>439</v>
      </c>
      <c r="B76" s="43" t="s">
        <v>14</v>
      </c>
      <c r="C76" s="57" t="str">
        <f>IF(ISERROR(VLOOKUP(C$2,'All Schools Data view only'!$A:$EC,124,0)),"",VLOOKUP(C$2,'All Schools Data view only'!$A:$EC,124,0))</f>
        <v/>
      </c>
      <c r="D76" s="57" t="str">
        <f>IF(ISERROR(VLOOKUP(D$2,'All Schools Data view only'!$A:$EC,124,0)),"",VLOOKUP(D$2,'All Schools Data view only'!$A:$EC,124,0))</f>
        <v/>
      </c>
      <c r="E76" s="57" t="str">
        <f>IF(ISERROR(VLOOKUP(E$2,'All Schools Data view only'!$A:$EC,124,0)),"",VLOOKUP(E$2,'All Schools Data view only'!$A:$EC,124,0))</f>
        <v/>
      </c>
      <c r="F76" s="57" t="str">
        <f>IF(ISERROR(VLOOKUP(F$2,'All Schools Data view only'!$A:$EC,124,0)),"",VLOOKUP(F$2,'All Schools Data view only'!$A:$EC,124,0))</f>
        <v/>
      </c>
      <c r="G76" s="42">
        <f>VLOOKUP(AC$3,'All Schools Data view only'!$A:$EC,124,0)</f>
        <v>2.5712019604966184E-3</v>
      </c>
      <c r="H76" s="42">
        <f>VLOOKUP(AD$3,'All Schools Data view only'!$A:$EC,124,0)</f>
        <v>3.6708546655086259E-3</v>
      </c>
      <c r="I76" s="42">
        <f>VLOOKUP(AE$3,'All Schools Data view only'!$A:$EC,124,0)</f>
        <v>5.834862559235608E-3</v>
      </c>
      <c r="J76" s="42">
        <f>VLOOKUP(AF$3,'All Schools Data view only'!$A:$EC,124,0)</f>
        <v>1.7960199748996665E-3</v>
      </c>
      <c r="K76" s="42">
        <f>VLOOKUP(AG$3,'All Schools Data view only'!$A:$EC,124,0)</f>
        <v>5.6793636257568662E-3</v>
      </c>
    </row>
    <row r="77" spans="1:11" ht="15" customHeight="1">
      <c r="A77" s="54"/>
      <c r="B77" s="43" t="s">
        <v>15</v>
      </c>
      <c r="C77" s="58" t="str">
        <f>IF(ISERROR(VLOOKUP(C$2,'All Schools Data view only'!$A:$EC,125,0)),"",VLOOKUP(C$2,'All Schools Data view only'!$A:$EC,125,0))</f>
        <v/>
      </c>
      <c r="D77" s="58" t="str">
        <f>IF(ISERROR(VLOOKUP(D$2,'All Schools Data view only'!$A:$EC,125,0)),"",VLOOKUP(D$2,'All Schools Data view only'!$A:$EC,125,0))</f>
        <v/>
      </c>
      <c r="E77" s="58" t="str">
        <f>IF(ISERROR(VLOOKUP(E$2,'All Schools Data view only'!$A:$EC,125,0)),"",VLOOKUP(E$2,'All Schools Data view only'!$A:$EC,125,0))</f>
        <v/>
      </c>
      <c r="F77" s="58" t="str">
        <f>IF(ISERROR(VLOOKUP(F$2,'All Schools Data view only'!$A:$EC,125,0)),"",VLOOKUP(F$2,'All Schools Data view only'!$A:$EC,125,0))</f>
        <v/>
      </c>
      <c r="G77" s="45">
        <f>VLOOKUP(AC$3,'All Schools Data view only'!$A:$EC,125,0)</f>
        <v>27.40047325852521</v>
      </c>
      <c r="H77" s="45">
        <f>VLOOKUP(AD$3,'All Schools Data view only'!$A:$EC,125,0)</f>
        <v>33.442401591707203</v>
      </c>
      <c r="I77" s="45">
        <f>VLOOKUP(AE$3,'All Schools Data view only'!$A:$EC,125,0)</f>
        <v>69.250770604970157</v>
      </c>
      <c r="J77" s="45">
        <f>VLOOKUP(AF$3,'All Schools Data view only'!$A:$EC,125,0)</f>
        <v>91.249358576662232</v>
      </c>
      <c r="K77" s="45">
        <f>VLOOKUP(AG$3,'All Schools Data view only'!$A:$EC,125,0)</f>
        <v>623.70690476190475</v>
      </c>
    </row>
    <row r="78" spans="1:11" ht="15" customHeight="1">
      <c r="A78" s="54"/>
      <c r="B78" s="43"/>
      <c r="C78" s="55"/>
      <c r="D78" s="55"/>
      <c r="E78" s="55"/>
      <c r="F78" s="55"/>
      <c r="G78" s="46"/>
      <c r="H78" s="47"/>
      <c r="I78" s="47"/>
      <c r="J78" s="47"/>
      <c r="K78" s="48"/>
    </row>
    <row r="79" spans="1:11" ht="15" customHeight="1">
      <c r="A79" s="54" t="s">
        <v>23</v>
      </c>
      <c r="B79" s="43" t="s">
        <v>13</v>
      </c>
      <c r="C79" s="41" t="str">
        <f>IF(ISERROR(VLOOKUP(C$2,'All Schools Data view only'!$A:$EC,116,0)),"",VLOOKUP(C$2,'All Schools Data view only'!$A:$EC,116,0))</f>
        <v/>
      </c>
      <c r="D79" s="41" t="str">
        <f>IF(ISERROR(VLOOKUP(D$2,'All Schools Data view only'!$A:$EC,116,0)),"",VLOOKUP(D$2,'All Schools Data view only'!$A:$EC,116,0))</f>
        <v/>
      </c>
      <c r="E79" s="41" t="str">
        <f>IF(ISERROR(VLOOKUP(E$2,'All Schools Data view only'!$A:$EC,116,0)),"",VLOOKUP(E$2,'All Schools Data view only'!$A:$EC,116,0))</f>
        <v/>
      </c>
      <c r="F79" s="41" t="str">
        <f>IF(ISERROR(VLOOKUP(F$2,'All Schools Data view only'!$A:$EC,116,0)),"",VLOOKUP(F$2,'All Schools Data view only'!$A:$EC,116,0))</f>
        <v/>
      </c>
      <c r="G79" s="42">
        <f>VLOOKUP(AC$3,'All Schools Data view only'!$A:$EC,116,0)</f>
        <v>3.7919485276473501E-3</v>
      </c>
      <c r="H79" s="42">
        <f>VLOOKUP(AD$3,'All Schools Data view only'!$A:$EC,116,0)</f>
        <v>1.3247008621479607E-2</v>
      </c>
      <c r="I79" s="42">
        <f>VLOOKUP(AE$3,'All Schools Data view only'!$A:$EC,116,0)</f>
        <v>1.2796752183444679E-2</v>
      </c>
      <c r="J79" s="42">
        <f>VLOOKUP(AF$3,'All Schools Data view only'!$A:$EC,116,0)</f>
        <v>5.6350338423811859E-3</v>
      </c>
      <c r="K79" s="42">
        <f>VLOOKUP(AG$3,'All Schools Data view only'!$A:$EC,116,0)</f>
        <v>0.22902695271139858</v>
      </c>
    </row>
    <row r="80" spans="1:11" ht="15" customHeight="1">
      <c r="A80" s="54"/>
      <c r="B80" s="43" t="s">
        <v>14</v>
      </c>
      <c r="C80" s="41" t="str">
        <f>IF(ISERROR(VLOOKUP(C$2,'All Schools Data view only'!$A:$EC,117,0)),"",VLOOKUP(C$2,'All Schools Data view only'!$A:$EC,117,0))</f>
        <v/>
      </c>
      <c r="D80" s="41" t="str">
        <f>IF(ISERROR(VLOOKUP(D$2,'All Schools Data view only'!$A:$EC,117,0)),"",VLOOKUP(D$2,'All Schools Data view only'!$A:$EC,117,0))</f>
        <v/>
      </c>
      <c r="E80" s="41" t="str">
        <f>IF(ISERROR(VLOOKUP(E$2,'All Schools Data view only'!$A:$EC,117,0)),"",VLOOKUP(E$2,'All Schools Data view only'!$A:$EC,117,0))</f>
        <v/>
      </c>
      <c r="F80" s="41" t="str">
        <f>IF(ISERROR(VLOOKUP(F$2,'All Schools Data view only'!$A:$EC,117,0)),"",VLOOKUP(F$2,'All Schools Data view only'!$A:$EC,117,0))</f>
        <v/>
      </c>
      <c r="G80" s="42">
        <f>VLOOKUP(AC$3,'All Schools Data view only'!$A:$EC,117,0)</f>
        <v>2.8547535059163034E-3</v>
      </c>
      <c r="H80" s="42">
        <f>VLOOKUP(AD$3,'All Schools Data view only'!$A:$EC,117,0)</f>
        <v>9.7719044266671058E-3</v>
      </c>
      <c r="I80" s="42">
        <f>VLOOKUP(AE$3,'All Schools Data view only'!$A:$EC,117,0)</f>
        <v>1.0326428865837357E-2</v>
      </c>
      <c r="J80" s="42">
        <f>VLOOKUP(AF$3,'All Schools Data view only'!$A:$EC,117,0)</f>
        <v>5.2780064014828027E-3</v>
      </c>
      <c r="K80" s="42">
        <f>VLOOKUP(AG$3,'All Schools Data view only'!$A:$EC,117,0)</f>
        <v>0.13876177068203144</v>
      </c>
    </row>
    <row r="81" spans="1:11" ht="15.6">
      <c r="A81" s="54"/>
      <c r="B81" s="43" t="s">
        <v>15</v>
      </c>
      <c r="C81" s="44" t="str">
        <f>IF(ISERROR(VLOOKUP(C$2,'All Schools Data view only'!$A:$EC,118,0)),"",VLOOKUP(C$2,'All Schools Data view only'!$A:$EC,118,0))</f>
        <v/>
      </c>
      <c r="D81" s="44" t="str">
        <f>IF(ISERROR(VLOOKUP(D$2,'All Schools Data view only'!$A:$EC,118,0)),"",VLOOKUP(D$2,'All Schools Data view only'!$A:$EC,118,0))</f>
        <v/>
      </c>
      <c r="E81" s="44" t="str">
        <f>IF(ISERROR(VLOOKUP(E$2,'All Schools Data view only'!$A:$EC,118,0)),"",VLOOKUP(E$2,'All Schools Data view only'!$A:$EC,118,0))</f>
        <v/>
      </c>
      <c r="F81" s="44" t="str">
        <f>IF(ISERROR(VLOOKUP(F$2,'All Schools Data view only'!$A:$EC,118,0)),"",VLOOKUP(F$2,'All Schools Data view only'!$A:$EC,118,0))</f>
        <v/>
      </c>
      <c r="G81" s="45">
        <f>VLOOKUP(AC$3,'All Schools Data view only'!$A:$EC,118,0)</f>
        <v>30.471439449140192</v>
      </c>
      <c r="H81" s="45">
        <f>VLOOKUP(AD$3,'All Schools Data view only'!$A:$EC,118,0)</f>
        <v>96.514506088221637</v>
      </c>
      <c r="I81" s="45">
        <f>VLOOKUP(AE$3,'All Schools Data view only'!$A:$EC,118,0)</f>
        <v>131.21517882852223</v>
      </c>
      <c r="J81" s="45">
        <f>VLOOKUP(AF$3,'All Schools Data view only'!$A:$EC,118,0)</f>
        <v>244.25554566780693</v>
      </c>
      <c r="K81" s="45">
        <f>VLOOKUP(AG$3,'All Schools Data view only'!$A:$EC,118,0)</f>
        <v>21426.44775297619</v>
      </c>
    </row>
    <row r="82" spans="1:11" ht="15" customHeight="1">
      <c r="A82" s="54"/>
      <c r="B82" s="43"/>
      <c r="C82" s="55"/>
      <c r="D82" s="55"/>
      <c r="E82" s="55"/>
      <c r="F82" s="55"/>
      <c r="G82" s="46"/>
      <c r="H82" s="47"/>
      <c r="I82" s="47"/>
      <c r="J82" s="47"/>
      <c r="K82" s="48"/>
    </row>
    <row r="83" spans="1:11" ht="15" customHeight="1">
      <c r="A83" s="54" t="s">
        <v>24</v>
      </c>
      <c r="B83" s="43" t="s">
        <v>13</v>
      </c>
      <c r="C83" s="41" t="str">
        <f>IF(ISERROR(VLOOKUP(C$2,'All Schools Data view only'!$A:$EC,119,0)),"",VLOOKUP(C$2,'All Schools Data view only'!$A:$EC,119,0))</f>
        <v/>
      </c>
      <c r="D83" s="41" t="str">
        <f>IF(ISERROR(VLOOKUP(D$2,'All Schools Data view only'!$A:$EC,119,0)),"",VLOOKUP(D$2,'All Schools Data view only'!$A:$EC,119,0))</f>
        <v/>
      </c>
      <c r="E83" s="41" t="str">
        <f>IF(ISERROR(VLOOKUP(E$2,'All Schools Data view only'!$A:$EC,119,0)),"",VLOOKUP(E$2,'All Schools Data view only'!$A:$EC,119,0))</f>
        <v/>
      </c>
      <c r="F83" s="41" t="str">
        <f>IF(ISERROR(VLOOKUP(F$2,'All Schools Data view only'!$A:$EC,119,0)),"",VLOOKUP(F$2,'All Schools Data view only'!$A:$EC,119,0))</f>
        <v/>
      </c>
      <c r="G83" s="42">
        <f>VLOOKUP(AC$3,'All Schools Data view only'!$A:$EC,119,0)</f>
        <v>7.1462586262048978E-3</v>
      </c>
      <c r="H83" s="42">
        <f>VLOOKUP(AD$3,'All Schools Data view only'!$A:$EC,119,0)</f>
        <v>3.5890983199768071E-2</v>
      </c>
      <c r="I83" s="42">
        <f>VLOOKUP(AE$3,'All Schools Data view only'!$A:$EC,119,0)</f>
        <v>3.0886210012329458E-2</v>
      </c>
      <c r="J83" s="42">
        <f>VLOOKUP(AF$3,'All Schools Data view only'!$A:$EC,119,0)</f>
        <v>1.3074094084883052E-2</v>
      </c>
      <c r="K83" s="42">
        <f>VLOOKUP(AG$3,'All Schools Data view only'!$A:$EC,119,0)</f>
        <v>1.4924452992748808E-2</v>
      </c>
    </row>
    <row r="84" spans="1:11" ht="15" customHeight="1">
      <c r="A84" s="54"/>
      <c r="B84" s="43" t="s">
        <v>390</v>
      </c>
      <c r="C84" s="41" t="str">
        <f>IF(ISERROR(VLOOKUP(C$2,'All Schools Data view only'!$A:$EC,120,0)),"",VLOOKUP(C$2,'All Schools Data view only'!$A:$EC,120,0))</f>
        <v/>
      </c>
      <c r="D84" s="41" t="str">
        <f>IF(ISERROR(VLOOKUP(D$2,'All Schools Data view only'!$A:$EC,120,0)),"",VLOOKUP(D$2,'All Schools Data view only'!$A:$EC,120,0))</f>
        <v/>
      </c>
      <c r="E84" s="41" t="str">
        <f>IF(ISERROR(VLOOKUP(E$2,'All Schools Data view only'!$A:$EC,120,0)),"",VLOOKUP(E$2,'All Schools Data view only'!$A:$EC,120,0))</f>
        <v/>
      </c>
      <c r="F84" s="41" t="str">
        <f>IF(ISERROR(VLOOKUP(F$2,'All Schools Data view only'!$A:$EC,120,0)),"",VLOOKUP(F$2,'All Schools Data view only'!$A:$EC,120,0))</f>
        <v/>
      </c>
      <c r="G84" s="42">
        <f>VLOOKUP(AC$3,'All Schools Data view only'!$A:$EC,120,0)</f>
        <v>5.3728159573915614E-3</v>
      </c>
      <c r="H84" s="42">
        <f>VLOOKUP(AD$3,'All Schools Data view only'!$A:$EC,120,0)</f>
        <v>2.8611261920056832E-2</v>
      </c>
      <c r="I84" s="42">
        <f>VLOOKUP(AE$3,'All Schools Data view only'!$A:$EC,120,0)</f>
        <v>2.5467516180336366E-2</v>
      </c>
      <c r="J84" s="42">
        <f>VLOOKUP(AF$3,'All Schools Data view only'!$A:$EC,120,0)</f>
        <v>1.2059551463654984E-2</v>
      </c>
      <c r="K84" s="42">
        <f>VLOOKUP(AG$3,'All Schools Data view only'!$A:$EC,120,0)</f>
        <v>1.1494178087539924E-2</v>
      </c>
    </row>
    <row r="85" spans="1:11" ht="15" customHeight="1">
      <c r="A85" s="54"/>
      <c r="B85" s="43" t="s">
        <v>14</v>
      </c>
      <c r="C85" s="41" t="str">
        <f>IF(ISERROR(VLOOKUP(C$2,'All Schools Data view only'!$A:$EC,121,0)),"",VLOOKUP(C$2,'All Schools Data view only'!$A:$EC,121,0))</f>
        <v/>
      </c>
      <c r="D85" s="41" t="str">
        <f>IF(ISERROR(VLOOKUP(D$2,'All Schools Data view only'!$A:$EC,121,0)),"",VLOOKUP(D$2,'All Schools Data view only'!$A:$EC,121,0))</f>
        <v/>
      </c>
      <c r="E85" s="41" t="str">
        <f>IF(ISERROR(VLOOKUP(E$2,'All Schools Data view only'!$A:$EC,121,0)),"",VLOOKUP(E$2,'All Schools Data view only'!$A:$EC,121,0))</f>
        <v/>
      </c>
      <c r="F85" s="41" t="str">
        <f>IF(ISERROR(VLOOKUP(F$2,'All Schools Data view only'!$A:$EC,121,0)),"",VLOOKUP(F$2,'All Schools Data view only'!$A:$EC,121,0))</f>
        <v/>
      </c>
      <c r="G85" s="42">
        <f>VLOOKUP(AC$3,'All Schools Data view only'!$A:$EC,121,0)</f>
        <v>5.5027311590194975E-3</v>
      </c>
      <c r="H85" s="42">
        <f>VLOOKUP(AD$3,'All Schools Data view only'!$A:$EC,121,0)</f>
        <v>2.814412664748497E-2</v>
      </c>
      <c r="I85" s="42">
        <f>VLOOKUP(AE$3,'All Schools Data view only'!$A:$EC,121,0)</f>
        <v>2.5256823250614398E-2</v>
      </c>
      <c r="J85" s="42">
        <f>VLOOKUP(AF$3,'All Schools Data view only'!$A:$EC,121,0)</f>
        <v>1.2158986635824704E-2</v>
      </c>
      <c r="K85" s="42">
        <f>VLOOKUP(AG$3,'All Schools Data view only'!$A:$EC,121,0)</f>
        <v>1.1484037681779493E-2</v>
      </c>
    </row>
    <row r="86" spans="1:11" ht="15" customHeight="1">
      <c r="A86" s="54"/>
      <c r="B86" s="43" t="s">
        <v>15</v>
      </c>
      <c r="C86" s="44" t="str">
        <f>IF(ISERROR(VLOOKUP(C$2,'All Schools Data view only'!$A:$EC,122,0)),"",VLOOKUP(C$2,'All Schools Data view only'!$A:$EC,122,0))</f>
        <v/>
      </c>
      <c r="D86" s="44" t="str">
        <f>IF(ISERROR(VLOOKUP(D$2,'All Schools Data view only'!$A:$EC,122,0)),"",VLOOKUP(D$2,'All Schools Data view only'!$A:$EC,122,0))</f>
        <v/>
      </c>
      <c r="E86" s="44" t="str">
        <f>IF(ISERROR(VLOOKUP(E$2,'All Schools Data view only'!$A:$EC,122,0)),"",VLOOKUP(E$2,'All Schools Data view only'!$A:$EC,122,0))</f>
        <v/>
      </c>
      <c r="F86" s="44" t="str">
        <f>IF(ISERROR(VLOOKUP(F$2,'All Schools Data view only'!$A:$EC,122,0)),"",VLOOKUP(F$2,'All Schools Data view only'!$A:$EC,122,0))</f>
        <v/>
      </c>
      <c r="G86" s="45">
        <f>VLOOKUP(AC$3,'All Schools Data view only'!$A:$EC,122,0)</f>
        <v>57.648285485281264</v>
      </c>
      <c r="H86" s="45">
        <f>VLOOKUP(AD$3,'All Schools Data view only'!$A:$EC,122,0)</f>
        <v>259.62404726421437</v>
      </c>
      <c r="I86" s="45">
        <f>VLOOKUP(AE$3,'All Schools Data view only'!$A:$EC,122,0)</f>
        <v>339.58945244905027</v>
      </c>
      <c r="J86" s="45">
        <f>VLOOKUP(AF$3,'All Schools Data view only'!$A:$EC,122,0)</f>
        <v>625.10054045002232</v>
      </c>
      <c r="K86" s="45">
        <f>VLOOKUP(AG$3,'All Schools Data view only'!$A:$EC,122,0)</f>
        <v>1235.1765773809525</v>
      </c>
    </row>
    <row r="87" spans="1:11" ht="15" customHeight="1">
      <c r="A87" s="54"/>
      <c r="B87" s="43"/>
      <c r="C87" s="55"/>
      <c r="D87" s="55"/>
      <c r="E87" s="55"/>
      <c r="F87" s="55"/>
      <c r="G87" s="46"/>
      <c r="H87" s="47"/>
      <c r="I87" s="47"/>
      <c r="J87" s="47"/>
      <c r="K87" s="48"/>
    </row>
    <row r="88" spans="1:11" ht="15" customHeight="1">
      <c r="A88" s="54" t="s">
        <v>25</v>
      </c>
      <c r="B88" s="43" t="s">
        <v>13</v>
      </c>
      <c r="C88" s="41" t="str">
        <f>IF(ISERROR(VLOOKUP(C$2,'All Schools Data view only'!$A:$EC,123,0)),"",VLOOKUP(C$2,'All Schools Data view only'!$A:$EC,123,0))</f>
        <v/>
      </c>
      <c r="D88" s="41" t="str">
        <f>IF(ISERROR(VLOOKUP(D$2,'All Schools Data view only'!$A:$EC,123,0)),"",VLOOKUP(D$2,'All Schools Data view only'!$A:$EC,123,0))</f>
        <v/>
      </c>
      <c r="E88" s="41" t="str">
        <f>IF(ISERROR(VLOOKUP(E$2,'All Schools Data view only'!$A:$EC,123,0)),"",VLOOKUP(E$2,'All Schools Data view only'!$A:$EC,123,0))</f>
        <v/>
      </c>
      <c r="F88" s="41" t="str">
        <f>IF(ISERROR(VLOOKUP(F$2,'All Schools Data view only'!$A:$EC,123,0)),"",VLOOKUP(F$2,'All Schools Data view only'!$A:$EC,123,0))</f>
        <v/>
      </c>
      <c r="G88" s="42">
        <f>VLOOKUP(AC$3,'All Schools Data view only'!$A:$EC,123,0)</f>
        <v>3.4086613552439717E-3</v>
      </c>
      <c r="H88" s="42">
        <f>VLOOKUP(AD$3,'All Schools Data view only'!$A:$EC,123,0)</f>
        <v>4.6484411205875639E-3</v>
      </c>
      <c r="I88" s="42">
        <f>VLOOKUP(AE$3,'All Schools Data view only'!$A:$EC,123,0)</f>
        <v>6.8343866858665489E-3</v>
      </c>
      <c r="J88" s="42">
        <f>VLOOKUP(AF$3,'All Schools Data view only'!$A:$EC,123,0)</f>
        <v>1.9572647457307252E-3</v>
      </c>
      <c r="K88" s="42">
        <f>VLOOKUP(AG$3,'All Schools Data view only'!$A:$EC,123,0)</f>
        <v>7.4770964041014285E-3</v>
      </c>
    </row>
    <row r="89" spans="1:11" ht="15" customHeight="1">
      <c r="A89" s="54"/>
      <c r="B89" s="43" t="s">
        <v>14</v>
      </c>
      <c r="C89" s="41" t="str">
        <f>IF(ISERROR(VLOOKUP(C$2,'All Schools Data view only'!$A:$EC,124,0)),"",VLOOKUP(C$2,'All Schools Data view only'!$A:$EC,124,0))</f>
        <v/>
      </c>
      <c r="D89" s="41" t="str">
        <f>IF(ISERROR(VLOOKUP(D$2,'All Schools Data view only'!$A:$EC,124,0)),"",VLOOKUP(D$2,'All Schools Data view only'!$A:$EC,124,0))</f>
        <v/>
      </c>
      <c r="E89" s="41" t="str">
        <f>IF(ISERROR(VLOOKUP(E$2,'All Schools Data view only'!$A:$EC,124,0)),"",VLOOKUP(E$2,'All Schools Data view only'!$A:$EC,124,0))</f>
        <v/>
      </c>
      <c r="F89" s="41" t="str">
        <f>IF(ISERROR(VLOOKUP(F$2,'All Schools Data view only'!$A:$EC,124,0)),"",VLOOKUP(F$2,'All Schools Data view only'!$A:$EC,124,0))</f>
        <v/>
      </c>
      <c r="G89" s="42">
        <f>VLOOKUP(AC$3,'All Schools Data view only'!$A:$EC,124,0)</f>
        <v>2.5712019604966184E-3</v>
      </c>
      <c r="H89" s="42">
        <f>VLOOKUP(AD$3,'All Schools Data view only'!$A:$EC,124,0)</f>
        <v>3.6708546655086259E-3</v>
      </c>
      <c r="I89" s="42">
        <f>VLOOKUP(AE$3,'All Schools Data view only'!$A:$EC,124,0)</f>
        <v>5.834862559235608E-3</v>
      </c>
      <c r="J89" s="42">
        <f>VLOOKUP(AF$3,'All Schools Data view only'!$A:$EC,124,0)</f>
        <v>1.7960199748996665E-3</v>
      </c>
      <c r="K89" s="42">
        <f>VLOOKUP(AG$3,'All Schools Data view only'!$A:$EC,124,0)</f>
        <v>5.6793636257568662E-3</v>
      </c>
    </row>
    <row r="90" spans="1:11" ht="15" customHeight="1">
      <c r="A90" s="54"/>
      <c r="B90" s="43" t="s">
        <v>15</v>
      </c>
      <c r="C90" s="44" t="str">
        <f>IF(ISERROR(VLOOKUP(C$2,'All Schools Data view only'!$A:$EC,125,0)),"",VLOOKUP(C$2,'All Schools Data view only'!$A:$EC,125,0))</f>
        <v/>
      </c>
      <c r="D90" s="44" t="str">
        <f>IF(ISERROR(VLOOKUP(D$2,'All Schools Data view only'!$A:$EC,125,0)),"",VLOOKUP(D$2,'All Schools Data view only'!$A:$EC,125,0))</f>
        <v/>
      </c>
      <c r="E90" s="44" t="str">
        <f>IF(ISERROR(VLOOKUP(E$2,'All Schools Data view only'!$A:$EC,125,0)),"",VLOOKUP(E$2,'All Schools Data view only'!$A:$EC,125,0))</f>
        <v/>
      </c>
      <c r="F90" s="44" t="str">
        <f>IF(ISERROR(VLOOKUP(F$2,'All Schools Data view only'!$A:$EC,125,0)),"",VLOOKUP(F$2,'All Schools Data view only'!$A:$EC,125,0))</f>
        <v/>
      </c>
      <c r="G90" s="45">
        <f>VLOOKUP(AC$3,'All Schools Data view only'!$A:$EC,125,0)</f>
        <v>27.40047325852521</v>
      </c>
      <c r="H90" s="45">
        <f>VLOOKUP(AD$3,'All Schools Data view only'!$A:$EC,125,0)</f>
        <v>33.442401591707203</v>
      </c>
      <c r="I90" s="45">
        <f>VLOOKUP(AE$3,'All Schools Data view only'!$A:$EC,125,0)</f>
        <v>69.250770604970157</v>
      </c>
      <c r="J90" s="45">
        <f>VLOOKUP(AF$3,'All Schools Data view only'!$A:$EC,125,0)</f>
        <v>91.249358576662232</v>
      </c>
      <c r="K90" s="45">
        <f>VLOOKUP(AG$3,'All Schools Data view only'!$A:$EC,125,0)</f>
        <v>623.70690476190475</v>
      </c>
    </row>
    <row r="91" spans="1:11" ht="15" customHeight="1">
      <c r="A91" s="54"/>
      <c r="B91" s="53"/>
      <c r="C91" s="59"/>
      <c r="D91" s="59"/>
      <c r="E91" s="59"/>
      <c r="F91" s="59"/>
      <c r="G91" s="46"/>
      <c r="H91" s="47"/>
      <c r="I91" s="47"/>
      <c r="J91" s="47"/>
      <c r="K91" s="48"/>
    </row>
    <row r="92" spans="1:11" ht="31.5" customHeight="1">
      <c r="A92" s="52" t="s">
        <v>358</v>
      </c>
      <c r="B92" s="43" t="s">
        <v>13</v>
      </c>
      <c r="C92" s="41" t="str">
        <f>IF(ISERROR(VLOOKUP(C$2,'All Schools Data view only'!$A:$EC,126,0)),"",VLOOKUP(C$2,'All Schools Data view only'!$A:$EC,126,0))</f>
        <v/>
      </c>
      <c r="D92" s="41" t="str">
        <f>IF(ISERROR(VLOOKUP(D$2,'All Schools Data view only'!$A:$EC,126,0)),"",VLOOKUP(D$2,'All Schools Data view only'!$A:$EC,126,0))</f>
        <v/>
      </c>
      <c r="E92" s="41" t="str">
        <f>IF(ISERROR(VLOOKUP(E$2,'All Schools Data view only'!$A:$EC,126,0)),"",VLOOKUP(E$2,'All Schools Data view only'!$A:$EC,126,0))</f>
        <v/>
      </c>
      <c r="F92" s="41" t="str">
        <f>IF(ISERROR(VLOOKUP(F$2,'All Schools Data view only'!$A:$EC,126,0)),"",VLOOKUP(F$2,'All Schools Data view only'!$A:$EC,126,0))</f>
        <v/>
      </c>
      <c r="G92" s="42">
        <f>VLOOKUP(AC$3,'All Schools Data view only'!$A:$EC,126,0)</f>
        <v>1.6797428865257261E-2</v>
      </c>
      <c r="H92" s="42">
        <f>VLOOKUP(AD$3,'All Schools Data view only'!$A:$EC,126,0)</f>
        <v>7.7507958014893408E-2</v>
      </c>
      <c r="I92" s="42">
        <f>VLOOKUP(AE$3,'All Schools Data view only'!$A:$EC,126,0)</f>
        <v>2.0009968667460392E-2</v>
      </c>
      <c r="J92" s="42">
        <f>VLOOKUP(AF$3,'All Schools Data view only'!$A:$EC,126,0)</f>
        <v>0.11758748091515775</v>
      </c>
      <c r="K92" s="42">
        <f>VLOOKUP(AG$3,'All Schools Data view only'!$A:$EC,126,0)</f>
        <v>3.9767016648905675E-2</v>
      </c>
    </row>
    <row r="93" spans="1:11" ht="15" customHeight="1">
      <c r="A93" s="54"/>
      <c r="B93" s="43" t="s">
        <v>14</v>
      </c>
      <c r="C93" s="41" t="str">
        <f>IF(ISERROR(VLOOKUP(C$2,'All Schools Data view only'!$A:$EC,127,0)),"",VLOOKUP(C$2,'All Schools Data view only'!$A:$EC,127,0))</f>
        <v/>
      </c>
      <c r="D93" s="41" t="str">
        <f>IF(ISERROR(VLOOKUP(D$2,'All Schools Data view only'!$A:$EC,127,0)),"",VLOOKUP(D$2,'All Schools Data view only'!$A:$EC,127,0))</f>
        <v/>
      </c>
      <c r="E93" s="41" t="str">
        <f>IF(ISERROR(VLOOKUP(E$2,'All Schools Data view only'!$A:$EC,127,0)),"",VLOOKUP(E$2,'All Schools Data view only'!$A:$EC,127,0))</f>
        <v/>
      </c>
      <c r="F93" s="41" t="str">
        <f>IF(ISERROR(VLOOKUP(F$2,'All Schools Data view only'!$A:$EC,127,0)),"",VLOOKUP(F$2,'All Schools Data view only'!$A:$EC,127,0))</f>
        <v/>
      </c>
      <c r="G93" s="42">
        <f>VLOOKUP(AC$3,'All Schools Data view only'!$A:$EC,127,0)</f>
        <v>1.1038777898595045E-2</v>
      </c>
      <c r="H93" s="42">
        <f>VLOOKUP(AD$3,'All Schools Data view only'!$A:$EC,127,0)</f>
        <v>6.2229374730662784E-2</v>
      </c>
      <c r="I93" s="42">
        <f>VLOOKUP(AE$3,'All Schools Data view only'!$A:$EC,127,0)</f>
        <v>1.6988295763761711E-2</v>
      </c>
      <c r="J93" s="42">
        <f>VLOOKUP(AF$3,'All Schools Data view only'!$A:$EC,127,0)</f>
        <v>0.10941466539734779</v>
      </c>
      <c r="K93" s="42">
        <f>VLOOKUP(AG$3,'All Schools Data view only'!$A:$EC,127,0)</f>
        <v>3.405494593159536E-2</v>
      </c>
    </row>
    <row r="94" spans="1:11" ht="15" customHeight="1">
      <c r="A94" s="54"/>
      <c r="B94" s="43" t="s">
        <v>15</v>
      </c>
      <c r="C94" s="60" t="str">
        <f>IF(ISERROR(VLOOKUP(C$2,'All Schools Data view only'!$A:$EC,128,0)),"",VLOOKUP(C$2,'All Schools Data view only'!$A:$EC,128,0))</f>
        <v/>
      </c>
      <c r="D94" s="60" t="str">
        <f>IF(ISERROR(VLOOKUP(D$2,'All Schools Data view only'!$A:$EC,128,0)),"",VLOOKUP(D$2,'All Schools Data view only'!$A:$EC,128,0))</f>
        <v/>
      </c>
      <c r="E94" s="60" t="str">
        <f>IF(ISERROR(VLOOKUP(E$2,'All Schools Data view only'!$A:$EC,128,0)),"",VLOOKUP(E$2,'All Schools Data view only'!$A:$EC,128,0))</f>
        <v/>
      </c>
      <c r="F94" s="60" t="str">
        <f>IF(ISERROR(VLOOKUP(F$2,'All Schools Data view only'!$A:$EC,128,0)),"",VLOOKUP(F$2,'All Schools Data view only'!$A:$EC,128,0))</f>
        <v/>
      </c>
      <c r="G94" s="45">
        <f>VLOOKUP(AC$3,'All Schools Data view only'!$A:$EC,128,0)</f>
        <v>132.07094505974933</v>
      </c>
      <c r="H94" s="45">
        <f>VLOOKUP(AD$3,'All Schools Data view only'!$A:$EC,128,0)</f>
        <v>599.0329392746936</v>
      </c>
      <c r="I94" s="45">
        <f>VLOOKUP(AE$3,'All Schools Data view only'!$A:$EC,128,0)</f>
        <v>211.67708146299307</v>
      </c>
      <c r="J94" s="45">
        <f>VLOOKUP(AF$3,'All Schools Data view only'!$A:$EC,128,0)</f>
        <v>4986.7560216845695</v>
      </c>
      <c r="K94" s="45">
        <f>VLOOKUP(AG$3,'All Schools Data view only'!$A:$EC,128,0)</f>
        <v>3063.2733928571429</v>
      </c>
    </row>
    <row r="95" spans="1:11" ht="15" customHeight="1">
      <c r="A95" s="54"/>
      <c r="B95" s="53"/>
      <c r="C95" s="59"/>
      <c r="D95" s="59"/>
      <c r="E95" s="59"/>
      <c r="F95" s="59"/>
      <c r="G95" s="46"/>
      <c r="H95" s="47"/>
      <c r="I95" s="47"/>
      <c r="J95" s="47"/>
      <c r="K95" s="48"/>
    </row>
    <row r="96" spans="1:11" ht="33" customHeight="1">
      <c r="A96" s="52" t="s">
        <v>327</v>
      </c>
      <c r="B96" s="43" t="s">
        <v>283</v>
      </c>
      <c r="C96" s="217" t="e">
        <f>VLOOKUP(C2,'All Schools Data view only'!$A$4:$EC$95,133,0)</f>
        <v>#N/A</v>
      </c>
      <c r="D96" s="217" t="e">
        <f>VLOOKUP(D2,'All Schools Data view only'!$A$4:$EC$95,133,0)</f>
        <v>#N/A</v>
      </c>
      <c r="E96" s="217" t="e">
        <f>VLOOKUP(E2,'All Schools Data view only'!$A$4:$EC$95,133,0)</f>
        <v>#N/A</v>
      </c>
      <c r="F96" s="217" t="e">
        <f>VLOOKUP(F2,'All Schools Data view only'!$A$4:$EC$95,133,0)</f>
        <v>#N/A</v>
      </c>
      <c r="G96" s="218">
        <f>VLOOKUP(AC$3,'All Schools Data view only'!$A:$EC,133,0)</f>
        <v>0</v>
      </c>
      <c r="H96" s="218">
        <f>VLOOKUP(AD$3,'All Schools Data view only'!$A:$EC,133,0)</f>
        <v>61.971830985915496</v>
      </c>
      <c r="I96" s="218">
        <f>VLOOKUP(AE$3,'All Schools Data view only'!$A:$EC,133,0)</f>
        <v>147.16666666666666</v>
      </c>
      <c r="J96" s="218">
        <f>VLOOKUP(AF$3,'All Schools Data view only'!$A:$EC,133,0)</f>
        <v>57.666666666666664</v>
      </c>
      <c r="K96" s="218">
        <f>VLOOKUP(AG$3,'All Schools Data view only'!$A:$EC,133,0)</f>
        <v>19</v>
      </c>
    </row>
    <row r="97" spans="1:11" ht="15" customHeight="1" thickBot="1">
      <c r="A97" s="61"/>
      <c r="B97" s="62"/>
      <c r="C97" s="63"/>
      <c r="D97" s="63"/>
      <c r="E97" s="63"/>
      <c r="F97" s="63"/>
      <c r="G97" s="64"/>
      <c r="H97" s="65"/>
      <c r="I97" s="65"/>
      <c r="J97" s="65"/>
      <c r="K97" s="66"/>
    </row>
    <row r="98" spans="1:11" ht="15" customHeight="1" thickTop="1"/>
    <row r="99" spans="1:11" ht="15" customHeight="1"/>
    <row r="100" spans="1:11" ht="15" customHeight="1"/>
    <row r="101" spans="1:11" ht="15" customHeight="1"/>
    <row r="422" spans="2:9" ht="15" customHeight="1">
      <c r="B422" s="8" t="s">
        <v>26</v>
      </c>
      <c r="C422" s="2">
        <v>9999</v>
      </c>
      <c r="D422" s="2">
        <v>9999</v>
      </c>
      <c r="E422" s="2">
        <v>9999</v>
      </c>
      <c r="F422" s="2">
        <v>9999</v>
      </c>
    </row>
    <row r="423" spans="2:9" ht="12.75" customHeight="1">
      <c r="B423" s="8"/>
      <c r="C423" s="5"/>
      <c r="D423" s="5"/>
      <c r="E423" s="5"/>
      <c r="F423" s="5"/>
    </row>
    <row r="424" spans="2:9" ht="15" customHeight="1">
      <c r="B424" s="3" t="s">
        <v>350</v>
      </c>
      <c r="C424" s="5">
        <v>1000</v>
      </c>
      <c r="D424" s="5">
        <v>1000</v>
      </c>
      <c r="E424" s="5">
        <v>1000</v>
      </c>
      <c r="F424" s="5">
        <v>1000</v>
      </c>
    </row>
    <row r="425" spans="2:9" ht="15" customHeight="1">
      <c r="B425" s="3" t="s">
        <v>29</v>
      </c>
      <c r="C425" s="5">
        <v>1002</v>
      </c>
      <c r="D425" s="5">
        <v>1002</v>
      </c>
      <c r="E425" s="5">
        <v>1002</v>
      </c>
      <c r="F425" s="5">
        <v>1002</v>
      </c>
    </row>
    <row r="426" spans="2:9" ht="12.75" customHeight="1">
      <c r="B426" s="8"/>
      <c r="C426" s="5"/>
      <c r="D426" s="5"/>
      <c r="E426" s="5"/>
      <c r="F426" s="5"/>
    </row>
    <row r="427" spans="2:9" ht="15" customHeight="1">
      <c r="B427" s="4" t="s">
        <v>31</v>
      </c>
      <c r="C427" s="5">
        <v>3520</v>
      </c>
      <c r="D427" s="5">
        <v>3520</v>
      </c>
      <c r="E427" s="5">
        <v>3520</v>
      </c>
      <c r="F427" s="5">
        <v>3520</v>
      </c>
    </row>
    <row r="428" spans="2:9" ht="15" customHeight="1">
      <c r="B428" s="5" t="s">
        <v>32</v>
      </c>
      <c r="C428" s="5">
        <v>3317</v>
      </c>
      <c r="D428" s="5">
        <v>3317</v>
      </c>
      <c r="E428" s="5">
        <v>3317</v>
      </c>
      <c r="F428" s="5">
        <v>3317</v>
      </c>
    </row>
    <row r="429" spans="2:9" ht="15" customHeight="1">
      <c r="B429" s="5" t="s">
        <v>33</v>
      </c>
      <c r="C429" s="5">
        <v>3300</v>
      </c>
      <c r="D429" s="5">
        <v>3300</v>
      </c>
      <c r="E429" s="5">
        <v>3300</v>
      </c>
      <c r="F429" s="5">
        <v>3300</v>
      </c>
    </row>
    <row r="430" spans="2:9" ht="15" customHeight="1">
      <c r="B430" s="5" t="s">
        <v>34</v>
      </c>
      <c r="C430" s="5">
        <v>3500</v>
      </c>
      <c r="D430" s="5">
        <v>3500</v>
      </c>
      <c r="E430" s="5">
        <v>3500</v>
      </c>
      <c r="F430" s="5">
        <v>3500</v>
      </c>
    </row>
    <row r="431" spans="2:9" ht="15" customHeight="1">
      <c r="B431" s="5" t="s">
        <v>35</v>
      </c>
      <c r="C431" s="5">
        <v>3514</v>
      </c>
      <c r="D431" s="5">
        <v>3514</v>
      </c>
      <c r="E431" s="5">
        <v>3514</v>
      </c>
      <c r="F431" s="5">
        <v>3514</v>
      </c>
    </row>
    <row r="432" spans="2:9" ht="15" customHeight="1">
      <c r="B432" s="5" t="s">
        <v>36</v>
      </c>
      <c r="C432" s="5">
        <v>2002</v>
      </c>
      <c r="D432" s="5">
        <v>2002</v>
      </c>
      <c r="E432" s="5">
        <v>2002</v>
      </c>
      <c r="F432" s="5">
        <v>2002</v>
      </c>
      <c r="H432" s="5"/>
      <c r="I432" s="5"/>
    </row>
    <row r="433" spans="2:9" ht="15" customHeight="1">
      <c r="B433" s="5" t="s">
        <v>37</v>
      </c>
      <c r="C433" s="5">
        <v>2079</v>
      </c>
      <c r="D433" s="5">
        <v>2079</v>
      </c>
      <c r="E433" s="5">
        <v>2079</v>
      </c>
      <c r="F433" s="5">
        <v>2079</v>
      </c>
      <c r="H433" s="5"/>
      <c r="I433" s="5"/>
    </row>
    <row r="434" spans="2:9" ht="15" customHeight="1">
      <c r="B434" s="5" t="s">
        <v>294</v>
      </c>
      <c r="C434" s="5">
        <v>3524</v>
      </c>
      <c r="D434" s="5">
        <v>3524</v>
      </c>
      <c r="E434" s="5">
        <v>3524</v>
      </c>
      <c r="F434" s="5">
        <v>3524</v>
      </c>
      <c r="H434" s="5"/>
      <c r="I434" s="5"/>
    </row>
    <row r="435" spans="2:9" ht="15" customHeight="1">
      <c r="B435" s="5" t="s">
        <v>38</v>
      </c>
      <c r="C435" s="5">
        <v>2003</v>
      </c>
      <c r="D435" s="5">
        <v>2003</v>
      </c>
      <c r="E435" s="5">
        <v>2003</v>
      </c>
      <c r="F435" s="5">
        <v>2003</v>
      </c>
      <c r="H435" s="5"/>
      <c r="I435" s="5"/>
    </row>
    <row r="436" spans="2:9" ht="15" customHeight="1">
      <c r="B436" s="5" t="s">
        <v>39</v>
      </c>
      <c r="C436" s="5">
        <v>3511</v>
      </c>
      <c r="D436" s="5">
        <v>3511</v>
      </c>
      <c r="E436" s="5">
        <v>3511</v>
      </c>
      <c r="F436" s="5">
        <v>3511</v>
      </c>
      <c r="H436" s="5"/>
      <c r="I436" s="5"/>
    </row>
    <row r="437" spans="2:9" ht="15" customHeight="1">
      <c r="B437" s="5" t="s">
        <v>41</v>
      </c>
      <c r="C437" s="5">
        <v>2008</v>
      </c>
      <c r="D437" s="5">
        <v>2008</v>
      </c>
      <c r="E437" s="5">
        <v>2008</v>
      </c>
      <c r="F437" s="5">
        <v>2008</v>
      </c>
      <c r="H437" s="5"/>
      <c r="I437" s="5"/>
    </row>
    <row r="438" spans="2:9" ht="15" customHeight="1">
      <c r="B438" s="5" t="s">
        <v>42</v>
      </c>
      <c r="C438" s="5">
        <v>2007</v>
      </c>
      <c r="D438" s="5">
        <v>2007</v>
      </c>
      <c r="E438" s="5">
        <v>2007</v>
      </c>
      <c r="F438" s="5">
        <v>2007</v>
      </c>
      <c r="H438" s="5"/>
      <c r="I438" s="5"/>
    </row>
    <row r="439" spans="2:9" ht="15" customHeight="1">
      <c r="B439" s="5" t="s">
        <v>43</v>
      </c>
      <c r="C439" s="5">
        <v>2009</v>
      </c>
      <c r="D439" s="5">
        <v>2009</v>
      </c>
      <c r="E439" s="5">
        <v>2009</v>
      </c>
      <c r="F439" s="5">
        <v>2009</v>
      </c>
      <c r="H439" s="5"/>
      <c r="I439" s="5"/>
    </row>
    <row r="440" spans="2:9" ht="15" customHeight="1">
      <c r="B440" s="5" t="s">
        <v>44</v>
      </c>
      <c r="C440" s="5">
        <v>2067</v>
      </c>
      <c r="D440" s="5">
        <v>2067</v>
      </c>
      <c r="E440" s="5">
        <v>2067</v>
      </c>
      <c r="F440" s="5">
        <v>2067</v>
      </c>
      <c r="H440" s="5"/>
      <c r="I440" s="5"/>
    </row>
    <row r="441" spans="2:9" ht="15" customHeight="1">
      <c r="B441" s="5" t="s">
        <v>45</v>
      </c>
      <c r="C441" s="5">
        <v>3302</v>
      </c>
      <c r="D441" s="5">
        <v>3302</v>
      </c>
      <c r="E441" s="5">
        <v>3302</v>
      </c>
      <c r="F441" s="5">
        <v>3302</v>
      </c>
      <c r="H441" s="5"/>
      <c r="I441" s="5"/>
    </row>
    <row r="442" spans="2:9" ht="15" customHeight="1">
      <c r="B442" s="5" t="s">
        <v>46</v>
      </c>
      <c r="C442" s="5">
        <v>2011</v>
      </c>
      <c r="D442" s="5">
        <v>2011</v>
      </c>
      <c r="E442" s="5">
        <v>2011</v>
      </c>
      <c r="F442" s="5">
        <v>2011</v>
      </c>
      <c r="H442" s="5"/>
      <c r="I442" s="5"/>
    </row>
    <row r="443" spans="2:9" ht="15" customHeight="1">
      <c r="B443" s="5" t="s">
        <v>47</v>
      </c>
      <c r="C443" s="5">
        <v>2014</v>
      </c>
      <c r="D443" s="5">
        <v>2014</v>
      </c>
      <c r="E443" s="5">
        <v>2014</v>
      </c>
      <c r="F443" s="5">
        <v>2014</v>
      </c>
      <c r="H443" s="5"/>
      <c r="I443" s="5"/>
    </row>
    <row r="444" spans="2:9" ht="15" customHeight="1">
      <c r="B444" s="5" t="s">
        <v>48</v>
      </c>
      <c r="C444" s="5">
        <v>2015</v>
      </c>
      <c r="D444" s="5">
        <v>2015</v>
      </c>
      <c r="E444" s="5">
        <v>2015</v>
      </c>
      <c r="F444" s="5">
        <v>2015</v>
      </c>
      <c r="H444" s="5"/>
      <c r="I444" s="5"/>
    </row>
    <row r="445" spans="2:9" ht="15" customHeight="1">
      <c r="B445" s="5" t="s">
        <v>50</v>
      </c>
      <c r="C445" s="5">
        <v>2016</v>
      </c>
      <c r="D445" s="5">
        <v>2016</v>
      </c>
      <c r="E445" s="5">
        <v>2016</v>
      </c>
      <c r="F445" s="5">
        <v>2016</v>
      </c>
      <c r="H445" s="5"/>
      <c r="I445" s="5"/>
    </row>
    <row r="446" spans="2:9" ht="15" customHeight="1">
      <c r="B446" s="5" t="s">
        <v>51</v>
      </c>
      <c r="C446" s="5">
        <v>2017</v>
      </c>
      <c r="D446" s="5">
        <v>2017</v>
      </c>
      <c r="E446" s="5">
        <v>2017</v>
      </c>
      <c r="F446" s="5">
        <v>2017</v>
      </c>
      <c r="H446" s="5"/>
      <c r="I446" s="5"/>
    </row>
    <row r="447" spans="2:9" ht="15" customHeight="1">
      <c r="B447" s="5" t="s">
        <v>52</v>
      </c>
      <c r="C447" s="5">
        <v>2073</v>
      </c>
      <c r="D447" s="5">
        <v>2073</v>
      </c>
      <c r="E447" s="5">
        <v>2073</v>
      </c>
      <c r="F447" s="5">
        <v>2073</v>
      </c>
      <c r="H447" s="5"/>
      <c r="I447" s="5"/>
    </row>
    <row r="448" spans="2:9" ht="15" customHeight="1">
      <c r="B448" s="5" t="s">
        <v>53</v>
      </c>
      <c r="C448" s="5">
        <v>2019</v>
      </c>
      <c r="D448" s="5">
        <v>2019</v>
      </c>
      <c r="E448" s="5">
        <v>2019</v>
      </c>
      <c r="F448" s="5">
        <v>2019</v>
      </c>
      <c r="H448" s="5"/>
      <c r="I448" s="5"/>
    </row>
    <row r="449" spans="2:6" ht="15" customHeight="1">
      <c r="B449" s="5" t="s">
        <v>361</v>
      </c>
      <c r="C449" s="5">
        <v>2021</v>
      </c>
      <c r="D449" s="5">
        <v>2021</v>
      </c>
      <c r="E449" s="5">
        <v>2021</v>
      </c>
      <c r="F449" s="5">
        <v>2021</v>
      </c>
    </row>
    <row r="450" spans="2:6" ht="15" customHeight="1">
      <c r="B450" s="5" t="s">
        <v>325</v>
      </c>
      <c r="C450" s="5">
        <v>2023</v>
      </c>
      <c r="D450" s="5">
        <v>2023</v>
      </c>
      <c r="E450" s="5">
        <v>2023</v>
      </c>
      <c r="F450" s="5">
        <v>2023</v>
      </c>
    </row>
    <row r="451" spans="2:6" ht="15" customHeight="1">
      <c r="B451" s="5" t="s">
        <v>55</v>
      </c>
      <c r="C451" s="5">
        <v>2024</v>
      </c>
      <c r="D451" s="5">
        <v>2024</v>
      </c>
      <c r="E451" s="5">
        <v>2024</v>
      </c>
      <c r="F451" s="5">
        <v>2024</v>
      </c>
    </row>
    <row r="452" spans="2:6" ht="15" customHeight="1">
      <c r="B452" s="5" t="s">
        <v>56</v>
      </c>
      <c r="C452" s="5">
        <v>2025</v>
      </c>
      <c r="D452" s="5">
        <v>2025</v>
      </c>
      <c r="E452" s="5">
        <v>2025</v>
      </c>
      <c r="F452" s="5">
        <v>2025</v>
      </c>
    </row>
    <row r="453" spans="2:6" ht="15" customHeight="1">
      <c r="B453" s="5" t="s">
        <v>57</v>
      </c>
      <c r="C453" s="5">
        <v>2026</v>
      </c>
      <c r="D453" s="5">
        <v>2026</v>
      </c>
      <c r="E453" s="5">
        <v>2026</v>
      </c>
      <c r="F453" s="5">
        <v>2026</v>
      </c>
    </row>
    <row r="454" spans="2:6" ht="15" customHeight="1">
      <c r="B454" s="5" t="s">
        <v>58</v>
      </c>
      <c r="C454" s="5">
        <v>2028</v>
      </c>
      <c r="D454" s="5">
        <v>2028</v>
      </c>
      <c r="E454" s="5">
        <v>2028</v>
      </c>
      <c r="F454" s="5">
        <v>2028</v>
      </c>
    </row>
    <row r="455" spans="2:6" ht="15" customHeight="1">
      <c r="B455" s="5" t="s">
        <v>59</v>
      </c>
      <c r="C455" s="5">
        <v>2027</v>
      </c>
      <c r="D455" s="5">
        <v>2027</v>
      </c>
      <c r="E455" s="5">
        <v>2027</v>
      </c>
      <c r="F455" s="5">
        <v>2027</v>
      </c>
    </row>
    <row r="456" spans="2:6" ht="15" customHeight="1">
      <c r="B456" s="5" t="s">
        <v>60</v>
      </c>
      <c r="C456" s="5">
        <v>2029</v>
      </c>
      <c r="D456" s="5">
        <v>2029</v>
      </c>
      <c r="E456" s="5">
        <v>2029</v>
      </c>
      <c r="F456" s="5">
        <v>2029</v>
      </c>
    </row>
    <row r="457" spans="2:6" ht="15" customHeight="1">
      <c r="B457" s="5" t="s">
        <v>61</v>
      </c>
      <c r="C457" s="5">
        <v>3516</v>
      </c>
      <c r="D457" s="5">
        <v>3516</v>
      </c>
      <c r="E457" s="5">
        <v>3516</v>
      </c>
      <c r="F457" s="5">
        <v>3516</v>
      </c>
    </row>
    <row r="458" spans="2:6" ht="15" customHeight="1">
      <c r="B458" s="5" t="s">
        <v>62</v>
      </c>
      <c r="C458" s="5">
        <v>2031</v>
      </c>
      <c r="D458" s="5">
        <v>2031</v>
      </c>
      <c r="E458" s="5">
        <v>2031</v>
      </c>
      <c r="F458" s="5">
        <v>2031</v>
      </c>
    </row>
    <row r="459" spans="2:6" ht="15" customHeight="1">
      <c r="B459" s="5" t="s">
        <v>63</v>
      </c>
      <c r="C459" s="5">
        <v>2032</v>
      </c>
      <c r="D459" s="5">
        <v>2032</v>
      </c>
      <c r="E459" s="5">
        <v>2032</v>
      </c>
      <c r="F459" s="5">
        <v>2032</v>
      </c>
    </row>
    <row r="460" spans="2:6" ht="15" customHeight="1">
      <c r="B460" s="5" t="s">
        <v>64</v>
      </c>
      <c r="C460" s="5">
        <v>3304</v>
      </c>
      <c r="D460" s="5">
        <v>3304</v>
      </c>
      <c r="E460" s="5">
        <v>3304</v>
      </c>
      <c r="F460" s="5">
        <v>3304</v>
      </c>
    </row>
    <row r="461" spans="2:6" ht="15" customHeight="1">
      <c r="B461" s="5" t="s">
        <v>65</v>
      </c>
      <c r="C461" s="5">
        <v>2036</v>
      </c>
      <c r="D461" s="5">
        <v>2036</v>
      </c>
      <c r="E461" s="5">
        <v>2036</v>
      </c>
      <c r="F461" s="5">
        <v>2036</v>
      </c>
    </row>
    <row r="462" spans="2:6" ht="15" customHeight="1">
      <c r="B462" s="5" t="s">
        <v>66</v>
      </c>
      <c r="C462" s="5">
        <v>2037</v>
      </c>
      <c r="D462" s="5">
        <v>2037</v>
      </c>
      <c r="E462" s="5">
        <v>2037</v>
      </c>
      <c r="F462" s="5">
        <v>2037</v>
      </c>
    </row>
    <row r="463" spans="2:6" ht="15" customHeight="1">
      <c r="B463" s="5" t="s">
        <v>67</v>
      </c>
      <c r="C463" s="5">
        <v>3523</v>
      </c>
      <c r="D463" s="5">
        <v>3523</v>
      </c>
      <c r="E463" s="5">
        <v>3523</v>
      </c>
      <c r="F463" s="5">
        <v>3523</v>
      </c>
    </row>
    <row r="464" spans="2:6" ht="15" customHeight="1">
      <c r="B464" s="5" t="s">
        <v>68</v>
      </c>
      <c r="C464" s="5">
        <v>5948</v>
      </c>
      <c r="D464" s="5">
        <v>5948</v>
      </c>
      <c r="E464" s="5">
        <v>5948</v>
      </c>
      <c r="F464" s="5">
        <v>5948</v>
      </c>
    </row>
    <row r="465" spans="2:6" ht="15" customHeight="1">
      <c r="B465" s="5" t="s">
        <v>69</v>
      </c>
      <c r="C465" s="5">
        <v>5949</v>
      </c>
      <c r="D465" s="5">
        <v>5949</v>
      </c>
      <c r="E465" s="5">
        <v>5949</v>
      </c>
      <c r="F465" s="5">
        <v>5949</v>
      </c>
    </row>
    <row r="466" spans="2:6" ht="15" customHeight="1">
      <c r="B466" s="5" t="s">
        <v>70</v>
      </c>
      <c r="C466" s="5">
        <v>3513</v>
      </c>
      <c r="D466" s="5">
        <v>3513</v>
      </c>
      <c r="E466" s="5">
        <v>3513</v>
      </c>
      <c r="F466" s="5">
        <v>3513</v>
      </c>
    </row>
    <row r="467" spans="2:6" ht="15" customHeight="1">
      <c r="B467" s="5" t="s">
        <v>71</v>
      </c>
      <c r="C467" s="5">
        <v>3305</v>
      </c>
      <c r="D467" s="5">
        <v>3305</v>
      </c>
      <c r="E467" s="5">
        <v>3305</v>
      </c>
      <c r="F467" s="5">
        <v>3305</v>
      </c>
    </row>
    <row r="468" spans="2:6" ht="15" customHeight="1">
      <c r="B468" s="5" t="s">
        <v>72</v>
      </c>
      <c r="C468" s="5">
        <v>2042</v>
      </c>
      <c r="D468" s="5">
        <v>2042</v>
      </c>
      <c r="E468" s="5">
        <v>2042</v>
      </c>
      <c r="F468" s="5">
        <v>2042</v>
      </c>
    </row>
    <row r="469" spans="2:6" ht="15" customHeight="1">
      <c r="B469" s="5" t="s">
        <v>73</v>
      </c>
      <c r="C469" s="5">
        <v>2044</v>
      </c>
      <c r="D469" s="5">
        <v>2044</v>
      </c>
      <c r="E469" s="5">
        <v>2044</v>
      </c>
      <c r="F469" s="5">
        <v>2044</v>
      </c>
    </row>
    <row r="470" spans="2:6" ht="15" customHeight="1">
      <c r="B470" s="5" t="s">
        <v>74</v>
      </c>
      <c r="C470" s="5">
        <v>2043</v>
      </c>
      <c r="D470" s="5">
        <v>2043</v>
      </c>
      <c r="E470" s="5">
        <v>2043</v>
      </c>
      <c r="F470" s="5">
        <v>2043</v>
      </c>
    </row>
    <row r="471" spans="2:6" ht="15" customHeight="1">
      <c r="B471" s="5" t="s">
        <v>75</v>
      </c>
      <c r="C471" s="5">
        <v>2045</v>
      </c>
      <c r="D471" s="5">
        <v>2045</v>
      </c>
      <c r="E471" s="5">
        <v>2045</v>
      </c>
      <c r="F471" s="5">
        <v>2045</v>
      </c>
    </row>
    <row r="472" spans="2:6" ht="15" customHeight="1">
      <c r="B472" s="5" t="s">
        <v>76</v>
      </c>
      <c r="C472" s="5">
        <v>2077</v>
      </c>
      <c r="D472" s="5">
        <v>2077</v>
      </c>
      <c r="E472" s="5">
        <v>2077</v>
      </c>
      <c r="F472" s="5">
        <v>2077</v>
      </c>
    </row>
    <row r="473" spans="2:6" ht="15" customHeight="1">
      <c r="B473" s="5" t="s">
        <v>77</v>
      </c>
      <c r="C473" s="5">
        <v>5201</v>
      </c>
      <c r="D473" s="5">
        <v>5201</v>
      </c>
      <c r="E473" s="5">
        <v>5201</v>
      </c>
      <c r="F473" s="5">
        <v>5201</v>
      </c>
    </row>
    <row r="474" spans="2:6" ht="15" customHeight="1">
      <c r="B474" s="5" t="s">
        <v>78</v>
      </c>
      <c r="C474" s="5">
        <v>3501</v>
      </c>
      <c r="D474" s="5">
        <v>3501</v>
      </c>
      <c r="E474" s="5">
        <v>3501</v>
      </c>
      <c r="F474" s="5">
        <v>3501</v>
      </c>
    </row>
    <row r="475" spans="2:6" ht="15" customHeight="1">
      <c r="B475" s="5" t="s">
        <v>79</v>
      </c>
      <c r="C475" s="5">
        <v>2078</v>
      </c>
      <c r="D475" s="5">
        <v>2078</v>
      </c>
      <c r="E475" s="5">
        <v>2078</v>
      </c>
      <c r="F475" s="5">
        <v>2078</v>
      </c>
    </row>
    <row r="476" spans="2:6" ht="15" customHeight="1">
      <c r="B476" s="5" t="s">
        <v>428</v>
      </c>
      <c r="C476" s="5">
        <v>2072</v>
      </c>
      <c r="D476" s="5">
        <v>2072</v>
      </c>
      <c r="E476" s="5">
        <v>2072</v>
      </c>
      <c r="F476" s="5">
        <v>2072</v>
      </c>
    </row>
    <row r="477" spans="2:6" ht="15" customHeight="1">
      <c r="B477" s="5" t="s">
        <v>81</v>
      </c>
      <c r="C477" s="5">
        <v>3512</v>
      </c>
      <c r="D477" s="5">
        <v>3512</v>
      </c>
      <c r="E477" s="5">
        <v>3512</v>
      </c>
      <c r="F477" s="5">
        <v>3512</v>
      </c>
    </row>
    <row r="478" spans="2:6" ht="15" customHeight="1">
      <c r="B478" s="5" t="s">
        <v>82</v>
      </c>
      <c r="C478" s="5">
        <v>3510</v>
      </c>
      <c r="D478" s="5">
        <v>3510</v>
      </c>
      <c r="E478" s="5">
        <v>3510</v>
      </c>
      <c r="F478" s="5">
        <v>3510</v>
      </c>
    </row>
    <row r="479" spans="2:6" ht="15" customHeight="1">
      <c r="B479" s="5" t="s">
        <v>386</v>
      </c>
      <c r="C479" s="5">
        <v>2053</v>
      </c>
      <c r="D479" s="5">
        <v>2053</v>
      </c>
      <c r="E479" s="5">
        <v>2053</v>
      </c>
      <c r="F479" s="5">
        <v>2053</v>
      </c>
    </row>
    <row r="480" spans="2:6" ht="15" customHeight="1">
      <c r="B480" s="5" t="s">
        <v>83</v>
      </c>
      <c r="C480" s="5">
        <v>3502</v>
      </c>
      <c r="D480" s="5">
        <v>3502</v>
      </c>
      <c r="E480" s="5">
        <v>3502</v>
      </c>
      <c r="F480" s="5">
        <v>3502</v>
      </c>
    </row>
    <row r="481" spans="2:6" ht="15" customHeight="1">
      <c r="B481" s="5" t="s">
        <v>84</v>
      </c>
      <c r="C481" s="5">
        <v>3315</v>
      </c>
      <c r="D481" s="5">
        <v>3315</v>
      </c>
      <c r="E481" s="5">
        <v>3315</v>
      </c>
      <c r="F481" s="5">
        <v>3315</v>
      </c>
    </row>
    <row r="482" spans="2:6" ht="15" customHeight="1">
      <c r="B482" s="5" t="s">
        <v>85</v>
      </c>
      <c r="C482" s="5">
        <v>3504</v>
      </c>
      <c r="D482" s="5">
        <v>3504</v>
      </c>
      <c r="E482" s="5">
        <v>3504</v>
      </c>
      <c r="F482" s="5">
        <v>3504</v>
      </c>
    </row>
    <row r="483" spans="2:6" ht="15" customHeight="1">
      <c r="B483" s="5" t="s">
        <v>86</v>
      </c>
      <c r="C483" s="5">
        <v>3307</v>
      </c>
      <c r="D483" s="5">
        <v>3307</v>
      </c>
      <c r="E483" s="5">
        <v>3307</v>
      </c>
      <c r="F483" s="5">
        <v>3307</v>
      </c>
    </row>
    <row r="484" spans="2:6" ht="15" customHeight="1">
      <c r="B484" s="5" t="s">
        <v>87</v>
      </c>
      <c r="C484" s="5">
        <v>3309</v>
      </c>
      <c r="D484" s="5">
        <v>3309</v>
      </c>
      <c r="E484" s="5">
        <v>3309</v>
      </c>
      <c r="F484" s="5">
        <v>3309</v>
      </c>
    </row>
    <row r="485" spans="2:6" ht="15" customHeight="1">
      <c r="B485" s="5" t="s">
        <v>381</v>
      </c>
      <c r="C485" s="5">
        <v>3509</v>
      </c>
      <c r="D485" s="5">
        <v>3509</v>
      </c>
      <c r="E485" s="5">
        <v>3509</v>
      </c>
      <c r="F485" s="5">
        <v>3509</v>
      </c>
    </row>
    <row r="486" spans="2:6" ht="15" customHeight="1">
      <c r="B486" s="5" t="s">
        <v>88</v>
      </c>
      <c r="C486" s="5">
        <v>3312</v>
      </c>
      <c r="D486" s="5">
        <v>3312</v>
      </c>
      <c r="E486" s="5">
        <v>3312</v>
      </c>
      <c r="F486" s="5">
        <v>3312</v>
      </c>
    </row>
    <row r="487" spans="2:6" ht="15" customHeight="1">
      <c r="B487" s="5" t="s">
        <v>89</v>
      </c>
      <c r="C487" s="5">
        <v>3311</v>
      </c>
      <c r="D487" s="5">
        <v>3311</v>
      </c>
      <c r="E487" s="5">
        <v>3311</v>
      </c>
      <c r="F487" s="5">
        <v>3311</v>
      </c>
    </row>
    <row r="488" spans="2:6" ht="15" customHeight="1">
      <c r="B488" s="5" t="s">
        <v>90</v>
      </c>
      <c r="C488" s="5">
        <v>3313</v>
      </c>
      <c r="D488" s="5">
        <v>3313</v>
      </c>
      <c r="E488" s="5">
        <v>3313</v>
      </c>
      <c r="F488" s="5">
        <v>3313</v>
      </c>
    </row>
    <row r="489" spans="2:6" ht="15" customHeight="1">
      <c r="B489" s="5" t="s">
        <v>91</v>
      </c>
      <c r="C489" s="5">
        <v>3314</v>
      </c>
      <c r="D489" s="5">
        <v>3314</v>
      </c>
      <c r="E489" s="5">
        <v>3314</v>
      </c>
      <c r="F489" s="5">
        <v>3314</v>
      </c>
    </row>
    <row r="490" spans="2:6" ht="15" customHeight="1">
      <c r="B490" s="5" t="s">
        <v>92</v>
      </c>
      <c r="C490" s="5">
        <v>3507</v>
      </c>
      <c r="D490" s="5">
        <v>3507</v>
      </c>
      <c r="E490" s="5">
        <v>3507</v>
      </c>
      <c r="F490" s="5">
        <v>3507</v>
      </c>
    </row>
    <row r="491" spans="2:6" ht="15" customHeight="1">
      <c r="B491" s="5" t="s">
        <v>93</v>
      </c>
      <c r="C491" s="5">
        <v>3506</v>
      </c>
      <c r="D491" s="5">
        <v>3506</v>
      </c>
      <c r="E491" s="5">
        <v>3506</v>
      </c>
      <c r="F491" s="5">
        <v>3506</v>
      </c>
    </row>
    <row r="492" spans="2:6" ht="15" customHeight="1">
      <c r="B492" s="5" t="s">
        <v>94</v>
      </c>
      <c r="C492" s="5">
        <v>2070</v>
      </c>
      <c r="D492" s="5">
        <v>2070</v>
      </c>
      <c r="E492" s="5">
        <v>2070</v>
      </c>
      <c r="F492" s="5">
        <v>2070</v>
      </c>
    </row>
    <row r="493" spans="2:6" ht="15" customHeight="1">
      <c r="B493" s="5" t="s">
        <v>95</v>
      </c>
      <c r="C493" s="5">
        <v>3316</v>
      </c>
      <c r="D493" s="5">
        <v>3316</v>
      </c>
      <c r="E493" s="5">
        <v>3316</v>
      </c>
      <c r="F493" s="5">
        <v>3316</v>
      </c>
    </row>
    <row r="494" spans="2:6" ht="15" customHeight="1">
      <c r="B494" s="5" t="s">
        <v>96</v>
      </c>
      <c r="C494" s="5">
        <v>2055</v>
      </c>
      <c r="D494" s="5">
        <v>2055</v>
      </c>
      <c r="E494" s="5">
        <v>2055</v>
      </c>
      <c r="F494" s="5">
        <v>2055</v>
      </c>
    </row>
    <row r="495" spans="2:6" ht="15" customHeight="1">
      <c r="B495" s="5" t="s">
        <v>342</v>
      </c>
      <c r="C495" s="5">
        <v>2057</v>
      </c>
      <c r="D495" s="5">
        <v>2057</v>
      </c>
      <c r="E495" s="5">
        <v>2057</v>
      </c>
      <c r="F495" s="5">
        <v>2057</v>
      </c>
    </row>
    <row r="496" spans="2:6" ht="15" customHeight="1">
      <c r="B496" s="5" t="s">
        <v>98</v>
      </c>
      <c r="C496" s="5">
        <v>2076</v>
      </c>
      <c r="D496" s="5">
        <v>2076</v>
      </c>
      <c r="E496" s="5">
        <v>2076</v>
      </c>
      <c r="F496" s="5">
        <v>2076</v>
      </c>
    </row>
    <row r="497" spans="2:6" ht="15" customHeight="1">
      <c r="B497" s="5" t="s">
        <v>99</v>
      </c>
      <c r="C497" s="5">
        <v>2060</v>
      </c>
      <c r="D497" s="5">
        <v>2060</v>
      </c>
      <c r="E497" s="5">
        <v>2060</v>
      </c>
      <c r="F497" s="5">
        <v>2060</v>
      </c>
    </row>
    <row r="498" spans="2:6" ht="15" customHeight="1">
      <c r="B498" s="5" t="s">
        <v>100</v>
      </c>
      <c r="C498" s="5">
        <v>3518</v>
      </c>
      <c r="D498" s="5">
        <v>3518</v>
      </c>
      <c r="E498" s="5">
        <v>3518</v>
      </c>
      <c r="F498" s="5">
        <v>3518</v>
      </c>
    </row>
    <row r="499" spans="2:6" ht="15" customHeight="1">
      <c r="B499" s="5" t="s">
        <v>101</v>
      </c>
      <c r="C499" s="5">
        <v>2054</v>
      </c>
      <c r="D499" s="5">
        <v>2054</v>
      </c>
      <c r="E499" s="5">
        <v>2054</v>
      </c>
      <c r="F499" s="5">
        <v>2054</v>
      </c>
    </row>
    <row r="500" spans="2:6" ht="15" customHeight="1">
      <c r="B500" s="5"/>
      <c r="C500" s="5"/>
      <c r="D500" s="5"/>
      <c r="E500" s="5"/>
      <c r="F500" s="5"/>
    </row>
    <row r="501" spans="2:6" ht="15" customHeight="1">
      <c r="B501" s="5" t="s">
        <v>382</v>
      </c>
      <c r="C501" s="5">
        <v>3521</v>
      </c>
      <c r="D501" s="5">
        <v>3521</v>
      </c>
      <c r="E501" s="5">
        <v>3521</v>
      </c>
      <c r="F501" s="5">
        <v>3521</v>
      </c>
    </row>
    <row r="502" spans="2:6" ht="15" customHeight="1">
      <c r="B502" s="5"/>
      <c r="C502" s="5"/>
      <c r="D502" s="5"/>
      <c r="E502" s="5"/>
      <c r="F502" s="5"/>
    </row>
    <row r="503" spans="2:6" ht="15" customHeight="1">
      <c r="B503" s="5" t="s">
        <v>102</v>
      </c>
      <c r="C503" s="5">
        <v>5405</v>
      </c>
      <c r="D503" s="5">
        <v>5405</v>
      </c>
      <c r="E503" s="5">
        <v>5405</v>
      </c>
      <c r="F503" s="5">
        <v>5405</v>
      </c>
    </row>
    <row r="504" spans="2:6" ht="15" customHeight="1">
      <c r="B504" s="5" t="s">
        <v>103</v>
      </c>
      <c r="C504" s="5">
        <v>4003</v>
      </c>
      <c r="D504" s="5">
        <v>4003</v>
      </c>
      <c r="E504" s="5">
        <v>4003</v>
      </c>
      <c r="F504" s="5">
        <v>4003</v>
      </c>
    </row>
    <row r="505" spans="2:6" ht="15" customHeight="1">
      <c r="B505" s="5" t="s">
        <v>341</v>
      </c>
      <c r="C505" s="5">
        <v>4004</v>
      </c>
      <c r="D505" s="5">
        <v>4004</v>
      </c>
      <c r="E505" s="5">
        <v>4004</v>
      </c>
      <c r="F505" s="5">
        <v>4004</v>
      </c>
    </row>
    <row r="506" spans="2:6" ht="15" customHeight="1">
      <c r="B506" s="9" t="s">
        <v>281</v>
      </c>
      <c r="C506" s="5">
        <v>5427</v>
      </c>
      <c r="D506" s="5">
        <v>5427</v>
      </c>
      <c r="E506" s="5">
        <v>5427</v>
      </c>
      <c r="F506" s="5">
        <v>5427</v>
      </c>
    </row>
    <row r="507" spans="2:6" ht="15" customHeight="1">
      <c r="B507" s="5" t="s">
        <v>321</v>
      </c>
      <c r="C507" s="5">
        <v>5407</v>
      </c>
      <c r="D507" s="5">
        <v>5407</v>
      </c>
      <c r="E507" s="5">
        <v>5407</v>
      </c>
      <c r="F507" s="5">
        <v>5407</v>
      </c>
    </row>
    <row r="508" spans="2:6" ht="15" customHeight="1">
      <c r="B508" s="5" t="s">
        <v>108</v>
      </c>
      <c r="C508" s="5">
        <v>5404</v>
      </c>
      <c r="D508" s="5">
        <v>5404</v>
      </c>
      <c r="E508" s="5">
        <v>5404</v>
      </c>
      <c r="F508" s="5">
        <v>5404</v>
      </c>
    </row>
    <row r="509" spans="2:6" ht="15" customHeight="1">
      <c r="B509" s="5"/>
      <c r="C509" s="5"/>
      <c r="D509" s="5"/>
      <c r="E509" s="5"/>
      <c r="F509" s="5"/>
    </row>
    <row r="510" spans="2:6" ht="12.75" customHeight="1">
      <c r="B510" s="5" t="s">
        <v>110</v>
      </c>
      <c r="C510" s="5">
        <v>7010</v>
      </c>
      <c r="D510" s="5">
        <v>7010</v>
      </c>
      <c r="E510" s="5">
        <v>7010</v>
      </c>
      <c r="F510" s="5">
        <v>7010</v>
      </c>
    </row>
    <row r="511" spans="2:6" ht="15" customHeight="1">
      <c r="B511" s="5" t="s">
        <v>111</v>
      </c>
      <c r="C511" s="5">
        <v>7005</v>
      </c>
      <c r="D511" s="5">
        <v>7005</v>
      </c>
      <c r="E511" s="5">
        <v>7005</v>
      </c>
      <c r="F511" s="5">
        <v>7005</v>
      </c>
    </row>
    <row r="512" spans="2:6" ht="15" customHeight="1">
      <c r="B512" s="5" t="s">
        <v>113</v>
      </c>
      <c r="C512" s="5">
        <v>7009</v>
      </c>
      <c r="D512" s="5">
        <v>7009</v>
      </c>
      <c r="E512" s="5">
        <v>7009</v>
      </c>
      <c r="F512" s="5">
        <v>7009</v>
      </c>
    </row>
    <row r="513" spans="2:6" ht="15" customHeight="1"/>
    <row r="514" spans="2:6" ht="15" customHeight="1">
      <c r="B514" s="5" t="s">
        <v>293</v>
      </c>
      <c r="C514" s="5">
        <v>1102</v>
      </c>
      <c r="D514" s="5">
        <v>1102</v>
      </c>
      <c r="E514" s="5">
        <v>1102</v>
      </c>
      <c r="F514" s="5">
        <v>1102</v>
      </c>
    </row>
    <row r="515" spans="2:6" ht="15" customHeight="1">
      <c r="B515" s="5" t="s">
        <v>292</v>
      </c>
      <c r="C515" s="5">
        <v>1100</v>
      </c>
      <c r="D515" s="5">
        <v>1100</v>
      </c>
      <c r="E515" s="5">
        <v>1100</v>
      </c>
      <c r="F515" s="5">
        <v>1100</v>
      </c>
    </row>
    <row r="516" spans="2:6" ht="15" customHeight="1"/>
    <row r="517" spans="2:6" ht="15" customHeight="1"/>
    <row r="518" spans="2:6" ht="15" customHeight="1"/>
    <row r="519" spans="2:6" ht="15" customHeight="1">
      <c r="B519" s="5"/>
      <c r="C519" s="5"/>
      <c r="D519" s="5"/>
      <c r="E519" s="5"/>
      <c r="F519" s="5"/>
    </row>
    <row r="520" spans="2:6" ht="15" customHeight="1">
      <c r="B520" s="5"/>
      <c r="C520" s="5"/>
      <c r="D520" s="5"/>
      <c r="E520" s="5"/>
      <c r="F520" s="5"/>
    </row>
    <row r="521" spans="2:6" ht="15" customHeight="1">
      <c r="B521" s="5"/>
      <c r="C521" s="5"/>
      <c r="D521" s="5"/>
      <c r="E521" s="5"/>
      <c r="F521" s="5"/>
    </row>
    <row r="522" spans="2:6" ht="15" customHeight="1">
      <c r="B522" s="5"/>
      <c r="C522" s="5"/>
      <c r="D522" s="5"/>
      <c r="E522" s="5"/>
      <c r="F522" s="5"/>
    </row>
    <row r="523" spans="2:6" ht="15" customHeight="1">
      <c r="B523" s="5"/>
      <c r="C523" s="5"/>
      <c r="D523" s="5"/>
      <c r="E523" s="5"/>
      <c r="F523" s="5"/>
    </row>
    <row r="524" spans="2:6" ht="15" customHeight="1"/>
    <row r="525" spans="2:6" ht="12.75" customHeight="1"/>
    <row r="526" spans="2:6" ht="15" customHeight="1"/>
    <row r="527" spans="2:6" ht="12.75" customHeight="1"/>
    <row r="528" spans="2:6" ht="12.75" customHeight="1"/>
    <row r="529" ht="12.75" customHeight="1"/>
  </sheetData>
  <sheetProtection algorithmName="SHA-512" hashValue="k0YNv8IWEU9A1UHIK/SFMBoxNGw1j5V1hNjvo9OWt4A3j6JiS2xY+oWrzYLDwj6RLM55nbFbYTd+Ks7vMUP1nw==" saltValue="eGE1t45/ODyBecnVaGCP2g==" spinCount="100000" sheet="1" formatCells="0" formatColumns="0" insertColumns="0"/>
  <mergeCells count="2">
    <mergeCell ref="A3:B3"/>
    <mergeCell ref="G6:K6"/>
  </mergeCells>
  <phoneticPr fontId="7" type="noConversion"/>
  <conditionalFormatting sqref="G9:J9">
    <cfRule type="expression" dxfId="35" priority="150" stopIfTrue="1">
      <formula>$AG$1="N"</formula>
    </cfRule>
  </conditionalFormatting>
  <conditionalFormatting sqref="G10:J10">
    <cfRule type="expression" dxfId="34" priority="165" stopIfTrue="1">
      <formula>$AD$1="N"</formula>
    </cfRule>
  </conditionalFormatting>
  <conditionalFormatting sqref="G12:J12 G15:J15 G18:J18 G21:J21 G24:J24 G27:J27 G30:J30 G33:J33">
    <cfRule type="expression" dxfId="33" priority="66" stopIfTrue="1">
      <formula>$AG$1="N"</formula>
    </cfRule>
  </conditionalFormatting>
  <conditionalFormatting sqref="G13:J13 G16:J16 G19:J19 G22:J22 G25:J25 G28:J28 G31:J31 G34:J34">
    <cfRule type="expression" dxfId="32" priority="67" stopIfTrue="1">
      <formula>$AD$1="N"</formula>
    </cfRule>
  </conditionalFormatting>
  <conditionalFormatting sqref="G37:J39">
    <cfRule type="expression" dxfId="31" priority="63" stopIfTrue="1">
      <formula>$AG$1="N"</formula>
    </cfRule>
  </conditionalFormatting>
  <conditionalFormatting sqref="G40:J40">
    <cfRule type="expression" dxfId="30" priority="61" stopIfTrue="1">
      <formula>$AD$1="N"</formula>
    </cfRule>
  </conditionalFormatting>
  <conditionalFormatting sqref="G42:K44">
    <cfRule type="expression" dxfId="29" priority="3" stopIfTrue="1">
      <formula>$AG$1="N"</formula>
    </cfRule>
  </conditionalFormatting>
  <conditionalFormatting sqref="G45:K45">
    <cfRule type="expression" dxfId="28" priority="2" stopIfTrue="1">
      <formula>$AD$1="N"</formula>
    </cfRule>
  </conditionalFormatting>
  <conditionalFormatting sqref="G47:K49">
    <cfRule type="expression" dxfId="27" priority="48" stopIfTrue="1">
      <formula>$AG$1="N"</formula>
    </cfRule>
  </conditionalFormatting>
  <conditionalFormatting sqref="G50:K50">
    <cfRule type="expression" dxfId="26" priority="46" stopIfTrue="1">
      <formula>$AD$1="N"</formula>
    </cfRule>
  </conditionalFormatting>
  <conditionalFormatting sqref="G52:K54">
    <cfRule type="expression" dxfId="25" priority="43" stopIfTrue="1">
      <formula>$AG$1="N"</formula>
    </cfRule>
  </conditionalFormatting>
  <conditionalFormatting sqref="G55:K55">
    <cfRule type="expression" dxfId="24" priority="41" stopIfTrue="1">
      <formula>$AD$1="N"</formula>
    </cfRule>
  </conditionalFormatting>
  <conditionalFormatting sqref="G57:K59">
    <cfRule type="expression" dxfId="23" priority="38" stopIfTrue="1">
      <formula>$AG$1="N"</formula>
    </cfRule>
  </conditionalFormatting>
  <conditionalFormatting sqref="G60:K60">
    <cfRule type="expression" dxfId="22" priority="36" stopIfTrue="1">
      <formula>$AD$1="N"</formula>
    </cfRule>
  </conditionalFormatting>
  <conditionalFormatting sqref="G62:K63">
    <cfRule type="expression" dxfId="21" priority="34" stopIfTrue="1">
      <formula>$AG$1="N"</formula>
    </cfRule>
  </conditionalFormatting>
  <conditionalFormatting sqref="G64:K64">
    <cfRule type="expression" dxfId="20" priority="32" stopIfTrue="1">
      <formula>$AD$1="N"</formula>
    </cfRule>
  </conditionalFormatting>
  <conditionalFormatting sqref="G66:K66">
    <cfRule type="expression" dxfId="19" priority="30" stopIfTrue="1">
      <formula>$AG$1="N"</formula>
    </cfRule>
  </conditionalFormatting>
  <conditionalFormatting sqref="G67:K67">
    <cfRule type="expression" dxfId="18" priority="31" stopIfTrue="1">
      <formula>$AD$1="N"</formula>
    </cfRule>
  </conditionalFormatting>
  <conditionalFormatting sqref="G69:K70">
    <cfRule type="expression" dxfId="17" priority="24" stopIfTrue="1">
      <formula>$AG$1="N"</formula>
    </cfRule>
  </conditionalFormatting>
  <conditionalFormatting sqref="G71:K71">
    <cfRule type="expression" dxfId="16" priority="22" stopIfTrue="1">
      <formula>$AD$1="N"</formula>
    </cfRule>
  </conditionalFormatting>
  <conditionalFormatting sqref="G73:K73">
    <cfRule type="expression" dxfId="15" priority="28" stopIfTrue="1">
      <formula>$AG$1="N"</formula>
    </cfRule>
  </conditionalFormatting>
  <conditionalFormatting sqref="G74:K74">
    <cfRule type="expression" dxfId="14" priority="29" stopIfTrue="1">
      <formula>$AD$1="N"</formula>
    </cfRule>
  </conditionalFormatting>
  <conditionalFormatting sqref="G76:K76">
    <cfRule type="expression" dxfId="13" priority="26" stopIfTrue="1">
      <formula>$AG$1="N"</formula>
    </cfRule>
  </conditionalFormatting>
  <conditionalFormatting sqref="G77:K77">
    <cfRule type="expression" dxfId="12" priority="27" stopIfTrue="1">
      <formula>$AD$1="N"</formula>
    </cfRule>
  </conditionalFormatting>
  <conditionalFormatting sqref="G79:K80">
    <cfRule type="expression" dxfId="11" priority="20" stopIfTrue="1">
      <formula>$AG$1="N"</formula>
    </cfRule>
  </conditionalFormatting>
  <conditionalFormatting sqref="G81:K81">
    <cfRule type="expression" dxfId="10" priority="18" stopIfTrue="1">
      <formula>$AD$1="N"</formula>
    </cfRule>
  </conditionalFormatting>
  <conditionalFormatting sqref="G83:K85">
    <cfRule type="expression" dxfId="9" priority="7" stopIfTrue="1">
      <formula>$AG$1="N"</formula>
    </cfRule>
  </conditionalFormatting>
  <conditionalFormatting sqref="G86:K86">
    <cfRule type="expression" dxfId="8" priority="1" stopIfTrue="1">
      <formula>$AD$1="N"</formula>
    </cfRule>
  </conditionalFormatting>
  <conditionalFormatting sqref="G88:K89">
    <cfRule type="expression" dxfId="7" priority="16" stopIfTrue="1">
      <formula>$AG$1="N"</formula>
    </cfRule>
  </conditionalFormatting>
  <conditionalFormatting sqref="G90:K90">
    <cfRule type="expression" dxfId="6" priority="14" stopIfTrue="1">
      <formula>$AD$1="N"</formula>
    </cfRule>
  </conditionalFormatting>
  <conditionalFormatting sqref="G92:K93">
    <cfRule type="expression" dxfId="5" priority="12" stopIfTrue="1">
      <formula>$AG$1="N"</formula>
    </cfRule>
  </conditionalFormatting>
  <conditionalFormatting sqref="G94:K94">
    <cfRule type="expression" dxfId="4" priority="10" stopIfTrue="1">
      <formula>$AD$1="N"</formula>
    </cfRule>
  </conditionalFormatting>
  <conditionalFormatting sqref="G96:K96">
    <cfRule type="expression" dxfId="3" priority="119" stopIfTrue="1">
      <formula>$AD$1="N"</formula>
    </cfRule>
  </conditionalFormatting>
  <conditionalFormatting sqref="K9:K10 K12:K13 K15:K16 K18:K19 K21:K22 K24:K25 K27:K28 K30:K31 K33:K34">
    <cfRule type="expression" dxfId="2" priority="161" stopIfTrue="1">
      <formula>$AD$1="PR"</formula>
    </cfRule>
  </conditionalFormatting>
  <conditionalFormatting sqref="K37:K40">
    <cfRule type="expression" dxfId="1" priority="62" stopIfTrue="1">
      <formula>$AD$1="PR"</formula>
    </cfRule>
  </conditionalFormatting>
  <conditionalFormatting sqref="L13">
    <cfRule type="expression" dxfId="0" priority="93" stopIfTrue="1">
      <formula>$AG$1="N"</formula>
    </cfRule>
  </conditionalFormatting>
  <dataValidations count="1">
    <dataValidation type="list" allowBlank="1" showInputMessage="1" showErrorMessage="1" sqref="C3:F3" xr:uid="{00000000-0002-0000-0000-000000000000}">
      <formula1>$B$422:$B$518</formula1>
    </dataValidation>
  </dataValidations>
  <pageMargins left="0" right="0" top="0" bottom="0" header="0" footer="0"/>
  <pageSetup paperSize="9" scale="5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indexed="34"/>
  </sheetPr>
  <dimension ref="A1:HS111"/>
  <sheetViews>
    <sheetView zoomScaleNormal="100" workbookViewId="0">
      <pane xSplit="3" ySplit="3" topLeftCell="BI4" activePane="bottomRight" state="frozen"/>
      <selection activeCell="EE3" sqref="EE3"/>
      <selection pane="topRight" activeCell="EE3" sqref="EE3"/>
      <selection pane="bottomLeft" activeCell="EE3" sqref="EE3"/>
      <selection pane="bottomRight" activeCell="BM7" sqref="BM7"/>
    </sheetView>
  </sheetViews>
  <sheetFormatPr defaultRowHeight="15"/>
  <cols>
    <col min="1" max="1" width="6.6640625" bestFit="1" customWidth="1"/>
    <col min="2" max="2" width="6.6640625" style="6" customWidth="1"/>
    <col min="3" max="3" width="28" customWidth="1"/>
    <col min="4" max="4" width="18.5546875" customWidth="1"/>
    <col min="5" max="5" width="13.33203125" customWidth="1"/>
    <col min="6" max="6" width="14.109375" customWidth="1"/>
    <col min="7" max="7" width="8.6640625" customWidth="1"/>
    <col min="8" max="8" width="10" bestFit="1" customWidth="1"/>
    <col min="9" max="13" width="16.44140625" customWidth="1"/>
    <col min="14" max="15" width="14.44140625" customWidth="1"/>
    <col min="16" max="20" width="16.44140625" customWidth="1"/>
    <col min="21" max="21" width="19" customWidth="1"/>
    <col min="22" max="22" width="17.109375" customWidth="1"/>
    <col min="23" max="23" width="17.5546875" customWidth="1"/>
    <col min="24" max="24" width="18.109375" customWidth="1"/>
    <col min="25" max="25" width="17.44140625" customWidth="1"/>
    <col min="26" max="26" width="14.88671875" customWidth="1"/>
    <col min="27" max="27" width="17.88671875" customWidth="1"/>
    <col min="28" max="28" width="17.5546875" customWidth="1"/>
    <col min="29" max="29" width="17" customWidth="1"/>
    <col min="30" max="30" width="16.44140625" customWidth="1"/>
    <col min="31" max="31" width="14.6640625" customWidth="1"/>
    <col min="32" max="32" width="16.33203125" customWidth="1"/>
    <col min="33" max="33" width="15.44140625" customWidth="1"/>
    <col min="34" max="34" width="16.44140625" customWidth="1"/>
    <col min="35" max="35" width="14.33203125" customWidth="1"/>
    <col min="36" max="37" width="16.44140625" customWidth="1"/>
    <col min="38" max="38" width="15.5546875" customWidth="1"/>
    <col min="39" max="49" width="16.44140625" customWidth="1"/>
    <col min="50" max="50" width="14.88671875" customWidth="1"/>
    <col min="51" max="51" width="16.109375" customWidth="1"/>
    <col min="52" max="54" width="16.44140625" customWidth="1"/>
    <col min="55" max="56" width="14.33203125" customWidth="1"/>
    <col min="57" max="59" width="16.44140625" customWidth="1"/>
    <col min="60" max="61" width="20.33203125" bestFit="1" customWidth="1"/>
    <col min="62" max="62" width="18.33203125" customWidth="1"/>
    <col min="63" max="63" width="17.6640625" customWidth="1"/>
    <col min="64" max="64" width="19.109375" customWidth="1"/>
    <col min="65" max="65" width="14.6640625" customWidth="1"/>
    <col min="66" max="66" width="17.44140625" style="13" customWidth="1"/>
    <col min="67" max="67" width="4.109375" customWidth="1"/>
    <col min="68" max="68" width="13.33203125" style="7" customWidth="1"/>
    <col min="69" max="69" width="15.33203125" style="7" bestFit="1" customWidth="1"/>
    <col min="70" max="71" width="13.33203125" style="22" customWidth="1"/>
    <col min="72" max="73" width="14.33203125" style="7" customWidth="1"/>
    <col min="74" max="75" width="14.33203125" style="22" customWidth="1"/>
    <col min="76" max="77" width="14.33203125" style="7" customWidth="1"/>
    <col min="78" max="79" width="14.33203125" style="22" customWidth="1"/>
    <col min="80" max="80" width="16.44140625" style="7" bestFit="1" customWidth="1"/>
    <col min="81" max="81" width="16.88671875" style="7" bestFit="1" customWidth="1"/>
    <col min="82" max="82" width="20.109375" style="22" customWidth="1"/>
    <col min="83" max="83" width="16.44140625" style="20" customWidth="1"/>
    <col min="84" max="84" width="12.5546875" style="23" customWidth="1"/>
    <col min="85" max="85" width="11.44140625" style="18" bestFit="1" customWidth="1"/>
    <col min="86" max="86" width="12.5546875" style="22" customWidth="1"/>
    <col min="87" max="87" width="11.6640625" style="20" customWidth="1"/>
    <col min="88" max="88" width="12.33203125" style="23" bestFit="1" customWidth="1"/>
    <col min="89" max="89" width="10.5546875" style="23" bestFit="1" customWidth="1"/>
    <col min="90" max="90" width="13.44140625" style="23" customWidth="1"/>
    <col min="91" max="91" width="13.88671875" style="17" customWidth="1"/>
    <col min="92" max="92" width="12.33203125" style="22" bestFit="1" customWidth="1"/>
    <col min="93" max="93" width="10.5546875" style="22" bestFit="1" customWidth="1"/>
    <col min="94" max="94" width="12.88671875" style="22" customWidth="1"/>
    <col min="95" max="95" width="12" style="19" customWidth="1"/>
    <col min="96" max="96" width="12.33203125" style="23" bestFit="1" customWidth="1"/>
    <col min="97" max="97" width="10.5546875" style="23" bestFit="1" customWidth="1"/>
    <col min="98" max="98" width="13.44140625" style="23" customWidth="1"/>
    <col min="99" max="99" width="11.44140625" style="17" bestFit="1" customWidth="1"/>
    <col min="100" max="100" width="12.33203125" style="22" bestFit="1" customWidth="1"/>
    <col min="101" max="101" width="9.109375" style="22"/>
    <col min="102" max="102" width="13.109375" style="22" customWidth="1"/>
    <col min="103" max="103" width="11.88671875" style="19" bestFit="1" customWidth="1"/>
    <col min="104" max="104" width="12.33203125" style="23" bestFit="1" customWidth="1"/>
    <col min="105" max="105" width="11.5546875" style="23" bestFit="1" customWidth="1"/>
    <col min="106" max="106" width="13.5546875" style="23" customWidth="1"/>
    <col min="107" max="107" width="12.5546875" style="17" customWidth="1"/>
    <col min="108" max="108" width="12.33203125" style="19" bestFit="1" customWidth="1"/>
    <col min="109" max="109" width="13" style="19" customWidth="1"/>
    <col min="110" max="110" width="15.6640625" style="19" customWidth="1"/>
    <col min="111" max="111" width="14.109375" style="17" customWidth="1"/>
    <col min="112" max="112" width="9.109375" style="18"/>
    <col min="113" max="113" width="12.33203125" style="19" bestFit="1" customWidth="1"/>
    <col min="114" max="114" width="13.109375" style="19" customWidth="1"/>
    <col min="115" max="115" width="9.5546875" style="20" bestFit="1" customWidth="1"/>
    <col min="116" max="116" width="12.33203125" style="17" bestFit="1" customWidth="1"/>
    <col min="117" max="118" width="13" style="17" customWidth="1"/>
    <col min="119" max="120" width="9.109375" style="19"/>
    <col min="121" max="121" width="13.109375" style="19" customWidth="1"/>
    <col min="122" max="122" width="13.109375" style="20" customWidth="1"/>
    <col min="123" max="123" width="9.109375" style="17"/>
    <col min="124" max="124" width="13.109375" style="17" customWidth="1"/>
    <col min="125" max="125" width="11.5546875" style="18" bestFit="1" customWidth="1"/>
    <col min="126" max="126" width="9.109375" style="19"/>
    <col min="127" max="127" width="13.109375" style="19" customWidth="1"/>
    <col min="128" max="128" width="11.5546875" style="20" bestFit="1" customWidth="1"/>
    <col min="129" max="129" width="13.5546875" style="17" customWidth="1"/>
    <col min="130" max="130" width="13.109375" style="18" bestFit="1" customWidth="1"/>
    <col min="131" max="131" width="13.5546875" style="27" customWidth="1"/>
    <col min="132" max="132" width="13.109375" style="28" bestFit="1" customWidth="1"/>
    <col min="133" max="133" width="22" style="21" customWidth="1"/>
  </cols>
  <sheetData>
    <row r="1" spans="1:227" s="6" customFormat="1" ht="13.8" thickBot="1">
      <c r="A1" s="6">
        <v>1</v>
      </c>
      <c r="B1" s="6">
        <v>2</v>
      </c>
      <c r="C1" s="6">
        <v>3</v>
      </c>
      <c r="D1" s="6">
        <v>4</v>
      </c>
      <c r="E1" s="6">
        <v>5</v>
      </c>
      <c r="F1" s="6">
        <v>6</v>
      </c>
      <c r="G1" s="6">
        <v>7</v>
      </c>
      <c r="H1" s="6">
        <v>8</v>
      </c>
      <c r="I1" s="6">
        <v>9</v>
      </c>
      <c r="J1" s="6">
        <v>10</v>
      </c>
      <c r="K1" s="6">
        <v>11</v>
      </c>
      <c r="L1" s="6">
        <v>12</v>
      </c>
      <c r="M1" s="6">
        <v>13</v>
      </c>
      <c r="N1" s="6">
        <v>14</v>
      </c>
      <c r="O1" s="6">
        <v>15</v>
      </c>
      <c r="P1" s="6">
        <v>16</v>
      </c>
      <c r="Q1" s="6">
        <v>17</v>
      </c>
      <c r="R1" s="6">
        <v>18</v>
      </c>
      <c r="S1" s="6">
        <v>19</v>
      </c>
      <c r="T1" s="6">
        <v>20</v>
      </c>
      <c r="U1" s="6">
        <v>21</v>
      </c>
      <c r="V1" s="6">
        <v>22</v>
      </c>
      <c r="W1" s="6">
        <v>23</v>
      </c>
      <c r="X1" s="6">
        <v>24</v>
      </c>
      <c r="Y1" s="6">
        <v>25</v>
      </c>
      <c r="Z1" s="6">
        <v>26</v>
      </c>
      <c r="AA1" s="6">
        <v>27</v>
      </c>
      <c r="AB1" s="6">
        <v>28</v>
      </c>
      <c r="AC1" s="6">
        <v>29</v>
      </c>
      <c r="AD1" s="6">
        <v>30</v>
      </c>
      <c r="AE1" s="6">
        <v>31</v>
      </c>
      <c r="AF1" s="6">
        <v>32</v>
      </c>
      <c r="AG1" s="6">
        <v>33</v>
      </c>
      <c r="AH1" s="6">
        <v>34</v>
      </c>
      <c r="AI1" s="6">
        <v>35</v>
      </c>
      <c r="AJ1" s="6">
        <v>36</v>
      </c>
      <c r="AK1" s="6">
        <v>37</v>
      </c>
      <c r="AL1" s="6">
        <v>38</v>
      </c>
      <c r="AM1" s="6">
        <v>39</v>
      </c>
      <c r="AN1" s="6">
        <v>40</v>
      </c>
      <c r="AO1" s="6">
        <v>41</v>
      </c>
      <c r="AP1" s="6">
        <v>42</v>
      </c>
      <c r="AQ1" s="6">
        <v>43</v>
      </c>
      <c r="AR1" s="6">
        <v>44</v>
      </c>
      <c r="AS1" s="6">
        <v>45</v>
      </c>
      <c r="AT1" s="6">
        <v>46</v>
      </c>
      <c r="AU1" s="6">
        <v>47</v>
      </c>
      <c r="AV1" s="6">
        <v>48</v>
      </c>
      <c r="AW1" s="6">
        <v>49</v>
      </c>
      <c r="AX1" s="6">
        <v>50</v>
      </c>
      <c r="AY1" s="6">
        <v>51</v>
      </c>
      <c r="AZ1" s="6">
        <v>52</v>
      </c>
      <c r="BA1" s="6">
        <v>53</v>
      </c>
      <c r="BB1" s="6">
        <v>54</v>
      </c>
      <c r="BC1" s="6">
        <v>55</v>
      </c>
      <c r="BD1" s="6">
        <v>56</v>
      </c>
      <c r="BE1" s="6">
        <v>57</v>
      </c>
      <c r="BF1" s="6">
        <v>58</v>
      </c>
      <c r="BG1" s="6">
        <v>59</v>
      </c>
      <c r="BH1" s="6">
        <v>60</v>
      </c>
      <c r="BI1" s="6">
        <v>61</v>
      </c>
      <c r="BJ1" s="6">
        <v>62</v>
      </c>
      <c r="BK1" s="6">
        <v>63</v>
      </c>
      <c r="BL1" s="6">
        <v>64</v>
      </c>
      <c r="BM1" s="6">
        <v>65</v>
      </c>
      <c r="BN1" s="6">
        <v>66</v>
      </c>
      <c r="BO1" s="6">
        <v>67</v>
      </c>
      <c r="BP1" s="6">
        <v>68</v>
      </c>
      <c r="BQ1" s="6">
        <v>69</v>
      </c>
      <c r="BR1" s="6">
        <v>70</v>
      </c>
      <c r="BS1" s="6">
        <v>71</v>
      </c>
      <c r="BT1" s="6">
        <v>72</v>
      </c>
      <c r="BU1" s="6">
        <v>73</v>
      </c>
      <c r="BV1" s="6">
        <v>74</v>
      </c>
      <c r="BW1" s="6">
        <v>75</v>
      </c>
      <c r="BX1" s="6">
        <v>76</v>
      </c>
      <c r="BY1" s="6">
        <v>77</v>
      </c>
      <c r="BZ1" s="6">
        <v>78</v>
      </c>
      <c r="CA1" s="6">
        <v>79</v>
      </c>
      <c r="CB1" s="6">
        <v>80</v>
      </c>
      <c r="CC1" s="6">
        <v>81</v>
      </c>
      <c r="CD1" s="6">
        <v>82</v>
      </c>
      <c r="CE1" s="6">
        <v>83</v>
      </c>
      <c r="CF1" s="6">
        <v>84</v>
      </c>
      <c r="CG1" s="6">
        <v>85</v>
      </c>
      <c r="CH1" s="6">
        <v>86</v>
      </c>
      <c r="CI1" s="6">
        <v>87</v>
      </c>
      <c r="CJ1" s="6">
        <v>88</v>
      </c>
      <c r="CK1" s="6">
        <v>89</v>
      </c>
      <c r="CL1" s="6">
        <v>90</v>
      </c>
      <c r="CM1" s="6">
        <v>91</v>
      </c>
      <c r="CN1" s="6">
        <v>92</v>
      </c>
      <c r="CO1" s="6">
        <v>93</v>
      </c>
      <c r="CP1" s="6">
        <v>94</v>
      </c>
      <c r="CQ1" s="6">
        <v>95</v>
      </c>
      <c r="CR1" s="6">
        <v>96</v>
      </c>
      <c r="CS1" s="6">
        <v>97</v>
      </c>
      <c r="CT1" s="6">
        <v>98</v>
      </c>
      <c r="CU1" s="6">
        <v>99</v>
      </c>
      <c r="CV1" s="6">
        <v>100</v>
      </c>
      <c r="CW1" s="6">
        <v>101</v>
      </c>
      <c r="CX1" s="6">
        <v>102</v>
      </c>
      <c r="CY1" s="6">
        <v>103</v>
      </c>
      <c r="CZ1" s="6">
        <v>104</v>
      </c>
      <c r="DA1" s="6">
        <v>105</v>
      </c>
      <c r="DB1" s="6">
        <v>106</v>
      </c>
      <c r="DC1" s="6">
        <v>107</v>
      </c>
      <c r="DD1" s="6">
        <v>108</v>
      </c>
      <c r="DE1" s="6">
        <v>109</v>
      </c>
      <c r="DF1" s="6">
        <v>110</v>
      </c>
      <c r="DG1" s="6">
        <v>111</v>
      </c>
      <c r="DH1" s="6">
        <v>112</v>
      </c>
      <c r="DI1" s="6">
        <v>113</v>
      </c>
      <c r="DJ1" s="6">
        <v>114</v>
      </c>
      <c r="DK1" s="6">
        <v>115</v>
      </c>
      <c r="DL1" s="6">
        <v>116</v>
      </c>
      <c r="DM1" s="6">
        <v>117</v>
      </c>
      <c r="DN1" s="6">
        <v>118</v>
      </c>
      <c r="DO1" s="6">
        <v>119</v>
      </c>
      <c r="DP1" s="6">
        <v>120</v>
      </c>
      <c r="DQ1" s="6">
        <v>121</v>
      </c>
      <c r="DR1" s="6">
        <v>122</v>
      </c>
      <c r="DS1" s="6">
        <v>123</v>
      </c>
      <c r="DT1" s="6">
        <v>124</v>
      </c>
      <c r="DU1" s="6">
        <v>125</v>
      </c>
      <c r="DV1" s="6">
        <v>126</v>
      </c>
      <c r="DW1" s="6">
        <v>127</v>
      </c>
      <c r="DX1" s="6">
        <v>128</v>
      </c>
      <c r="DY1" s="6">
        <v>129</v>
      </c>
      <c r="DZ1" s="6">
        <v>130</v>
      </c>
      <c r="EA1" s="6">
        <v>131</v>
      </c>
      <c r="EB1" s="6">
        <v>132</v>
      </c>
      <c r="EC1" s="6">
        <v>133</v>
      </c>
    </row>
    <row r="2" spans="1:227" ht="39" customHeight="1" thickBot="1">
      <c r="A2" s="67" t="s">
        <v>492</v>
      </c>
      <c r="B2" s="67"/>
      <c r="C2" s="68"/>
      <c r="BH2" s="223" t="s">
        <v>224</v>
      </c>
      <c r="BI2" s="223" t="s">
        <v>225</v>
      </c>
      <c r="BK2" s="223" t="s">
        <v>344</v>
      </c>
      <c r="BL2" s="223" t="s">
        <v>344</v>
      </c>
      <c r="BP2" s="330" t="s">
        <v>118</v>
      </c>
      <c r="BQ2" s="331"/>
      <c r="BR2" s="323" t="s">
        <v>119</v>
      </c>
      <c r="BS2" s="325"/>
      <c r="BT2" s="330" t="s">
        <v>120</v>
      </c>
      <c r="BU2" s="331"/>
      <c r="BV2" s="323" t="s">
        <v>121</v>
      </c>
      <c r="BW2" s="325"/>
      <c r="BX2" s="330" t="s">
        <v>300</v>
      </c>
      <c r="BY2" s="331"/>
      <c r="BZ2" s="323" t="s">
        <v>227</v>
      </c>
      <c r="CA2" s="325"/>
      <c r="CB2" s="330" t="s">
        <v>123</v>
      </c>
      <c r="CC2" s="331"/>
      <c r="CD2" s="327" t="s">
        <v>364</v>
      </c>
      <c r="CE2" s="329"/>
      <c r="CF2" s="332" t="s">
        <v>228</v>
      </c>
      <c r="CG2" s="333"/>
      <c r="CH2" s="327" t="s">
        <v>115</v>
      </c>
      <c r="CI2" s="329"/>
      <c r="CJ2" s="321" t="s">
        <v>282</v>
      </c>
      <c r="CK2" s="326"/>
      <c r="CL2" s="326"/>
      <c r="CM2" s="322"/>
      <c r="CN2" s="323" t="s">
        <v>365</v>
      </c>
      <c r="CO2" s="324"/>
      <c r="CP2" s="324"/>
      <c r="CQ2" s="325"/>
      <c r="CR2" s="321" t="s">
        <v>366</v>
      </c>
      <c r="CS2" s="326"/>
      <c r="CT2" s="326"/>
      <c r="CU2" s="322"/>
      <c r="CV2" s="323" t="s">
        <v>367</v>
      </c>
      <c r="CW2" s="324"/>
      <c r="CX2" s="324"/>
      <c r="CY2" s="325"/>
      <c r="CZ2" s="321" t="s">
        <v>19</v>
      </c>
      <c r="DA2" s="326"/>
      <c r="DB2" s="326"/>
      <c r="DC2" s="322"/>
      <c r="DD2" s="327" t="s">
        <v>368</v>
      </c>
      <c r="DE2" s="328"/>
      <c r="DF2" s="329"/>
      <c r="DG2" s="321" t="s">
        <v>369</v>
      </c>
      <c r="DH2" s="322"/>
      <c r="DI2" s="323" t="s">
        <v>370</v>
      </c>
      <c r="DJ2" s="324"/>
      <c r="DK2" s="325"/>
      <c r="DL2" s="321" t="s">
        <v>371</v>
      </c>
      <c r="DM2" s="326"/>
      <c r="DN2" s="322"/>
      <c r="DO2" s="323" t="s">
        <v>372</v>
      </c>
      <c r="DP2" s="324"/>
      <c r="DQ2" s="324"/>
      <c r="DR2" s="325"/>
      <c r="DS2" s="321" t="s">
        <v>373</v>
      </c>
      <c r="DT2" s="326"/>
      <c r="DU2" s="322"/>
      <c r="DV2" s="327" t="s">
        <v>374</v>
      </c>
      <c r="DW2" s="328"/>
      <c r="DX2" s="329"/>
      <c r="DY2" s="321" t="s">
        <v>375</v>
      </c>
      <c r="DZ2" s="322"/>
      <c r="EA2" s="323" t="s">
        <v>437</v>
      </c>
      <c r="EB2" s="325"/>
      <c r="EC2" s="319" t="s">
        <v>608</v>
      </c>
    </row>
    <row r="3" spans="1:227" ht="66.599999999999994" thickBot="1">
      <c r="A3" s="220" t="s">
        <v>323</v>
      </c>
      <c r="B3" s="220" t="s">
        <v>116</v>
      </c>
      <c r="C3" s="220" t="s">
        <v>117</v>
      </c>
      <c r="D3" s="221" t="s">
        <v>118</v>
      </c>
      <c r="E3" s="220" t="s">
        <v>119</v>
      </c>
      <c r="F3" s="221" t="s">
        <v>120</v>
      </c>
      <c r="G3" s="221" t="s">
        <v>121</v>
      </c>
      <c r="H3" s="221" t="s">
        <v>300</v>
      </c>
      <c r="I3" s="221" t="s">
        <v>122</v>
      </c>
      <c r="J3" s="221" t="s">
        <v>123</v>
      </c>
      <c r="K3" s="221" t="s">
        <v>360</v>
      </c>
      <c r="L3" s="221" t="s">
        <v>359</v>
      </c>
      <c r="M3" s="221" t="s">
        <v>124</v>
      </c>
      <c r="N3" s="221" t="s">
        <v>125</v>
      </c>
      <c r="O3" s="221" t="s">
        <v>126</v>
      </c>
      <c r="P3" s="221" t="s">
        <v>127</v>
      </c>
      <c r="Q3" s="221" t="s">
        <v>128</v>
      </c>
      <c r="R3" s="221" t="s">
        <v>129</v>
      </c>
      <c r="S3" s="221" t="s">
        <v>130</v>
      </c>
      <c r="T3" s="221" t="s">
        <v>131</v>
      </c>
      <c r="U3" s="221" t="s">
        <v>132</v>
      </c>
      <c r="V3" s="221" t="s">
        <v>133</v>
      </c>
      <c r="W3" s="221" t="s">
        <v>134</v>
      </c>
      <c r="X3" s="221" t="s">
        <v>135</v>
      </c>
      <c r="Y3" s="221" t="s">
        <v>136</v>
      </c>
      <c r="Z3" s="220" t="s">
        <v>137</v>
      </c>
      <c r="AA3" s="220" t="s">
        <v>138</v>
      </c>
      <c r="AB3" s="221" t="s">
        <v>139</v>
      </c>
      <c r="AC3" s="221" t="s">
        <v>140</v>
      </c>
      <c r="AD3" s="221" t="s">
        <v>141</v>
      </c>
      <c r="AE3" s="221" t="s">
        <v>142</v>
      </c>
      <c r="AF3" s="221" t="s">
        <v>143</v>
      </c>
      <c r="AG3" s="221" t="s">
        <v>144</v>
      </c>
      <c r="AH3" s="221" t="s">
        <v>145</v>
      </c>
      <c r="AI3" s="221" t="s">
        <v>21</v>
      </c>
      <c r="AJ3" s="221" t="s">
        <v>146</v>
      </c>
      <c r="AK3" s="221" t="s">
        <v>147</v>
      </c>
      <c r="AL3" s="221" t="s">
        <v>148</v>
      </c>
      <c r="AM3" s="221" t="s">
        <v>149</v>
      </c>
      <c r="AN3" s="221" t="s">
        <v>485</v>
      </c>
      <c r="AO3" s="221" t="s">
        <v>486</v>
      </c>
      <c r="AP3" s="221" t="s">
        <v>487</v>
      </c>
      <c r="AQ3" s="221" t="s">
        <v>488</v>
      </c>
      <c r="AR3" s="221" t="s">
        <v>489</v>
      </c>
      <c r="AS3" s="221" t="s">
        <v>490</v>
      </c>
      <c r="AT3" s="221" t="s">
        <v>491</v>
      </c>
      <c r="AU3" s="221" t="s">
        <v>150</v>
      </c>
      <c r="AV3" s="220" t="s">
        <v>151</v>
      </c>
      <c r="AW3" s="221" t="s">
        <v>152</v>
      </c>
      <c r="AX3" s="221" t="s">
        <v>153</v>
      </c>
      <c r="AY3" s="221" t="s">
        <v>154</v>
      </c>
      <c r="AZ3" s="221" t="s">
        <v>155</v>
      </c>
      <c r="BA3" s="221" t="s">
        <v>156</v>
      </c>
      <c r="BB3" s="221" t="s">
        <v>351</v>
      </c>
      <c r="BC3" s="221" t="s">
        <v>352</v>
      </c>
      <c r="BD3" s="221" t="s">
        <v>157</v>
      </c>
      <c r="BE3" s="221" t="s">
        <v>158</v>
      </c>
      <c r="BF3" s="221" t="s">
        <v>159</v>
      </c>
      <c r="BG3" s="221" t="s">
        <v>160</v>
      </c>
      <c r="BH3" s="224" t="s">
        <v>161</v>
      </c>
      <c r="BI3" s="224" t="s">
        <v>162</v>
      </c>
      <c r="BJ3" s="224" t="s">
        <v>163</v>
      </c>
      <c r="BK3" s="224" t="s">
        <v>494</v>
      </c>
      <c r="BL3" s="224" t="s">
        <v>495</v>
      </c>
      <c r="BM3" s="208" t="s">
        <v>496</v>
      </c>
      <c r="BN3" s="222" t="s">
        <v>498</v>
      </c>
      <c r="BP3" s="69" t="s">
        <v>9</v>
      </c>
      <c r="BQ3" s="70" t="s">
        <v>164</v>
      </c>
      <c r="BR3" s="71" t="s">
        <v>9</v>
      </c>
      <c r="BS3" s="72" t="s">
        <v>164</v>
      </c>
      <c r="BT3" s="69" t="s">
        <v>9</v>
      </c>
      <c r="BU3" s="70" t="s">
        <v>164</v>
      </c>
      <c r="BV3" s="71" t="s">
        <v>9</v>
      </c>
      <c r="BW3" s="72" t="s">
        <v>164</v>
      </c>
      <c r="BX3" s="69" t="s">
        <v>9</v>
      </c>
      <c r="BY3" s="70" t="s">
        <v>164</v>
      </c>
      <c r="BZ3" s="71" t="s">
        <v>9</v>
      </c>
      <c r="CA3" s="72" t="s">
        <v>164</v>
      </c>
      <c r="CB3" s="69" t="s">
        <v>9</v>
      </c>
      <c r="CC3" s="70" t="s">
        <v>164</v>
      </c>
      <c r="CD3" s="71" t="s">
        <v>9</v>
      </c>
      <c r="CE3" s="73" t="s">
        <v>164</v>
      </c>
      <c r="CF3" s="74" t="s">
        <v>9</v>
      </c>
      <c r="CG3" s="75" t="s">
        <v>164</v>
      </c>
      <c r="CH3" s="71" t="s">
        <v>9</v>
      </c>
      <c r="CI3" s="72" t="s">
        <v>164</v>
      </c>
      <c r="CJ3" s="76" t="s">
        <v>13</v>
      </c>
      <c r="CK3" s="77" t="s">
        <v>9</v>
      </c>
      <c r="CL3" s="77" t="s">
        <v>165</v>
      </c>
      <c r="CM3" s="78" t="s">
        <v>166</v>
      </c>
      <c r="CN3" s="71" t="s">
        <v>13</v>
      </c>
      <c r="CO3" s="79" t="s">
        <v>9</v>
      </c>
      <c r="CP3" s="79" t="s">
        <v>165</v>
      </c>
      <c r="CQ3" s="80" t="s">
        <v>166</v>
      </c>
      <c r="CR3" s="74" t="s">
        <v>13</v>
      </c>
      <c r="CS3" s="77" t="s">
        <v>9</v>
      </c>
      <c r="CT3" s="77" t="s">
        <v>165</v>
      </c>
      <c r="CU3" s="78" t="s">
        <v>166</v>
      </c>
      <c r="CV3" s="71" t="s">
        <v>13</v>
      </c>
      <c r="CW3" s="79" t="s">
        <v>9</v>
      </c>
      <c r="CX3" s="79" t="s">
        <v>165</v>
      </c>
      <c r="CY3" s="80" t="s">
        <v>166</v>
      </c>
      <c r="CZ3" s="74" t="s">
        <v>13</v>
      </c>
      <c r="DA3" s="77" t="s">
        <v>167</v>
      </c>
      <c r="DB3" s="77" t="s">
        <v>165</v>
      </c>
      <c r="DC3" s="78" t="s">
        <v>168</v>
      </c>
      <c r="DD3" s="81" t="s">
        <v>13</v>
      </c>
      <c r="DE3" s="82" t="s">
        <v>165</v>
      </c>
      <c r="DF3" s="80" t="s">
        <v>15</v>
      </c>
      <c r="DG3" s="83" t="s">
        <v>165</v>
      </c>
      <c r="DH3" s="75" t="s">
        <v>166</v>
      </c>
      <c r="DI3" s="81" t="s">
        <v>13</v>
      </c>
      <c r="DJ3" s="82" t="s">
        <v>165</v>
      </c>
      <c r="DK3" s="72" t="s">
        <v>169</v>
      </c>
      <c r="DL3" s="83" t="s">
        <v>13</v>
      </c>
      <c r="DM3" s="84" t="s">
        <v>165</v>
      </c>
      <c r="DN3" s="78" t="s">
        <v>169</v>
      </c>
      <c r="DO3" s="85" t="s">
        <v>13</v>
      </c>
      <c r="DP3" s="82" t="s">
        <v>9</v>
      </c>
      <c r="DQ3" s="82" t="s">
        <v>165</v>
      </c>
      <c r="DR3" s="72" t="s">
        <v>170</v>
      </c>
      <c r="DS3" s="83" t="s">
        <v>13</v>
      </c>
      <c r="DT3" s="84" t="s">
        <v>165</v>
      </c>
      <c r="DU3" s="75" t="s">
        <v>169</v>
      </c>
      <c r="DV3" s="81" t="s">
        <v>13</v>
      </c>
      <c r="DW3" s="82" t="s">
        <v>165</v>
      </c>
      <c r="DX3" s="72" t="s">
        <v>169</v>
      </c>
      <c r="DY3" s="83" t="s">
        <v>165</v>
      </c>
      <c r="DZ3" s="75" t="s">
        <v>15</v>
      </c>
      <c r="EA3" s="81" t="s">
        <v>165</v>
      </c>
      <c r="EB3" s="72" t="s">
        <v>15</v>
      </c>
      <c r="EC3" s="320"/>
    </row>
    <row r="4" spans="1:227">
      <c r="A4" s="29">
        <v>1001</v>
      </c>
      <c r="B4" s="86">
        <v>10131</v>
      </c>
      <c r="C4" s="87" t="s">
        <v>28</v>
      </c>
      <c r="D4" s="88">
        <f>IFERROR(_xlfn.XLOOKUP($A4,CFR20252026_BenchMarkDataReport!B:B,CFR20252026_BenchMarkDataReport!S:S),0)</f>
        <v>0</v>
      </c>
      <c r="E4" s="88">
        <f>IFERROR(_xlfn.XLOOKUP($A4,CFR20252026_BenchMarkDataReport!C:C,CFR20252026_BenchMarkDataReport!T:T),0)</f>
        <v>0</v>
      </c>
      <c r="F4" s="88">
        <f>IFERROR(_xlfn.XLOOKUP($A4,CFR20252026_BenchMarkDataReport!D:D,CFR20252026_BenchMarkDataReport!U:U),0)</f>
        <v>0</v>
      </c>
      <c r="G4" s="88">
        <f>IFERROR(_xlfn.XLOOKUP($A4,CFR20252026_BenchMarkDataReport!E:E,CFR20252026_BenchMarkDataReport!V:V),0)</f>
        <v>0</v>
      </c>
      <c r="H4" s="88">
        <f>IFERROR(_xlfn.XLOOKUP($A4,CFR20252026_BenchMarkDataReport!F:F,CFR20252026_BenchMarkDataReport!W:W),0)</f>
        <v>0</v>
      </c>
      <c r="I4" s="88">
        <f>IFERROR(_xlfn.XLOOKUP($A4,CFR20252026_BenchMarkDataReport!G:G,CFR20252026_BenchMarkDataReport!X:X),0)</f>
        <v>0</v>
      </c>
      <c r="J4" s="88">
        <f>IFERROR(_xlfn.XLOOKUP($A4,CFR20252026_BenchMarkDataReport!H:H,CFR20252026_BenchMarkDataReport!Y:Y),0)</f>
        <v>0</v>
      </c>
      <c r="K4" s="88">
        <f>IFERROR(_xlfn.XLOOKUP($A4,CFR20252026_BenchMarkDataReport!I:I,CFR20252026_BenchMarkDataReport!Z:Z),0)</f>
        <v>0</v>
      </c>
      <c r="L4" s="88">
        <f>IFERROR(_xlfn.XLOOKUP($A4,CFR20252026_BenchMarkDataReport!J:J,CFR20252026_BenchMarkDataReport!AA:AA),0)</f>
        <v>0</v>
      </c>
      <c r="M4" s="88">
        <f>IFERROR(_xlfn.XLOOKUP($A4,CFR20252026_BenchMarkDataReport!K:K,CFR20252026_BenchMarkDataReport!AB:AB),0)</f>
        <v>0</v>
      </c>
      <c r="N4" s="88">
        <f>IFERROR(_xlfn.XLOOKUP($A4,CFR20252026_BenchMarkDataReport!L:L,CFR20252026_BenchMarkDataReport!AC:AC),0)</f>
        <v>0</v>
      </c>
      <c r="O4" s="88">
        <f>IFERROR(_xlfn.XLOOKUP($A4,CFR20252026_BenchMarkDataReport!M:M,CFR20252026_BenchMarkDataReport!AD:AD),0)</f>
        <v>0</v>
      </c>
      <c r="P4" s="88">
        <f>IFERROR(_xlfn.XLOOKUP($A4,CFR20252026_BenchMarkDataReport!N:N,CFR20252026_BenchMarkDataReport!AE:AE),0)</f>
        <v>0</v>
      </c>
      <c r="Q4" s="88">
        <f>IFERROR(_xlfn.XLOOKUP($A4,CFR20252026_BenchMarkDataReport!O:O,CFR20252026_BenchMarkDataReport!AF:AF),0)</f>
        <v>0</v>
      </c>
      <c r="R4" s="88">
        <f>IFERROR(_xlfn.XLOOKUP($A4,CFR20252026_BenchMarkDataReport!P:P,CFR20252026_BenchMarkDataReport!AG:AG),0)</f>
        <v>0</v>
      </c>
      <c r="S4" s="88">
        <f>IFERROR(_xlfn.XLOOKUP($A4,CFR20252026_BenchMarkDataReport!Q:Q,CFR20252026_BenchMarkDataReport!AH:AH),0)</f>
        <v>0</v>
      </c>
      <c r="T4" s="88">
        <f>IFERROR(_xlfn.XLOOKUP($A4,CFR20252026_BenchMarkDataReport!R:R,CFR20252026_BenchMarkDataReport!AI:AI),0)</f>
        <v>0</v>
      </c>
      <c r="U4" s="88">
        <f>IFERROR(_xlfn.XLOOKUP($A4,CFR20252026_BenchMarkDataReport!S:S,CFR20252026_BenchMarkDataReport!AJ:AJ),0)</f>
        <v>0</v>
      </c>
      <c r="V4" s="88">
        <f>IFERROR(_xlfn.XLOOKUP($A4,CFR20252026_BenchMarkDataReport!T:T,CFR20252026_BenchMarkDataReport!AK:AK),0)</f>
        <v>0</v>
      </c>
      <c r="W4" s="88">
        <f>IFERROR(_xlfn.XLOOKUP($A4,CFR20252026_BenchMarkDataReport!U:U,CFR20252026_BenchMarkDataReport!AL:AL),0)</f>
        <v>0</v>
      </c>
      <c r="X4" s="88">
        <f>IFERROR(_xlfn.XLOOKUP($A4,CFR20252026_BenchMarkDataReport!V:V,CFR20252026_BenchMarkDataReport!AM:AM),0)</f>
        <v>0</v>
      </c>
      <c r="Y4" s="88">
        <f>IFERROR(_xlfn.XLOOKUP($A4,CFR20252026_BenchMarkDataReport!W:W,CFR20252026_BenchMarkDataReport!AN:AN),0)</f>
        <v>0</v>
      </c>
      <c r="Z4" s="88">
        <f>IFERROR(_xlfn.XLOOKUP($A4,CFR20252026_BenchMarkDataReport!X:X,CFR20252026_BenchMarkDataReport!AO:AO),0)</f>
        <v>0</v>
      </c>
      <c r="AA4" s="88">
        <f>IFERROR(_xlfn.XLOOKUP($A4,CFR20252026_BenchMarkDataReport!Y:Y,CFR20252026_BenchMarkDataReport!AP:AP),0)</f>
        <v>0</v>
      </c>
      <c r="AB4" s="88">
        <f>IFERROR(_xlfn.XLOOKUP($A4,CFR20252026_BenchMarkDataReport!Z:Z,CFR20252026_BenchMarkDataReport!AQ:AQ),0)</f>
        <v>0</v>
      </c>
      <c r="AC4" s="88">
        <f>IFERROR(_xlfn.XLOOKUP($A4,CFR20252026_BenchMarkDataReport!AA:AA,CFR20252026_BenchMarkDataReport!AR:AR),0)</f>
        <v>0</v>
      </c>
      <c r="AD4" s="88">
        <f>IFERROR(_xlfn.XLOOKUP($A4,CFR20252026_BenchMarkDataReport!AB:AB,CFR20252026_BenchMarkDataReport!AS:AS),0)</f>
        <v>0</v>
      </c>
      <c r="AE4" s="88">
        <f>IFERROR(_xlfn.XLOOKUP($A4,CFR20252026_BenchMarkDataReport!AC:AC,CFR20252026_BenchMarkDataReport!AT:AT),0)</f>
        <v>0</v>
      </c>
      <c r="AF4" s="88">
        <f>IFERROR(_xlfn.XLOOKUP($A4,CFR20252026_BenchMarkDataReport!AD:AD,CFR20252026_BenchMarkDataReport!AU:AU),0)</f>
        <v>0</v>
      </c>
      <c r="AG4" s="88">
        <f>IFERROR(_xlfn.XLOOKUP($A4,CFR20252026_BenchMarkDataReport!AE:AE,CFR20252026_BenchMarkDataReport!AV:AV),0)</f>
        <v>0</v>
      </c>
      <c r="AH4" s="88">
        <f>IFERROR(_xlfn.XLOOKUP($A4,CFR20252026_BenchMarkDataReport!AF:AF,CFR20252026_BenchMarkDataReport!AW:AW),0)</f>
        <v>0</v>
      </c>
      <c r="AI4" s="88">
        <f>IFERROR(_xlfn.XLOOKUP($A4,CFR20252026_BenchMarkDataReport!AG:AG,CFR20252026_BenchMarkDataReport!AX:AX),0)</f>
        <v>0</v>
      </c>
      <c r="AJ4" s="88">
        <f>IFERROR(_xlfn.XLOOKUP($A4,CFR20252026_BenchMarkDataReport!AH:AH,CFR20252026_BenchMarkDataReport!AY:AY),0)</f>
        <v>0</v>
      </c>
      <c r="AK4" s="88">
        <f>IFERROR(_xlfn.XLOOKUP($A4,CFR20252026_BenchMarkDataReport!AI:AI,CFR20252026_BenchMarkDataReport!AZ:AZ),0)</f>
        <v>0</v>
      </c>
      <c r="AL4" s="88">
        <f>IFERROR(_xlfn.XLOOKUP($A4,CFR20252026_BenchMarkDataReport!AJ:AJ,CFR20252026_BenchMarkDataReport!BA:BA),0)</f>
        <v>0</v>
      </c>
      <c r="AM4" s="88">
        <f>IFERROR(_xlfn.XLOOKUP($A4,CFR20252026_BenchMarkDataReport!AK:AK,CFR20252026_BenchMarkDataReport!BB:BB),0)</f>
        <v>0</v>
      </c>
      <c r="AN4" s="88">
        <f>IFERROR(_xlfn.XLOOKUP($A4,CFR20252026_BenchMarkDataReport!AL:AL,CFR20252026_BenchMarkDataReport!BC:BC),0)</f>
        <v>0</v>
      </c>
      <c r="AO4" s="88">
        <f>IFERROR(_xlfn.XLOOKUP($A4,CFR20252026_BenchMarkDataReport!AM:AM,CFR20252026_BenchMarkDataReport!BD:BD),0)</f>
        <v>0</v>
      </c>
      <c r="AP4" s="88">
        <f>IFERROR(_xlfn.XLOOKUP($A4,CFR20252026_BenchMarkDataReport!AN:AN,CFR20252026_BenchMarkDataReport!BE:BE),0)</f>
        <v>0</v>
      </c>
      <c r="AQ4" s="88">
        <f>IFERROR(_xlfn.XLOOKUP($A4,CFR20252026_BenchMarkDataReport!AO:AO,CFR20252026_BenchMarkDataReport!BF:BF),0)</f>
        <v>0</v>
      </c>
      <c r="AR4" s="88">
        <f>IFERROR(_xlfn.XLOOKUP($A4,CFR20252026_BenchMarkDataReport!AP:AP,CFR20252026_BenchMarkDataReport!BG:BG),0)</f>
        <v>0</v>
      </c>
      <c r="AS4" s="88">
        <f>IFERROR(_xlfn.XLOOKUP($A4,CFR20252026_BenchMarkDataReport!AQ:AQ,CFR20252026_BenchMarkDataReport!BH:BH),0)</f>
        <v>0</v>
      </c>
      <c r="AT4" s="88">
        <f>IFERROR(_xlfn.XLOOKUP($A4,CFR20252026_BenchMarkDataReport!AR:AR,CFR20252026_BenchMarkDataReport!BI:BI),0)</f>
        <v>0</v>
      </c>
      <c r="AU4" s="88">
        <f>IFERROR(_xlfn.XLOOKUP($A4,CFR20252026_BenchMarkDataReport!AS:AS,CFR20252026_BenchMarkDataReport!BJ:BJ),0)</f>
        <v>0</v>
      </c>
      <c r="AV4" s="88">
        <f>IFERROR(_xlfn.XLOOKUP($A4,CFR20252026_BenchMarkDataReport!AT:AT,CFR20252026_BenchMarkDataReport!BK:BK),0)</f>
        <v>0</v>
      </c>
      <c r="AW4" s="88">
        <f>IFERROR(_xlfn.XLOOKUP($A4,CFR20252026_BenchMarkDataReport!AU:AU,CFR20252026_BenchMarkDataReport!BL:BL),0)</f>
        <v>0</v>
      </c>
      <c r="AX4" s="88">
        <f>IFERROR(_xlfn.XLOOKUP($A4,CFR20252026_BenchMarkDataReport!AV:AV,CFR20252026_BenchMarkDataReport!BM:BM),0)</f>
        <v>0</v>
      </c>
      <c r="AY4" s="88">
        <f>IFERROR(_xlfn.XLOOKUP($A4,CFR20252026_BenchMarkDataReport!AW:AW,CFR20252026_BenchMarkDataReport!BN:BN),0)</f>
        <v>0</v>
      </c>
      <c r="AZ4" s="88">
        <f>IFERROR(_xlfn.XLOOKUP($A4,CFR20252026_BenchMarkDataReport!AX:AX,CFR20252026_BenchMarkDataReport!BO:BO),0)</f>
        <v>0</v>
      </c>
      <c r="BA4" s="88">
        <f>IFERROR(_xlfn.XLOOKUP($A4,CFR20252026_BenchMarkDataReport!AY:AY,CFR20252026_BenchMarkDataReport!BP:BP),0)</f>
        <v>0</v>
      </c>
      <c r="BB4" s="88">
        <f>IFERROR(_xlfn.XLOOKUP($A4,CFR20252026_BenchMarkDataReport!AZ:AZ,CFR20252026_BenchMarkDataReport!BQ:BQ),0)</f>
        <v>0</v>
      </c>
      <c r="BC4" s="88">
        <f>IFERROR(_xlfn.XLOOKUP($A4,CFR20252026_BenchMarkDataReport!BA:BA,CFR20252026_BenchMarkDataReport!BR:BR),0)</f>
        <v>0</v>
      </c>
      <c r="BD4" s="88">
        <f>IFERROR(_xlfn.XLOOKUP($A4,CFR20252026_BenchMarkDataReport!BB:BB,CFR20252026_BenchMarkDataReport!BS:BS),0)</f>
        <v>0</v>
      </c>
      <c r="BE4" s="88">
        <f>IFERROR(_xlfn.XLOOKUP($A4,CFR20252026_BenchMarkDataReport!BC:BC,CFR20252026_BenchMarkDataReport!BT:BT),0)</f>
        <v>0</v>
      </c>
      <c r="BF4" s="88">
        <f>IFERROR(_xlfn.XLOOKUP($A4,CFR20252026_BenchMarkDataReport!BD:BD,CFR20252026_BenchMarkDataReport!BU:BU),0)</f>
        <v>0</v>
      </c>
      <c r="BG4" s="88">
        <f>IFERROR(_xlfn.XLOOKUP($A4,CFR20252026_BenchMarkDataReport!BE:BE,CFR20252026_BenchMarkDataReport!BV:BV),0)</f>
        <v>0</v>
      </c>
      <c r="BH4" s="89">
        <f t="shared" ref="BH4:BH68" si="0">SUM(D4:R4)</f>
        <v>0</v>
      </c>
      <c r="BI4" s="90">
        <f>SUM(U4:BE4)</f>
        <v>0</v>
      </c>
      <c r="BJ4" s="89">
        <f>BH4-BI4</f>
        <v>0</v>
      </c>
      <c r="BK4" s="88">
        <f>IFERROR(_xlfn.XLOOKUP(A4,CFR20252026_BenchMarkDataReport!$B:$B,CFR20252026_BenchMarkDataReport!P:P)+_xlfn.XLOOKUP(A4,CFR20252026_BenchMarkDataReport!$B:$B,CFR20252026_BenchMarkDataReport!Q:Q),0)</f>
        <v>0</v>
      </c>
      <c r="BL4" s="89">
        <f>SUM(BJ4:BK4)</f>
        <v>0</v>
      </c>
      <c r="BM4" s="91">
        <f>'FEE2 Spring 25 - 26'!K12+'FEE 34 Spring 25 - 26'!K27</f>
        <v>81</v>
      </c>
      <c r="BN4" s="90">
        <f>D4+E4+F4</f>
        <v>0</v>
      </c>
      <c r="BO4" t="s">
        <v>171</v>
      </c>
      <c r="BP4" s="92">
        <f>IFERROR(D4/BH4,0)</f>
        <v>0</v>
      </c>
      <c r="BQ4" s="93">
        <f>IFERROR(D4/BM4,0)</f>
        <v>0</v>
      </c>
      <c r="BR4" s="94">
        <f>IFERROR((E4/BH4),0)</f>
        <v>0</v>
      </c>
      <c r="BS4" s="95">
        <f>IFERROR(E4/BM4,0)</f>
        <v>0</v>
      </c>
      <c r="BT4" s="92">
        <f>IFERROR((F4/BH4),0)</f>
        <v>0</v>
      </c>
      <c r="BU4" s="93">
        <f>IFERROR(F4/BM4,0)</f>
        <v>0</v>
      </c>
      <c r="BV4" s="94">
        <f>IFERROR((G4/BH4),0)</f>
        <v>0</v>
      </c>
      <c r="BW4" s="95">
        <f>IFERROR(G4/BM4,0)</f>
        <v>0</v>
      </c>
      <c r="BX4" s="92">
        <f>IFERROR((H4/BH4),0)</f>
        <v>0</v>
      </c>
      <c r="BY4" s="93">
        <f>IFERROR(H4/BM4,0)</f>
        <v>0</v>
      </c>
      <c r="BZ4" s="94">
        <f>IFERROR(I4/BH4,0)</f>
        <v>0</v>
      </c>
      <c r="CA4" s="95">
        <f>IFERROR(I4/BM4,0)</f>
        <v>0</v>
      </c>
      <c r="CB4" s="92">
        <f>IFERROR(J4/BH4,0)</f>
        <v>0</v>
      </c>
      <c r="CC4" s="93">
        <f>IFERROR(J4/BM4,0)</f>
        <v>0</v>
      </c>
      <c r="CD4" s="94">
        <f>IFERROR((K4+L4)/BH4,0)</f>
        <v>0</v>
      </c>
      <c r="CE4" s="96">
        <f>IFERROR((K4+L4)/BM4,0)</f>
        <v>0</v>
      </c>
      <c r="CF4" s="97">
        <f>IFERROR(P4/BH4,0)</f>
        <v>0</v>
      </c>
      <c r="CG4" s="98">
        <f>IFERROR(P4/BM4,0)</f>
        <v>0</v>
      </c>
      <c r="CH4" s="94">
        <f>IFERROR(Q4/BH4,0)</f>
        <v>0</v>
      </c>
      <c r="CI4" s="95">
        <f>IFERROR((Q4/BM4),0)</f>
        <v>0</v>
      </c>
      <c r="CJ4" s="99">
        <f>IFERROR((U4+V4+AZ4)/BN4,0)</f>
        <v>0</v>
      </c>
      <c r="CK4" s="97">
        <f>IFERROR((U4+V4+AZ4)/BH4,0)</f>
        <v>0</v>
      </c>
      <c r="CL4" s="97">
        <f>IFERROR((U4+V4+AZ4)/BI4,0)</f>
        <v>0</v>
      </c>
      <c r="CM4" s="98">
        <f>IFERROR(((U4+V4+AZ4)/BM4),0)</f>
        <v>0</v>
      </c>
      <c r="CN4" s="94">
        <f>IFERROR(W4/BN4,0)</f>
        <v>0</v>
      </c>
      <c r="CO4" s="100">
        <f>IFERROR(W4/BH4,0)</f>
        <v>0</v>
      </c>
      <c r="CP4" s="100">
        <f>IFERROR(W4/BI4,0)</f>
        <v>0</v>
      </c>
      <c r="CQ4" s="101">
        <f>IFERROR((W4/BM4),0)</f>
        <v>0</v>
      </c>
      <c r="CR4" s="99">
        <f>IFERROR(X4/BN4,0)</f>
        <v>0</v>
      </c>
      <c r="CS4" s="97">
        <f>IFERROR(X4/BH4,0)</f>
        <v>0</v>
      </c>
      <c r="CT4" s="97">
        <f>IFERROR(X4/BI4,0)</f>
        <v>0</v>
      </c>
      <c r="CU4" s="98">
        <f>IFERROR((X4/BM4),0)</f>
        <v>0</v>
      </c>
      <c r="CV4" s="94">
        <f>IFERROR(Y4/BN4,0)</f>
        <v>0</v>
      </c>
      <c r="CW4" s="100">
        <f>IFERROR(Y4/BH4,0)</f>
        <v>0</v>
      </c>
      <c r="CX4" s="100">
        <f>IFERROR(Y4/BI4,0)</f>
        <v>0</v>
      </c>
      <c r="CY4" s="95">
        <f>IFERROR(Y4/BM4,0)</f>
        <v>0</v>
      </c>
      <c r="CZ4" s="99">
        <f>IFERROR((U4+V4+W4+X4+Y4+Z4+AA4)/BN4,0)</f>
        <v>0</v>
      </c>
      <c r="DA4" s="97">
        <f>IFERROR((U4+V4+W4+X4+Y4+Z4+AA4)/BH4,0)</f>
        <v>0</v>
      </c>
      <c r="DB4" s="97">
        <f>IFERROR((U4+V4+W4+X4+Y4+Z4+AA4)/BI4,0)</f>
        <v>0</v>
      </c>
      <c r="DC4" s="98">
        <f>IFERROR(((U4+V4+W4+X4+Y4+Z4+AA4)/BM4),0)</f>
        <v>0</v>
      </c>
      <c r="DD4" s="94">
        <f>IFERROR(AF4/BN4,0)</f>
        <v>0</v>
      </c>
      <c r="DE4" s="100">
        <f>IFERROR(AF4/BI4,0)</f>
        <v>0</v>
      </c>
      <c r="DF4" s="95">
        <f>IFERROR((AF4/BM4),0)</f>
        <v>0</v>
      </c>
      <c r="DG4" s="99">
        <f>IFERROR(AI4/BI4,0)</f>
        <v>0</v>
      </c>
      <c r="DH4" s="98">
        <f>IFERROR((AI4/BM4),0)</f>
        <v>0</v>
      </c>
      <c r="DI4" s="94">
        <f>IFERROR(AJ4/BN4,0)</f>
        <v>0</v>
      </c>
      <c r="DJ4" s="100">
        <f>IFERROR(AJ4/BI4,0)</f>
        <v>0</v>
      </c>
      <c r="DK4" s="95">
        <f>IFERROR((AJ4/BM4),0)</f>
        <v>0</v>
      </c>
      <c r="DL4" s="99">
        <f>IFERROR(AL4/BN4,0)</f>
        <v>0</v>
      </c>
      <c r="DM4" s="97">
        <f>IFERROR(AL4/BI4,0)</f>
        <v>0</v>
      </c>
      <c r="DN4" s="102">
        <f>IFERROR((AL4/BM4),0)</f>
        <v>0</v>
      </c>
      <c r="DO4" s="94">
        <f>IFERROR(AM4/BN4,0)</f>
        <v>0</v>
      </c>
      <c r="DP4" s="100">
        <f>IFERROR(AM4/BH4,0)</f>
        <v>0</v>
      </c>
      <c r="DQ4" s="100">
        <f>IFERROR(AM4/BI4,0)</f>
        <v>0</v>
      </c>
      <c r="DR4" s="95">
        <f>IFERROR((AM4/BM4),0)</f>
        <v>0</v>
      </c>
      <c r="DS4" s="99">
        <f>IFERROR(AV4/BN4,0)</f>
        <v>0</v>
      </c>
      <c r="DT4" s="97">
        <f>IFERROR(AV4/BI4,0)</f>
        <v>0</v>
      </c>
      <c r="DU4" s="98">
        <f>IFERROR((AV4/BM4),0)</f>
        <v>0</v>
      </c>
      <c r="DV4" s="94">
        <f>IFERROR(BA4/BN4,0)</f>
        <v>0</v>
      </c>
      <c r="DW4" s="100">
        <f>IFERROR(BA4/BI4,0)</f>
        <v>0</v>
      </c>
      <c r="DX4" s="95">
        <f>IFERROR(BA4/BM4,0)</f>
        <v>0</v>
      </c>
      <c r="DY4" s="99">
        <f>IFERROR(AY4/BI4,0)</f>
        <v>0</v>
      </c>
      <c r="DZ4" s="98">
        <f>IFERROR((AY4/BM4),0)</f>
        <v>0</v>
      </c>
      <c r="EA4" s="94">
        <f>IFERROR(AH4/BI4,0)</f>
        <v>0</v>
      </c>
      <c r="EB4" s="95">
        <f>IFERROR((AH4/BM4),0)</f>
        <v>0</v>
      </c>
      <c r="EC4" s="103">
        <f>IFERROR(VLOOKUP(A4,PP!$E$3:$S$130,14,0),0)</f>
        <v>0</v>
      </c>
    </row>
    <row r="5" spans="1:227">
      <c r="A5" s="29">
        <v>1003</v>
      </c>
      <c r="B5" s="86">
        <v>10133</v>
      </c>
      <c r="C5" s="87" t="s">
        <v>30</v>
      </c>
      <c r="D5" s="88">
        <f>IFERROR(_xlfn.XLOOKUP($A5,CFR20252026_BenchMarkDataReport!B:B,CFR20252026_BenchMarkDataReport!S:S),0)</f>
        <v>0</v>
      </c>
      <c r="E5" s="88">
        <f>IFERROR(_xlfn.XLOOKUP($A5,CFR20252026_BenchMarkDataReport!C:C,CFR20252026_BenchMarkDataReport!T:T),0)</f>
        <v>0</v>
      </c>
      <c r="F5" s="88">
        <f>IFERROR(_xlfn.XLOOKUP($A5,CFR20252026_BenchMarkDataReport!D:D,CFR20252026_BenchMarkDataReport!U:U),0)</f>
        <v>0</v>
      </c>
      <c r="G5" s="88">
        <f>IFERROR(_xlfn.XLOOKUP($A5,CFR20252026_BenchMarkDataReport!E:E,CFR20252026_BenchMarkDataReport!V:V),0)</f>
        <v>0</v>
      </c>
      <c r="H5" s="88">
        <f>IFERROR(_xlfn.XLOOKUP($A5,CFR20252026_BenchMarkDataReport!F:F,CFR20252026_BenchMarkDataReport!W:W),0)</f>
        <v>0</v>
      </c>
      <c r="I5" s="88">
        <f>IFERROR(_xlfn.XLOOKUP($A5,CFR20252026_BenchMarkDataReport!G:G,CFR20252026_BenchMarkDataReport!X:X),0)</f>
        <v>0</v>
      </c>
      <c r="J5" s="88">
        <f>IFERROR(_xlfn.XLOOKUP($A5,CFR20252026_BenchMarkDataReport!H:H,CFR20252026_BenchMarkDataReport!Y:Y),0)</f>
        <v>0</v>
      </c>
      <c r="K5" s="88">
        <f>IFERROR(_xlfn.XLOOKUP($A5,CFR20252026_BenchMarkDataReport!I:I,CFR20252026_BenchMarkDataReport!Z:Z),0)</f>
        <v>0</v>
      </c>
      <c r="L5" s="88">
        <f>IFERROR(_xlfn.XLOOKUP($A5,CFR20252026_BenchMarkDataReport!J:J,CFR20252026_BenchMarkDataReport!AA:AA),0)</f>
        <v>0</v>
      </c>
      <c r="M5" s="88">
        <f>IFERROR(_xlfn.XLOOKUP($A5,CFR20252026_BenchMarkDataReport!K:K,CFR20252026_BenchMarkDataReport!AB:AB),0)</f>
        <v>0</v>
      </c>
      <c r="N5" s="88">
        <f>IFERROR(_xlfn.XLOOKUP($A5,CFR20252026_BenchMarkDataReport!L:L,CFR20252026_BenchMarkDataReport!AC:AC),0)</f>
        <v>0</v>
      </c>
      <c r="O5" s="88">
        <f>IFERROR(_xlfn.XLOOKUP($A5,CFR20252026_BenchMarkDataReport!M:M,CFR20252026_BenchMarkDataReport!AD:AD),0)</f>
        <v>0</v>
      </c>
      <c r="P5" s="88">
        <f>IFERROR(_xlfn.XLOOKUP($A5,CFR20252026_BenchMarkDataReport!N:N,CFR20252026_BenchMarkDataReport!AE:AE),0)</f>
        <v>0</v>
      </c>
      <c r="Q5" s="88">
        <f>IFERROR(_xlfn.XLOOKUP($A5,CFR20252026_BenchMarkDataReport!O:O,CFR20252026_BenchMarkDataReport!AF:AF),0)</f>
        <v>0</v>
      </c>
      <c r="R5" s="88">
        <f>IFERROR(_xlfn.XLOOKUP($A5,CFR20252026_BenchMarkDataReport!P:P,CFR20252026_BenchMarkDataReport!AG:AG),0)</f>
        <v>0</v>
      </c>
      <c r="S5" s="88">
        <f>IFERROR(_xlfn.XLOOKUP($A5,CFR20252026_BenchMarkDataReport!Q:Q,CFR20252026_BenchMarkDataReport!AH:AH),0)</f>
        <v>0</v>
      </c>
      <c r="T5" s="88">
        <f>IFERROR(_xlfn.XLOOKUP($A5,CFR20252026_BenchMarkDataReport!R:R,CFR20252026_BenchMarkDataReport!AI:AI),0)</f>
        <v>0</v>
      </c>
      <c r="U5" s="88">
        <f>IFERROR(_xlfn.XLOOKUP($A5,CFR20252026_BenchMarkDataReport!S:S,CFR20252026_BenchMarkDataReport!AJ:AJ),0)</f>
        <v>0</v>
      </c>
      <c r="V5" s="88">
        <f>IFERROR(_xlfn.XLOOKUP($A5,CFR20252026_BenchMarkDataReport!T:T,CFR20252026_BenchMarkDataReport!AK:AK),0)</f>
        <v>0</v>
      </c>
      <c r="W5" s="88">
        <f>IFERROR(_xlfn.XLOOKUP($A5,CFR20252026_BenchMarkDataReport!U:U,CFR20252026_BenchMarkDataReport!AL:AL),0)</f>
        <v>0</v>
      </c>
      <c r="X5" s="88">
        <f>IFERROR(_xlfn.XLOOKUP($A5,CFR20252026_BenchMarkDataReport!V:V,CFR20252026_BenchMarkDataReport!AM:AM),0)</f>
        <v>0</v>
      </c>
      <c r="Y5" s="88">
        <f>IFERROR(_xlfn.XLOOKUP($A5,CFR20252026_BenchMarkDataReport!W:W,CFR20252026_BenchMarkDataReport!AN:AN),0)</f>
        <v>0</v>
      </c>
      <c r="Z5" s="88">
        <f>IFERROR(_xlfn.XLOOKUP($A5,CFR20252026_BenchMarkDataReport!X:X,CFR20252026_BenchMarkDataReport!AO:AO),0)</f>
        <v>0</v>
      </c>
      <c r="AA5" s="88">
        <f>IFERROR(_xlfn.XLOOKUP($A5,CFR20252026_BenchMarkDataReport!Y:Y,CFR20252026_BenchMarkDataReport!AP:AP),0)</f>
        <v>0</v>
      </c>
      <c r="AB5" s="88">
        <f>IFERROR(_xlfn.XLOOKUP($A5,CFR20252026_BenchMarkDataReport!Z:Z,CFR20252026_BenchMarkDataReport!AQ:AQ),0)</f>
        <v>0</v>
      </c>
      <c r="AC5" s="88">
        <f>IFERROR(_xlfn.XLOOKUP($A5,CFR20252026_BenchMarkDataReport!AA:AA,CFR20252026_BenchMarkDataReport!AR:AR),0)</f>
        <v>0</v>
      </c>
      <c r="AD5" s="88">
        <f>IFERROR(_xlfn.XLOOKUP($A5,CFR20252026_BenchMarkDataReport!AB:AB,CFR20252026_BenchMarkDataReport!AS:AS),0)</f>
        <v>0</v>
      </c>
      <c r="AE5" s="88">
        <f>IFERROR(_xlfn.XLOOKUP($A5,CFR20252026_BenchMarkDataReport!AC:AC,CFR20252026_BenchMarkDataReport!AT:AT),0)</f>
        <v>0</v>
      </c>
      <c r="AF5" s="88">
        <f>IFERROR(_xlfn.XLOOKUP($A5,CFR20252026_BenchMarkDataReport!AD:AD,CFR20252026_BenchMarkDataReport!AU:AU),0)</f>
        <v>0</v>
      </c>
      <c r="AG5" s="88">
        <f>IFERROR(_xlfn.XLOOKUP($A5,CFR20252026_BenchMarkDataReport!AE:AE,CFR20252026_BenchMarkDataReport!AV:AV),0)</f>
        <v>0</v>
      </c>
      <c r="AH5" s="88">
        <f>IFERROR(_xlfn.XLOOKUP($A5,CFR20252026_BenchMarkDataReport!AF:AF,CFR20252026_BenchMarkDataReport!AW:AW),0)</f>
        <v>0</v>
      </c>
      <c r="AI5" s="88">
        <f>IFERROR(_xlfn.XLOOKUP($A5,CFR20252026_BenchMarkDataReport!AG:AG,CFR20252026_BenchMarkDataReport!AX:AX),0)</f>
        <v>0</v>
      </c>
      <c r="AJ5" s="88">
        <f>IFERROR(_xlfn.XLOOKUP($A5,CFR20252026_BenchMarkDataReport!AH:AH,CFR20252026_BenchMarkDataReport!AY:AY),0)</f>
        <v>0</v>
      </c>
      <c r="AK5" s="88">
        <f>IFERROR(_xlfn.XLOOKUP($A5,CFR20252026_BenchMarkDataReport!AI:AI,CFR20252026_BenchMarkDataReport!AZ:AZ),0)</f>
        <v>0</v>
      </c>
      <c r="AL5" s="88">
        <f>IFERROR(_xlfn.XLOOKUP($A5,CFR20252026_BenchMarkDataReport!AJ:AJ,CFR20252026_BenchMarkDataReport!BA:BA),0)</f>
        <v>0</v>
      </c>
      <c r="AM5" s="88">
        <f>IFERROR(_xlfn.XLOOKUP($A5,CFR20252026_BenchMarkDataReport!AK:AK,CFR20252026_BenchMarkDataReport!BB:BB),0)</f>
        <v>0</v>
      </c>
      <c r="AN5" s="88">
        <f>IFERROR(_xlfn.XLOOKUP($A5,CFR20252026_BenchMarkDataReport!AL:AL,CFR20252026_BenchMarkDataReport!BC:BC),0)</f>
        <v>0</v>
      </c>
      <c r="AO5" s="88">
        <f>IFERROR(_xlfn.XLOOKUP($A5,CFR20252026_BenchMarkDataReport!AM:AM,CFR20252026_BenchMarkDataReport!BD:BD),0)</f>
        <v>0</v>
      </c>
      <c r="AP5" s="88">
        <f>IFERROR(_xlfn.XLOOKUP($A5,CFR20252026_BenchMarkDataReport!AN:AN,CFR20252026_BenchMarkDataReport!BE:BE),0)</f>
        <v>0</v>
      </c>
      <c r="AQ5" s="88">
        <f>IFERROR(_xlfn.XLOOKUP($A5,CFR20252026_BenchMarkDataReport!AO:AO,CFR20252026_BenchMarkDataReport!BF:BF),0)</f>
        <v>0</v>
      </c>
      <c r="AR5" s="88">
        <f>IFERROR(_xlfn.XLOOKUP($A5,CFR20252026_BenchMarkDataReport!AP:AP,CFR20252026_BenchMarkDataReport!BG:BG),0)</f>
        <v>0</v>
      </c>
      <c r="AS5" s="88">
        <f>IFERROR(_xlfn.XLOOKUP($A5,CFR20252026_BenchMarkDataReport!AQ:AQ,CFR20252026_BenchMarkDataReport!BH:BH),0)</f>
        <v>0</v>
      </c>
      <c r="AT5" s="88">
        <f>IFERROR(_xlfn.XLOOKUP($A5,CFR20252026_BenchMarkDataReport!AR:AR,CFR20252026_BenchMarkDataReport!BI:BI),0)</f>
        <v>0</v>
      </c>
      <c r="AU5" s="88">
        <f>IFERROR(_xlfn.XLOOKUP($A5,CFR20252026_BenchMarkDataReport!AS:AS,CFR20252026_BenchMarkDataReport!BJ:BJ),0)</f>
        <v>0</v>
      </c>
      <c r="AV5" s="88">
        <f>IFERROR(_xlfn.XLOOKUP($A5,CFR20252026_BenchMarkDataReport!AT:AT,CFR20252026_BenchMarkDataReport!BK:BK),0)</f>
        <v>0</v>
      </c>
      <c r="AW5" s="88">
        <f>IFERROR(_xlfn.XLOOKUP($A5,CFR20252026_BenchMarkDataReport!AU:AU,CFR20252026_BenchMarkDataReport!BL:BL),0)</f>
        <v>0</v>
      </c>
      <c r="AX5" s="88">
        <f>IFERROR(_xlfn.XLOOKUP($A5,CFR20252026_BenchMarkDataReport!AV:AV,CFR20252026_BenchMarkDataReport!BM:BM),0)</f>
        <v>0</v>
      </c>
      <c r="AY5" s="88">
        <f>IFERROR(_xlfn.XLOOKUP($A5,CFR20252026_BenchMarkDataReport!AW:AW,CFR20252026_BenchMarkDataReport!BN:BN),0)</f>
        <v>0</v>
      </c>
      <c r="AZ5" s="88">
        <f>IFERROR(_xlfn.XLOOKUP($A5,CFR20252026_BenchMarkDataReport!AX:AX,CFR20252026_BenchMarkDataReport!BO:BO),0)</f>
        <v>0</v>
      </c>
      <c r="BA5" s="88">
        <f>IFERROR(_xlfn.XLOOKUP($A5,CFR20252026_BenchMarkDataReport!AY:AY,CFR20252026_BenchMarkDataReport!BP:BP),0)</f>
        <v>0</v>
      </c>
      <c r="BB5" s="88">
        <f>IFERROR(_xlfn.XLOOKUP($A5,CFR20252026_BenchMarkDataReport!AZ:AZ,CFR20252026_BenchMarkDataReport!BQ:BQ),0)</f>
        <v>0</v>
      </c>
      <c r="BC5" s="88">
        <f>IFERROR(_xlfn.XLOOKUP($A5,CFR20252026_BenchMarkDataReport!BA:BA,CFR20252026_BenchMarkDataReport!BR:BR),0)</f>
        <v>0</v>
      </c>
      <c r="BD5" s="88">
        <f>IFERROR(_xlfn.XLOOKUP($A5,CFR20252026_BenchMarkDataReport!BB:BB,CFR20252026_BenchMarkDataReport!BS:BS),0)</f>
        <v>0</v>
      </c>
      <c r="BE5" s="88">
        <f>IFERROR(_xlfn.XLOOKUP($A5,CFR20252026_BenchMarkDataReport!BC:BC,CFR20252026_BenchMarkDataReport!BT:BT),0)</f>
        <v>0</v>
      </c>
      <c r="BF5" s="88">
        <f>IFERROR(_xlfn.XLOOKUP($A5,CFR20252026_BenchMarkDataReport!BD:BD,CFR20252026_BenchMarkDataReport!BU:BU),0)</f>
        <v>0</v>
      </c>
      <c r="BG5" s="88">
        <f>IFERROR(_xlfn.XLOOKUP($A5,CFR20252026_BenchMarkDataReport!BE:BE,CFR20252026_BenchMarkDataReport!BV:BV),0)</f>
        <v>0</v>
      </c>
      <c r="BH5" s="89">
        <f t="shared" si="0"/>
        <v>0</v>
      </c>
      <c r="BI5" s="90">
        <f>SUM(U5:BE5)</f>
        <v>0</v>
      </c>
      <c r="BJ5" s="89">
        <f>BH5-BI5</f>
        <v>0</v>
      </c>
      <c r="BK5" s="88">
        <f>IFERROR(_xlfn.XLOOKUP(A5,CFR20252026_BenchMarkDataReport!$B:$B,CFR20252026_BenchMarkDataReport!P:P)+_xlfn.XLOOKUP(A5,CFR20252026_BenchMarkDataReport!$B:$B,CFR20252026_BenchMarkDataReport!Q:Q),0)</f>
        <v>0</v>
      </c>
      <c r="BL5" s="89">
        <f t="shared" ref="BL5:BL66" si="1">SUM(BJ5:BK5)</f>
        <v>0</v>
      </c>
      <c r="BM5" s="91">
        <f>'FEE2 Spring 25 - 26'!K28+'FEE 34 Spring 25 - 26'!K58</f>
        <v>96</v>
      </c>
      <c r="BN5" s="90">
        <f>D5+E5+F5</f>
        <v>0</v>
      </c>
      <c r="BO5" t="s">
        <v>171</v>
      </c>
      <c r="BP5" s="92">
        <f>IFERROR(D5/BH5,0)</f>
        <v>0</v>
      </c>
      <c r="BQ5" s="93">
        <f>IFERROR(D5/BM5,0)</f>
        <v>0</v>
      </c>
      <c r="BR5" s="94">
        <f>IFERROR((E5/BH5),0)</f>
        <v>0</v>
      </c>
      <c r="BS5" s="95">
        <f>IFERROR(E5/BM5,0)</f>
        <v>0</v>
      </c>
      <c r="BT5" s="92">
        <f>IFERROR((F5/BH5),0)</f>
        <v>0</v>
      </c>
      <c r="BU5" s="93">
        <f>IFERROR(F5/BM5,0)</f>
        <v>0</v>
      </c>
      <c r="BV5" s="94">
        <f>IFERROR((G5/BH5),0)</f>
        <v>0</v>
      </c>
      <c r="BW5" s="95">
        <f>IFERROR(G5/BM5,0)</f>
        <v>0</v>
      </c>
      <c r="BX5" s="92">
        <f>IFERROR((H5/BH5),0)</f>
        <v>0</v>
      </c>
      <c r="BY5" s="93">
        <f>IFERROR(H5/BM5,0)</f>
        <v>0</v>
      </c>
      <c r="BZ5" s="94">
        <f>IFERROR(I5/BH5,0)</f>
        <v>0</v>
      </c>
      <c r="CA5" s="95">
        <f>IFERROR(I5/BM5,0)</f>
        <v>0</v>
      </c>
      <c r="CB5" s="92">
        <f>IFERROR(J5/BH5,0)</f>
        <v>0</v>
      </c>
      <c r="CC5" s="93">
        <f>IFERROR(J5/BM5,0)</f>
        <v>0</v>
      </c>
      <c r="CD5" s="94">
        <f>IFERROR((K5+L5)/BH5,0)</f>
        <v>0</v>
      </c>
      <c r="CE5" s="96">
        <f>IFERROR((K5+L5)/BM5,0)</f>
        <v>0</v>
      </c>
      <c r="CF5" s="97">
        <f>IFERROR(P5/BH5,0)</f>
        <v>0</v>
      </c>
      <c r="CG5" s="98">
        <f>IFERROR(P5/BM5,0)</f>
        <v>0</v>
      </c>
      <c r="CH5" s="94">
        <f>IFERROR(Q5/BH5,0)</f>
        <v>0</v>
      </c>
      <c r="CI5" s="95">
        <f>IFERROR((Q5/BM5),0)</f>
        <v>0</v>
      </c>
      <c r="CJ5" s="99">
        <f>IFERROR((U5+V5+AZ5)/BN5,0)</f>
        <v>0</v>
      </c>
      <c r="CK5" s="97">
        <f>IFERROR((U5+V5+AZ5)/BH5,0)</f>
        <v>0</v>
      </c>
      <c r="CL5" s="97">
        <f>IFERROR((U5+V5+AZ5)/BI5,0)</f>
        <v>0</v>
      </c>
      <c r="CM5" s="98">
        <f t="shared" ref="CM5:CM7" si="2">IFERROR(((U5+V5+AZ5)/BM5),0)</f>
        <v>0</v>
      </c>
      <c r="CN5" s="94">
        <f>IFERROR(W5/BN5,0)</f>
        <v>0</v>
      </c>
      <c r="CO5" s="100">
        <f>IFERROR(W5/BH5,0)</f>
        <v>0</v>
      </c>
      <c r="CP5" s="100">
        <f>IFERROR(W5/BI5,0)</f>
        <v>0</v>
      </c>
      <c r="CQ5" s="101">
        <f t="shared" ref="CQ5:CQ7" si="3">IFERROR((W5/BM5),0)</f>
        <v>0</v>
      </c>
      <c r="CR5" s="99">
        <f>IFERROR(X5/BN5,0)</f>
        <v>0</v>
      </c>
      <c r="CS5" s="97">
        <f>IFERROR(X5/BH5,0)</f>
        <v>0</v>
      </c>
      <c r="CT5" s="97">
        <f>IFERROR(X5/BI5,0)</f>
        <v>0</v>
      </c>
      <c r="CU5" s="98">
        <f t="shared" ref="CU5:CU7" si="4">IFERROR((X5/BM5),0)</f>
        <v>0</v>
      </c>
      <c r="CV5" s="94">
        <f>IFERROR(Y5/BN5,0)</f>
        <v>0</v>
      </c>
      <c r="CW5" s="100">
        <f>IFERROR(Y5/BH5,0)</f>
        <v>0</v>
      </c>
      <c r="CX5" s="100">
        <f>IFERROR(Y5/BI5,0)</f>
        <v>0</v>
      </c>
      <c r="CY5" s="95">
        <f t="shared" ref="CY5:CY7" si="5">IFERROR(Y5/BM5,0)</f>
        <v>0</v>
      </c>
      <c r="CZ5" s="99">
        <f>IFERROR((U5+V5+W5+X5+Y5+Z5+AA5)/BN5,0)</f>
        <v>0</v>
      </c>
      <c r="DA5" s="97">
        <f>IFERROR((U5+V5+W5+X5+Y5+Z5+AA5)/BH5,0)</f>
        <v>0</v>
      </c>
      <c r="DB5" s="97">
        <f>IFERROR((U5+V5+W5+X5+Y5+Z5+AA5)/BI5,0)</f>
        <v>0</v>
      </c>
      <c r="DC5" s="98">
        <f t="shared" ref="DC5:DC7" si="6">IFERROR(((U5+V5+W5+X5+Y5+Z5+AA5)/BM5),0)</f>
        <v>0</v>
      </c>
      <c r="DD5" s="94">
        <f>IFERROR(AF5/BN5,0)</f>
        <v>0</v>
      </c>
      <c r="DE5" s="100">
        <f>IFERROR(AF5/BI5,0)</f>
        <v>0</v>
      </c>
      <c r="DF5" s="95">
        <f t="shared" ref="DF5:DF7" si="7">IFERROR((AF5/BM5),0)</f>
        <v>0</v>
      </c>
      <c r="DG5" s="99">
        <f>IFERROR(AI5/BI5,0)</f>
        <v>0</v>
      </c>
      <c r="DH5" s="98">
        <f t="shared" ref="DH5:DH7" si="8">IFERROR((AI5/BM5),0)</f>
        <v>0</v>
      </c>
      <c r="DI5" s="94">
        <f>IFERROR(AJ5/BN5,0)</f>
        <v>0</v>
      </c>
      <c r="DJ5" s="100">
        <f>IFERROR(AJ5/BI5,0)</f>
        <v>0</v>
      </c>
      <c r="DK5" s="95">
        <f t="shared" ref="DK5:DK7" si="9">IFERROR((AJ5/BM5),0)</f>
        <v>0</v>
      </c>
      <c r="DL5" s="99">
        <f>IFERROR(AL5/BN5,0)</f>
        <v>0</v>
      </c>
      <c r="DM5" s="97">
        <f>IFERROR(AL5/BI5,0)</f>
        <v>0</v>
      </c>
      <c r="DN5" s="102">
        <f>IFERROR((AL5/BM5),0)</f>
        <v>0</v>
      </c>
      <c r="DO5" s="94">
        <f>IFERROR(AM5/BN5,0)</f>
        <v>0</v>
      </c>
      <c r="DP5" s="100">
        <f>IFERROR(AM5/BH5,0)</f>
        <v>0</v>
      </c>
      <c r="DQ5" s="100">
        <f>IFERROR(AM5/BI5,0)</f>
        <v>0</v>
      </c>
      <c r="DR5" s="95">
        <f t="shared" ref="DR5:DR7" si="10">IFERROR((AM5/BM5),0)</f>
        <v>0</v>
      </c>
      <c r="DS5" s="99">
        <f>IFERROR(AV5/BN5,0)</f>
        <v>0</v>
      </c>
      <c r="DT5" s="97">
        <f>IFERROR(AV5/BI5,0)</f>
        <v>0</v>
      </c>
      <c r="DU5" s="98">
        <f t="shared" ref="DU5:DU7" si="11">IFERROR((AV5/BM5),0)</f>
        <v>0</v>
      </c>
      <c r="DV5" s="94">
        <f>IFERROR(BA5/BN5,0)</f>
        <v>0</v>
      </c>
      <c r="DW5" s="100">
        <f>IFERROR(BA5/BI5,0)</f>
        <v>0</v>
      </c>
      <c r="DX5" s="95">
        <f t="shared" ref="DX5:DX7" si="12">IFERROR(BA5/BM5,0)</f>
        <v>0</v>
      </c>
      <c r="DY5" s="99">
        <f>IFERROR(AY5/BI5,0)</f>
        <v>0</v>
      </c>
      <c r="DZ5" s="98">
        <f t="shared" ref="DZ5:DZ7" si="13">IFERROR((AY5/BM5),0)</f>
        <v>0</v>
      </c>
      <c r="EA5" s="94">
        <f t="shared" ref="EA5:EA66" si="14">IFERROR(AH5/BI5,0)</f>
        <v>0</v>
      </c>
      <c r="EB5" s="95">
        <f t="shared" ref="EB5:EB7" si="15">IFERROR((AH5/BM5),0)</f>
        <v>0</v>
      </c>
      <c r="EC5" s="103">
        <f>IFERROR(VLOOKUP(A5,PP!$E$3:$S$130,14,0),0)</f>
        <v>0</v>
      </c>
    </row>
    <row r="6" spans="1:227">
      <c r="A6" s="11">
        <v>1000</v>
      </c>
      <c r="B6" s="86">
        <v>10135</v>
      </c>
      <c r="C6" s="104" t="s">
        <v>350</v>
      </c>
      <c r="D6" s="88">
        <f>IFERROR(_xlfn.XLOOKUP($A6,CFR20252026_BenchMarkDataReport!B:B,CFR20252026_BenchMarkDataReport!S:S),0)</f>
        <v>2310939.7200000002</v>
      </c>
      <c r="E6" s="88">
        <f>IFERROR(_xlfn.XLOOKUP($A6,CFR20252026_BenchMarkDataReport!$B:$B,CFR20252026_BenchMarkDataReport!T:T),0)</f>
        <v>0</v>
      </c>
      <c r="F6" s="88">
        <f>IFERROR(_xlfn.XLOOKUP($A6,CFR20252026_BenchMarkDataReport!$B:$B,CFR20252026_BenchMarkDataReport!U:U),0)</f>
        <v>86998.1</v>
      </c>
      <c r="G6" s="88">
        <f>IFERROR(_xlfn.XLOOKUP($A6,CFR20252026_BenchMarkDataReport!$B:$B,CFR20252026_BenchMarkDataReport!V:V),0)</f>
        <v>0</v>
      </c>
      <c r="H6" s="88">
        <f>IFERROR(_xlfn.XLOOKUP($A6,CFR20252026_BenchMarkDataReport!$B:$B,CFR20252026_BenchMarkDataReport!W:W),0)</f>
        <v>0</v>
      </c>
      <c r="I6" s="88">
        <f>IFERROR(_xlfn.XLOOKUP($A6,CFR20252026_BenchMarkDataReport!$B:$B,CFR20252026_BenchMarkDataReport!X:X),0)</f>
        <v>0</v>
      </c>
      <c r="J6" s="88">
        <f>IFERROR(_xlfn.XLOOKUP($A6,CFR20252026_BenchMarkDataReport!$B:$B,CFR20252026_BenchMarkDataReport!Y:Y),0)</f>
        <v>22956.3</v>
      </c>
      <c r="K6" s="88">
        <f>IFERROR(_xlfn.XLOOKUP($A6,CFR20252026_BenchMarkDataReport!$B:$B,CFR20252026_BenchMarkDataReport!Z:Z),0)</f>
        <v>21200</v>
      </c>
      <c r="L6" s="88">
        <f>IFERROR(_xlfn.XLOOKUP($A6,CFR20252026_BenchMarkDataReport!$B:$B,CFR20252026_BenchMarkDataReport!AA:AA),0)</f>
        <v>6036.04</v>
      </c>
      <c r="M6" s="88">
        <f>IFERROR(_xlfn.XLOOKUP($A6,CFR20252026_BenchMarkDataReport!$B:$B,CFR20252026_BenchMarkDataReport!AB:AB),0)</f>
        <v>0</v>
      </c>
      <c r="N6" s="88">
        <f>IFERROR(_xlfn.XLOOKUP($A6,CFR20252026_BenchMarkDataReport!$B:$B,CFR20252026_BenchMarkDataReport!AC:AC),0)</f>
        <v>0</v>
      </c>
      <c r="O6" s="88">
        <f>IFERROR(_xlfn.XLOOKUP($A6,CFR20252026_BenchMarkDataReport!$B:$B,CFR20252026_BenchMarkDataReport!AD:AD),0)</f>
        <v>0</v>
      </c>
      <c r="P6" s="88">
        <f>IFERROR(_xlfn.XLOOKUP($A6,CFR20252026_BenchMarkDataReport!$B:$B,CFR20252026_BenchMarkDataReport!AE:AE),0)</f>
        <v>528666.62</v>
      </c>
      <c r="Q6" s="88">
        <f>IFERROR(_xlfn.XLOOKUP($A6,CFR20252026_BenchMarkDataReport!$B:$B,CFR20252026_BenchMarkDataReport!AF:AF),0)</f>
        <v>7778.18</v>
      </c>
      <c r="R6" s="88">
        <f>IFERROR(_xlfn.XLOOKUP($A6,CFR20252026_BenchMarkDataReport!$B:$B,CFR20252026_BenchMarkDataReport!AG:AG),0)</f>
        <v>0</v>
      </c>
      <c r="S6" s="88">
        <f>IFERROR(_xlfn.XLOOKUP($A6,CFR20252026_BenchMarkDataReport!$B:$B,CFR20252026_BenchMarkDataReport!AH:AH),0)</f>
        <v>164223</v>
      </c>
      <c r="T6" s="88">
        <f>IFERROR(_xlfn.XLOOKUP($A6,CFR20252026_BenchMarkDataReport!$B:$B,CFR20252026_BenchMarkDataReport!AI:AI),0)</f>
        <v>0</v>
      </c>
      <c r="U6" s="88">
        <f>IFERROR(_xlfn.XLOOKUP($A6,CFR20252026_BenchMarkDataReport!$B:$B,CFR20252026_BenchMarkDataReport!AJ:AJ),0)</f>
        <v>476044.5</v>
      </c>
      <c r="V6" s="88">
        <f>IFERROR(_xlfn.XLOOKUP($A6,CFR20252026_BenchMarkDataReport!$B:$B,CFR20252026_BenchMarkDataReport!AK:AK),0)</f>
        <v>0</v>
      </c>
      <c r="W6" s="88">
        <f>IFERROR(_xlfn.XLOOKUP($A6,CFR20252026_BenchMarkDataReport!$B:$B,CFR20252026_BenchMarkDataReport!AL:AL),0)</f>
        <v>1623527.76</v>
      </c>
      <c r="X6" s="88">
        <f>IFERROR(_xlfn.XLOOKUP($A6,CFR20252026_BenchMarkDataReport!$B:$B,CFR20252026_BenchMarkDataReport!AM:AM),0)</f>
        <v>78653.460000000006</v>
      </c>
      <c r="Y6" s="88">
        <f>IFERROR(_xlfn.XLOOKUP($A6,CFR20252026_BenchMarkDataReport!$B:$B,CFR20252026_BenchMarkDataReport!AN:AN),0)</f>
        <v>143420.84</v>
      </c>
      <c r="Z6" s="88">
        <f>IFERROR(_xlfn.XLOOKUP($A6,CFR20252026_BenchMarkDataReport!$B:$B,CFR20252026_BenchMarkDataReport!AO:AO),0)</f>
        <v>0</v>
      </c>
      <c r="AA6" s="88">
        <f>IFERROR(_xlfn.XLOOKUP($A6,CFR20252026_BenchMarkDataReport!$B:$B,CFR20252026_BenchMarkDataReport!AP:AP),0)</f>
        <v>59910.31</v>
      </c>
      <c r="AB6" s="88">
        <f>IFERROR(_xlfn.XLOOKUP($A6,CFR20252026_BenchMarkDataReport!$B:$B,CFR20252026_BenchMarkDataReport!AQ:AQ),0)</f>
        <v>53143.14</v>
      </c>
      <c r="AC6" s="88">
        <f>IFERROR(_xlfn.XLOOKUP($A6,CFR20252026_BenchMarkDataReport!$B:$B,CFR20252026_BenchMarkDataReport!AR:AR),0)</f>
        <v>9582.94</v>
      </c>
      <c r="AD6" s="88">
        <f>IFERROR(_xlfn.XLOOKUP($A6,CFR20252026_BenchMarkDataReport!$B:$B,CFR20252026_BenchMarkDataReport!AS:AS),0)</f>
        <v>0</v>
      </c>
      <c r="AE6" s="88">
        <f>IFERROR(_xlfn.XLOOKUP($A6,CFR20252026_BenchMarkDataReport!$B:$B,CFR20252026_BenchMarkDataReport!AT:AT),0)</f>
        <v>0</v>
      </c>
      <c r="AF6" s="88">
        <f>IFERROR(_xlfn.XLOOKUP($A6,CFR20252026_BenchMarkDataReport!$B:$B,CFR20252026_BenchMarkDataReport!AU:AU),0)</f>
        <v>37771.56</v>
      </c>
      <c r="AG6" s="88">
        <f>IFERROR(_xlfn.XLOOKUP($A6,CFR20252026_BenchMarkDataReport!$B:$B,CFR20252026_BenchMarkDataReport!AV:AV),0)</f>
        <v>8475.82</v>
      </c>
      <c r="AH6" s="88">
        <f>IFERROR(_xlfn.XLOOKUP($A6,CFR20252026_BenchMarkDataReport!$B:$B,CFR20252026_BenchMarkDataReport!AW:AW),0)</f>
        <v>7340.6</v>
      </c>
      <c r="AI6" s="88">
        <f>IFERROR(_xlfn.XLOOKUP($A6,CFR20252026_BenchMarkDataReport!$B:$B,CFR20252026_BenchMarkDataReport!AX:AX),0)</f>
        <v>6151.36</v>
      </c>
      <c r="AJ6" s="88">
        <f>IFERROR(_xlfn.XLOOKUP($A6,CFR20252026_BenchMarkDataReport!$B:$B,CFR20252026_BenchMarkDataReport!AY:AY),0)</f>
        <v>26678.959999999999</v>
      </c>
      <c r="AK6" s="88">
        <f>IFERROR(_xlfn.XLOOKUP($A6,CFR20252026_BenchMarkDataReport!$B:$B,CFR20252026_BenchMarkDataReport!AZ:AZ),0)</f>
        <v>98255.35</v>
      </c>
      <c r="AL6" s="88">
        <f>IFERROR(_xlfn.XLOOKUP($A6,CFR20252026_BenchMarkDataReport!$B:$B,CFR20252026_BenchMarkDataReport!BA:BA),0)</f>
        <v>19159.18</v>
      </c>
      <c r="AM6" s="88">
        <f>IFERROR(_xlfn.XLOOKUP($A6,CFR20252026_BenchMarkDataReport!$B:$B,CFR20252026_BenchMarkDataReport!BB:BB),0)</f>
        <v>41828.239999999998</v>
      </c>
      <c r="AN6" s="88">
        <f>IFERROR(_xlfn.XLOOKUP($A6,CFR20252026_BenchMarkDataReport!$B:$B,CFR20252026_BenchMarkDataReport!BC:BC),0)</f>
        <v>12968.5</v>
      </c>
      <c r="AO6" s="88">
        <f>IFERROR(_xlfn.XLOOKUP($A6,CFR20252026_BenchMarkDataReport!$B:$B,CFR20252026_BenchMarkDataReport!BD:BD),0)</f>
        <v>0</v>
      </c>
      <c r="AP6" s="88">
        <f>IFERROR(_xlfn.XLOOKUP($A6,CFR20252026_BenchMarkDataReport!$B:$B,CFR20252026_BenchMarkDataReport!BE:BE),0)</f>
        <v>0</v>
      </c>
      <c r="AQ6" s="88">
        <f>IFERROR(_xlfn.XLOOKUP($A6,CFR20252026_BenchMarkDataReport!$B:$B,CFR20252026_BenchMarkDataReport!BF:BF),0)</f>
        <v>20694.02</v>
      </c>
      <c r="AR6" s="88">
        <f>IFERROR(_xlfn.XLOOKUP($A6,CFR20252026_BenchMarkDataReport!$B:$B,CFR20252026_BenchMarkDataReport!BG:BG),0)</f>
        <v>0</v>
      </c>
      <c r="AS6" s="88">
        <f>IFERROR(_xlfn.XLOOKUP($A6,CFR20252026_BenchMarkDataReport!$B:$B,CFR20252026_BenchMarkDataReport!BH:BH),0)</f>
        <v>164.16</v>
      </c>
      <c r="AT6" s="88">
        <f>IFERROR(_xlfn.XLOOKUP($A6,CFR20252026_BenchMarkDataReport!$B:$B,CFR20252026_BenchMarkDataReport!BI:BI),0)</f>
        <v>7503.16</v>
      </c>
      <c r="AU6" s="88">
        <f>IFERROR(_xlfn.XLOOKUP($A6,CFR20252026_BenchMarkDataReport!$B:$B,CFR20252026_BenchMarkDataReport!BJ:BJ),0)</f>
        <v>0</v>
      </c>
      <c r="AV6" s="88">
        <f>IFERROR(_xlfn.XLOOKUP($A6,CFR20252026_BenchMarkDataReport!$B:$B,CFR20252026_BenchMarkDataReport!BK:BK),0)</f>
        <v>17455.939999999999</v>
      </c>
      <c r="AW6" s="88">
        <f>IFERROR(_xlfn.XLOOKUP($A6,CFR20252026_BenchMarkDataReport!$B:$B,CFR20252026_BenchMarkDataReport!BL:BL),0)</f>
        <v>1930.5</v>
      </c>
      <c r="AX6" s="88">
        <f>IFERROR(_xlfn.XLOOKUP($A6,CFR20252026_BenchMarkDataReport!$B:$B,CFR20252026_BenchMarkDataReport!BM:BM),0)</f>
        <v>0</v>
      </c>
      <c r="AY6" s="88">
        <f>IFERROR(_xlfn.XLOOKUP($A6,CFR20252026_BenchMarkDataReport!$B:$B,CFR20252026_BenchMarkDataReport!BN:BN),0)</f>
        <v>8061.66</v>
      </c>
      <c r="AZ6" s="88">
        <f>IFERROR(_xlfn.XLOOKUP($A6,CFR20252026_BenchMarkDataReport!$B:$B,CFR20252026_BenchMarkDataReport!BO:BO),0)</f>
        <v>0</v>
      </c>
      <c r="BA6" s="88">
        <f>IFERROR(_xlfn.XLOOKUP($A6,CFR20252026_BenchMarkDataReport!$B:$B,CFR20252026_BenchMarkDataReport!BP:BP),0)</f>
        <v>9936</v>
      </c>
      <c r="BB6" s="88">
        <f>IFERROR(_xlfn.XLOOKUP($A6,CFR20252026_BenchMarkDataReport!$B:$B,CFR20252026_BenchMarkDataReport!BQ:BQ),0)</f>
        <v>51795</v>
      </c>
      <c r="BC6" s="88">
        <f>IFERROR(_xlfn.XLOOKUP($A6,CFR20252026_BenchMarkDataReport!$B:$B,CFR20252026_BenchMarkDataReport!BR:BR),0)</f>
        <v>0</v>
      </c>
      <c r="BD6" s="88">
        <f>IFERROR(_xlfn.XLOOKUP($A6,CFR20252026_BenchMarkDataReport!$B:$B,CFR20252026_BenchMarkDataReport!BS:BS),0)</f>
        <v>0</v>
      </c>
      <c r="BE6" s="88">
        <f>IFERROR(_xlfn.XLOOKUP($A6,CFR20252026_BenchMarkDataReport!$B:$B,CFR20252026_BenchMarkDataReport!BT:BT),0)</f>
        <v>0</v>
      </c>
      <c r="BF6" s="88">
        <f>IFERROR(_xlfn.XLOOKUP($A6,CFR20252026_BenchMarkDataReport!$B:$B,CFR20252026_BenchMarkDataReport!BU:BU),0)</f>
        <v>130716.3</v>
      </c>
      <c r="BG6" s="88">
        <f>IFERROR(_xlfn.XLOOKUP($A6,CFR20252026_BenchMarkDataReport!$B:$B,CFR20252026_BenchMarkDataReport!BV:BV),0)</f>
        <v>26516.7</v>
      </c>
      <c r="BH6" s="89">
        <f t="shared" si="0"/>
        <v>2984574.9600000004</v>
      </c>
      <c r="BI6" s="90">
        <f>SUM(U6:BE6)</f>
        <v>2820452.9600000004</v>
      </c>
      <c r="BJ6" s="89">
        <f>BH6-BI6</f>
        <v>164122</v>
      </c>
      <c r="BK6" s="88">
        <f>IFERROR(_xlfn.XLOOKUP(A6,CFR20252026_BenchMarkDataReport!$B:$B,CFR20252026_BenchMarkDataReport!P:P)+_xlfn.XLOOKUP(A6,CFR20252026_BenchMarkDataReport!$B:$B,CFR20252026_BenchMarkDataReport!Q:Q),0)</f>
        <v>79373</v>
      </c>
      <c r="BL6" s="89">
        <f>SUM(BJ6:BK6)</f>
        <v>243495</v>
      </c>
      <c r="BM6" s="91">
        <f>'FEE9m-2 Spr 25 - 26'!K4+'FEE2 Spring 25 - 26'!K5+'FEE 34 Spring 25 - 26'!K11+BM5+BM4</f>
        <v>292</v>
      </c>
      <c r="BN6" s="90">
        <f>D6+E6+F6</f>
        <v>2397937.8200000003</v>
      </c>
      <c r="BO6" t="s">
        <v>171</v>
      </c>
      <c r="BP6" s="92">
        <f>IFERROR(D6/BH6,0)</f>
        <v>0.77429441410310562</v>
      </c>
      <c r="BQ6" s="93">
        <f>IFERROR(D6/BM6,0)</f>
        <v>7914.1771232876717</v>
      </c>
      <c r="BR6" s="94">
        <f>E6/BH6</f>
        <v>0</v>
      </c>
      <c r="BS6" s="95">
        <f>IFERROR(E6/BM6,0)</f>
        <v>0</v>
      </c>
      <c r="BT6" s="92">
        <f>F6/BH6</f>
        <v>2.9149242745104314E-2</v>
      </c>
      <c r="BU6" s="93">
        <f>IFERROR(F6/BM6,0)</f>
        <v>297.93869863013703</v>
      </c>
      <c r="BV6" s="94">
        <f>G6/BH6</f>
        <v>0</v>
      </c>
      <c r="BW6" s="95">
        <f>IFERROR(G6/BM6,0)</f>
        <v>0</v>
      </c>
      <c r="BX6" s="92">
        <f>H6/BH6</f>
        <v>0</v>
      </c>
      <c r="BY6" s="93">
        <f>IFERROR(H6/BM6,0)</f>
        <v>0</v>
      </c>
      <c r="BZ6" s="94">
        <f>IFERROR(I6/BH6,0)</f>
        <v>0</v>
      </c>
      <c r="CA6" s="95">
        <f>IFERROR(I6/BM6,0)</f>
        <v>0</v>
      </c>
      <c r="CB6" s="92">
        <f>IFERROR(J6/BH6,0)</f>
        <v>7.6916479926508515E-3</v>
      </c>
      <c r="CC6" s="93">
        <f>IFERROR(J6/BM6,0)</f>
        <v>78.617465753424653</v>
      </c>
      <c r="CD6" s="94">
        <f>IFERROR((K6+L6)/BH6,0)</f>
        <v>9.1256009197369925E-3</v>
      </c>
      <c r="CE6" s="96">
        <f>IFERROR((K6+L6)/BM6,0)</f>
        <v>93.274109589041103</v>
      </c>
      <c r="CF6" s="97">
        <f>IFERROR(P6/BH6,0)</f>
        <v>0.17713296770405121</v>
      </c>
      <c r="CG6" s="98">
        <f>IFERROR(P6/BM6,0)</f>
        <v>1810.5021232876711</v>
      </c>
      <c r="CH6" s="94">
        <f>IFERROR(Q6/BH6,0)</f>
        <v>2.6061265353509496E-3</v>
      </c>
      <c r="CI6" s="95">
        <f>IFERROR((Q6/BM6),0)</f>
        <v>26.637602739726027</v>
      </c>
      <c r="CJ6" s="99">
        <f>IFERROR((U6+V6+AZ6)/BN6,0)</f>
        <v>0.19852245376404296</v>
      </c>
      <c r="CK6" s="97">
        <f>IFERROR((U6+V6+AZ6)/BH6,0)</f>
        <v>0.15950160621866236</v>
      </c>
      <c r="CL6" s="97">
        <f>IFERROR((U6+V6+AZ6)/BI6,0)</f>
        <v>0.16878299576391442</v>
      </c>
      <c r="CM6" s="98">
        <f t="shared" si="2"/>
        <v>1630.2893835616439</v>
      </c>
      <c r="CN6" s="94">
        <f>IFERROR(W6/BN6,0)</f>
        <v>0.6770516509890151</v>
      </c>
      <c r="CO6" s="100">
        <f>IFERROR(W6/BH6,0)</f>
        <v>0.54397285434573228</v>
      </c>
      <c r="CP6" s="100">
        <f>IFERROR(W6/BI6,0)</f>
        <v>0.57562660431677604</v>
      </c>
      <c r="CQ6" s="101">
        <f t="shared" si="3"/>
        <v>5560.0265753424655</v>
      </c>
      <c r="CR6" s="99">
        <f>IFERROR(X6/BN6,0)</f>
        <v>3.2800458520646711E-2</v>
      </c>
      <c r="CS6" s="97">
        <f>IFERROR(X6/BH6,0)</f>
        <v>2.635332034012642E-2</v>
      </c>
      <c r="CT6" s="97">
        <f>IFERROR(X6/BI6,0)</f>
        <v>2.7886818576828877E-2</v>
      </c>
      <c r="CU6" s="98">
        <f t="shared" si="4"/>
        <v>269.36116438356169</v>
      </c>
      <c r="CV6" s="94">
        <f>IFERROR(Y6/BN6,0)</f>
        <v>5.9810074641551789E-2</v>
      </c>
      <c r="CW6" s="100">
        <f>IFERROR(Y6/BH6,0)</f>
        <v>4.8054025086372756E-2</v>
      </c>
      <c r="CX6" s="100">
        <f>IFERROR(Y6/BI6,0)</f>
        <v>5.0850286118581452E-2</v>
      </c>
      <c r="CY6" s="95">
        <f t="shared" si="5"/>
        <v>491.1672602739726</v>
      </c>
      <c r="CZ6" s="99">
        <f>IFERROR((U6+V6+W6+X6+Y6+Z6+AA6)/BN6,0)</f>
        <v>0.99316873445867726</v>
      </c>
      <c r="DA6" s="97">
        <f>IFERROR((U6+V6+W6+X6+Y6+Z6+AA6)/BH6,0)</f>
        <v>0.79795511988078838</v>
      </c>
      <c r="DB6" s="97">
        <f>IFERROR((U6+V6+W6+X6+Y6+Z6+AA6)/BI6,0)</f>
        <v>0.84438808367858731</v>
      </c>
      <c r="DC6" s="98">
        <f t="shared" si="6"/>
        <v>8156.016678082191</v>
      </c>
      <c r="DD6" s="94">
        <f>IFERROR(AF6/BN6,0)</f>
        <v>1.5751684503645717E-2</v>
      </c>
      <c r="DE6" s="100">
        <f>IFERROR(AF6/BI6,0)</f>
        <v>1.3392019131565304E-2</v>
      </c>
      <c r="DF6" s="95">
        <f t="shared" si="7"/>
        <v>129.35465753424657</v>
      </c>
      <c r="DG6" s="99">
        <f>IFERROR(AI6/BI6,0)</f>
        <v>2.1809830148700649E-3</v>
      </c>
      <c r="DH6" s="98">
        <f t="shared" si="8"/>
        <v>21.066301369863012</v>
      </c>
      <c r="DI6" s="94">
        <f>IFERROR(AJ6/BN6,0)</f>
        <v>1.1125793078320937E-2</v>
      </c>
      <c r="DJ6" s="100">
        <f>IFERROR(AJ6/BI6,0)</f>
        <v>9.4591047531599297E-3</v>
      </c>
      <c r="DK6" s="95">
        <f t="shared" si="9"/>
        <v>91.36630136986301</v>
      </c>
      <c r="DL6" s="99">
        <f>IFERROR(AL6/BN6,0)</f>
        <v>7.989856884612628E-3</v>
      </c>
      <c r="DM6" s="97">
        <f>IFERROR(AL6/BI6,0)</f>
        <v>6.7929443503287491E-3</v>
      </c>
      <c r="DN6" s="102">
        <f>IFERROR((AL6/BM6),0)</f>
        <v>65.613630136986302</v>
      </c>
      <c r="DO6" s="94">
        <f>IFERROR(AM6/BN6,0)</f>
        <v>1.7443421447850549E-2</v>
      </c>
      <c r="DP6" s="100">
        <f>IFERROR(AM6/BH6,0)</f>
        <v>1.4014806316005544E-2</v>
      </c>
      <c r="DQ6" s="100">
        <f>IFERROR(AM6/BI6,0)</f>
        <v>1.4830327111713287E-2</v>
      </c>
      <c r="DR6" s="95">
        <f t="shared" si="10"/>
        <v>143.24739726027397</v>
      </c>
      <c r="DS6" s="99">
        <f>IFERROR(AV6/BN6,0)</f>
        <v>7.2795632373820257E-3</v>
      </c>
      <c r="DT6" s="97">
        <f>IFERROR(AV6/BI6,0)</f>
        <v>6.1890555338316991E-3</v>
      </c>
      <c r="DU6" s="98">
        <f t="shared" si="11"/>
        <v>59.780616438356162</v>
      </c>
      <c r="DV6" s="94">
        <f>IFERROR(BA6/BN6,0)</f>
        <v>4.1435603196750105E-3</v>
      </c>
      <c r="DW6" s="100">
        <f>IFERROR(BA6/BI6,0)</f>
        <v>3.5228384025238267E-3</v>
      </c>
      <c r="DX6" s="95">
        <f t="shared" si="12"/>
        <v>34.027397260273972</v>
      </c>
      <c r="DY6" s="99">
        <f>IFERROR(AY6/BI6,0)</f>
        <v>2.8582855712651202E-3</v>
      </c>
      <c r="DZ6" s="98">
        <f t="shared" si="13"/>
        <v>27.608424657534247</v>
      </c>
      <c r="EA6" s="94">
        <f t="shared" si="14"/>
        <v>2.6026315999966186E-3</v>
      </c>
      <c r="EB6" s="95">
        <f t="shared" si="15"/>
        <v>25.139041095890413</v>
      </c>
      <c r="EC6" s="103">
        <f>IFERROR(VLOOKUP(A6,PP!$E$3:$S$130,14,0),0)</f>
        <v>0</v>
      </c>
    </row>
    <row r="7" spans="1:227">
      <c r="A7" s="29">
        <v>1002</v>
      </c>
      <c r="B7" s="86">
        <v>10132</v>
      </c>
      <c r="C7" s="87" t="s">
        <v>29</v>
      </c>
      <c r="D7" s="88">
        <f>IFERROR(_xlfn.XLOOKUP($A7,CFR20252026_BenchMarkDataReport!B:B,CFR20252026_BenchMarkDataReport!S:S),0)</f>
        <v>716021.87</v>
      </c>
      <c r="E7" s="88">
        <f>IFERROR(_xlfn.XLOOKUP($A7,CFR20252026_BenchMarkDataReport!$B:$B,CFR20252026_BenchMarkDataReport!T:T),0)</f>
        <v>0</v>
      </c>
      <c r="F7" s="88">
        <f>IFERROR(_xlfn.XLOOKUP($A7,CFR20252026_BenchMarkDataReport!$B:$B,CFR20252026_BenchMarkDataReport!U:U),0)</f>
        <v>20900.150000000001</v>
      </c>
      <c r="G7" s="88">
        <f>IFERROR(_xlfn.XLOOKUP($A7,CFR20252026_BenchMarkDataReport!$B:$B,CFR20252026_BenchMarkDataReport!V:V),0)</f>
        <v>0</v>
      </c>
      <c r="H7" s="88">
        <f>IFERROR(_xlfn.XLOOKUP($A7,CFR20252026_BenchMarkDataReport!$B:$B,CFR20252026_BenchMarkDataReport!W:W),0)</f>
        <v>0</v>
      </c>
      <c r="I7" s="88">
        <f>IFERROR(_xlfn.XLOOKUP($A7,CFR20252026_BenchMarkDataReport!$B:$B,CFR20252026_BenchMarkDataReport!X:X),0)</f>
        <v>0</v>
      </c>
      <c r="J7" s="88">
        <f>IFERROR(_xlfn.XLOOKUP($A7,CFR20252026_BenchMarkDataReport!$B:$B,CFR20252026_BenchMarkDataReport!Y:Y),0)</f>
        <v>545</v>
      </c>
      <c r="K7" s="88">
        <f>IFERROR(_xlfn.XLOOKUP($A7,CFR20252026_BenchMarkDataReport!$B:$B,CFR20252026_BenchMarkDataReport!Z:Z),0)</f>
        <v>0</v>
      </c>
      <c r="L7" s="88">
        <f>IFERROR(_xlfn.XLOOKUP($A7,CFR20252026_BenchMarkDataReport!$B:$B,CFR20252026_BenchMarkDataReport!AA:AA),0)</f>
        <v>0</v>
      </c>
      <c r="M7" s="88">
        <f>IFERROR(_xlfn.XLOOKUP($A7,CFR20252026_BenchMarkDataReport!$B:$B,CFR20252026_BenchMarkDataReport!AB:AB),0)</f>
        <v>22512.62</v>
      </c>
      <c r="N7" s="88">
        <f>IFERROR(_xlfn.XLOOKUP($A7,CFR20252026_BenchMarkDataReport!$B:$B,CFR20252026_BenchMarkDataReport!AC:AC),0)</f>
        <v>0</v>
      </c>
      <c r="O7" s="88">
        <f>IFERROR(_xlfn.XLOOKUP($A7,CFR20252026_BenchMarkDataReport!$B:$B,CFR20252026_BenchMarkDataReport!AD:AD),0)</f>
        <v>0</v>
      </c>
      <c r="P7" s="88">
        <f>IFERROR(_xlfn.XLOOKUP($A7,CFR20252026_BenchMarkDataReport!$B:$B,CFR20252026_BenchMarkDataReport!AE:AE),0)</f>
        <v>332713.64</v>
      </c>
      <c r="Q7" s="88">
        <f>IFERROR(_xlfn.XLOOKUP($A7,CFR20252026_BenchMarkDataReport!$B:$B,CFR20252026_BenchMarkDataReport!AF:AF),0)</f>
        <v>5487.24</v>
      </c>
      <c r="R7" s="88">
        <f>IFERROR(_xlfn.XLOOKUP($A7,CFR20252026_BenchMarkDataReport!$B:$B,CFR20252026_BenchMarkDataReport!AG:AG),0)</f>
        <v>0</v>
      </c>
      <c r="S7" s="88">
        <f>IFERROR(_xlfn.XLOOKUP($A7,CFR20252026_BenchMarkDataReport!$B:$B,CFR20252026_BenchMarkDataReport!AH:AH),0)</f>
        <v>0</v>
      </c>
      <c r="T7" s="88">
        <f>IFERROR(_xlfn.XLOOKUP($A7,CFR20252026_BenchMarkDataReport!$B:$B,CFR20252026_BenchMarkDataReport!AI:AI),0)</f>
        <v>0</v>
      </c>
      <c r="U7" s="88">
        <f>IFERROR(_xlfn.XLOOKUP($A7,CFR20252026_BenchMarkDataReport!$B:$B,CFR20252026_BenchMarkDataReport!AJ:AJ),0)</f>
        <v>263994.53999999998</v>
      </c>
      <c r="V7" s="88">
        <f>IFERROR(_xlfn.XLOOKUP($A7,CFR20252026_BenchMarkDataReport!$B:$B,CFR20252026_BenchMarkDataReport!AK:AK),0)</f>
        <v>0</v>
      </c>
      <c r="W7" s="88">
        <f>IFERROR(_xlfn.XLOOKUP($A7,CFR20252026_BenchMarkDataReport!$B:$B,CFR20252026_BenchMarkDataReport!AL:AL),0)</f>
        <v>424706</v>
      </c>
      <c r="X7" s="88">
        <f>IFERROR(_xlfn.XLOOKUP($A7,CFR20252026_BenchMarkDataReport!$B:$B,CFR20252026_BenchMarkDataReport!AM:AM),0)</f>
        <v>44142.52</v>
      </c>
      <c r="Y7" s="88">
        <f>IFERROR(_xlfn.XLOOKUP($A7,CFR20252026_BenchMarkDataReport!$B:$B,CFR20252026_BenchMarkDataReport!AN:AN),0)</f>
        <v>87647.5</v>
      </c>
      <c r="Z7" s="88">
        <f>IFERROR(_xlfn.XLOOKUP($A7,CFR20252026_BenchMarkDataReport!$B:$B,CFR20252026_BenchMarkDataReport!AO:AO),0)</f>
        <v>0</v>
      </c>
      <c r="AA7" s="88">
        <f>IFERROR(_xlfn.XLOOKUP($A7,CFR20252026_BenchMarkDataReport!$B:$B,CFR20252026_BenchMarkDataReport!AP:AP),0)</f>
        <v>88407.75</v>
      </c>
      <c r="AB7" s="88">
        <f>IFERROR(_xlfn.XLOOKUP($A7,CFR20252026_BenchMarkDataReport!$B:$B,CFR20252026_BenchMarkDataReport!AQ:AQ),0)</f>
        <v>8784.06</v>
      </c>
      <c r="AC7" s="88">
        <f>IFERROR(_xlfn.XLOOKUP($A7,CFR20252026_BenchMarkDataReport!$B:$B,CFR20252026_BenchMarkDataReport!AR:AR),0)</f>
        <v>3864.98</v>
      </c>
      <c r="AD7" s="88">
        <f>IFERROR(_xlfn.XLOOKUP($A7,CFR20252026_BenchMarkDataReport!$B:$B,CFR20252026_BenchMarkDataReport!AS:AS),0)</f>
        <v>0</v>
      </c>
      <c r="AE7" s="88">
        <f>IFERROR(_xlfn.XLOOKUP($A7,CFR20252026_BenchMarkDataReport!$B:$B,CFR20252026_BenchMarkDataReport!AT:AT),0)</f>
        <v>0</v>
      </c>
      <c r="AF7" s="88">
        <f>IFERROR(_xlfn.XLOOKUP($A7,CFR20252026_BenchMarkDataReport!$B:$B,CFR20252026_BenchMarkDataReport!AU:AU),0)</f>
        <v>14172.14</v>
      </c>
      <c r="AG7" s="88">
        <f>IFERROR(_xlfn.XLOOKUP($A7,CFR20252026_BenchMarkDataReport!$B:$B,CFR20252026_BenchMarkDataReport!AV:AV),0)</f>
        <v>4700</v>
      </c>
      <c r="AH7" s="88">
        <f>IFERROR(_xlfn.XLOOKUP($A7,CFR20252026_BenchMarkDataReport!$B:$B,CFR20252026_BenchMarkDataReport!AW:AW),0)</f>
        <v>18863.98</v>
      </c>
      <c r="AI7" s="88">
        <f>IFERROR(_xlfn.XLOOKUP($A7,CFR20252026_BenchMarkDataReport!$B:$B,CFR20252026_BenchMarkDataReport!AX:AX),0)</f>
        <v>1602.98</v>
      </c>
      <c r="AJ7" s="88">
        <f>IFERROR(_xlfn.XLOOKUP($A7,CFR20252026_BenchMarkDataReport!$B:$B,CFR20252026_BenchMarkDataReport!AY:AY),0)</f>
        <v>19544.16</v>
      </c>
      <c r="AK7" s="88">
        <f>IFERROR(_xlfn.XLOOKUP($A7,CFR20252026_BenchMarkDataReport!$B:$B,CFR20252026_BenchMarkDataReport!AZ:AZ),0)</f>
        <v>0</v>
      </c>
      <c r="AL7" s="88">
        <f>IFERROR(_xlfn.XLOOKUP($A7,CFR20252026_BenchMarkDataReport!$B:$B,CFR20252026_BenchMarkDataReport!BA:BA),0)</f>
        <v>5289.58</v>
      </c>
      <c r="AM7" s="88">
        <f>IFERROR(_xlfn.XLOOKUP($A7,CFR20252026_BenchMarkDataReport!$B:$B,CFR20252026_BenchMarkDataReport!BB:BB),0)</f>
        <v>8210.5</v>
      </c>
      <c r="AN7" s="88">
        <f>IFERROR(_xlfn.XLOOKUP($A7,CFR20252026_BenchMarkDataReport!$B:$B,CFR20252026_BenchMarkDataReport!BC:BC),0)</f>
        <v>8475.1</v>
      </c>
      <c r="AO7" s="88">
        <f>IFERROR(_xlfn.XLOOKUP($A7,CFR20252026_BenchMarkDataReport!$B:$B,CFR20252026_BenchMarkDataReport!BD:BD),0)</f>
        <v>0</v>
      </c>
      <c r="AP7" s="88">
        <f>IFERROR(_xlfn.XLOOKUP($A7,CFR20252026_BenchMarkDataReport!$B:$B,CFR20252026_BenchMarkDataReport!BE:BE),0)</f>
        <v>0</v>
      </c>
      <c r="AQ7" s="88">
        <f>IFERROR(_xlfn.XLOOKUP($A7,CFR20252026_BenchMarkDataReport!$B:$B,CFR20252026_BenchMarkDataReport!BF:BF),0)</f>
        <v>5209.47</v>
      </c>
      <c r="AR7" s="88">
        <f>IFERROR(_xlfn.XLOOKUP($A7,CFR20252026_BenchMarkDataReport!$B:$B,CFR20252026_BenchMarkDataReport!BG:BG),0)</f>
        <v>979.48</v>
      </c>
      <c r="AS7" s="88">
        <f>IFERROR(_xlfn.XLOOKUP($A7,CFR20252026_BenchMarkDataReport!$B:$B,CFR20252026_BenchMarkDataReport!BH:BH),0)</f>
        <v>144.63999999999999</v>
      </c>
      <c r="AT7" s="88">
        <f>IFERROR(_xlfn.XLOOKUP($A7,CFR20252026_BenchMarkDataReport!$B:$B,CFR20252026_BenchMarkDataReport!BI:BI),0)</f>
        <v>2750</v>
      </c>
      <c r="AU7" s="88">
        <f>IFERROR(_xlfn.XLOOKUP($A7,CFR20252026_BenchMarkDataReport!$B:$B,CFR20252026_BenchMarkDataReport!BJ:BJ),0)</f>
        <v>0</v>
      </c>
      <c r="AV7" s="88">
        <f>IFERROR(_xlfn.XLOOKUP($A7,CFR20252026_BenchMarkDataReport!$B:$B,CFR20252026_BenchMarkDataReport!BK:BK),0)</f>
        <v>4683.2</v>
      </c>
      <c r="AW7" s="88">
        <f>IFERROR(_xlfn.XLOOKUP($A7,CFR20252026_BenchMarkDataReport!$B:$B,CFR20252026_BenchMarkDataReport!BL:BL),0)</f>
        <v>1363.5</v>
      </c>
      <c r="AX7" s="88">
        <f>IFERROR(_xlfn.XLOOKUP($A7,CFR20252026_BenchMarkDataReport!$B:$B,CFR20252026_BenchMarkDataReport!BM:BM),0)</f>
        <v>3682.18</v>
      </c>
      <c r="AY7" s="88">
        <f>IFERROR(_xlfn.XLOOKUP($A7,CFR20252026_BenchMarkDataReport!$B:$B,CFR20252026_BenchMarkDataReport!BN:BN),0)</f>
        <v>22441.38</v>
      </c>
      <c r="AZ7" s="88">
        <f>IFERROR(_xlfn.XLOOKUP($A7,CFR20252026_BenchMarkDataReport!$B:$B,CFR20252026_BenchMarkDataReport!BO:BO),0)</f>
        <v>41454.980000000003</v>
      </c>
      <c r="BA7" s="88">
        <f>IFERROR(_xlfn.XLOOKUP($A7,CFR20252026_BenchMarkDataReport!$B:$B,CFR20252026_BenchMarkDataReport!BP:BP),0)</f>
        <v>46460.1</v>
      </c>
      <c r="BB7" s="88">
        <f>IFERROR(_xlfn.XLOOKUP($A7,CFR20252026_BenchMarkDataReport!$B:$B,CFR20252026_BenchMarkDataReport!BQ:BQ),0)</f>
        <v>11853.8</v>
      </c>
      <c r="BC7" s="88">
        <f>IFERROR(_xlfn.XLOOKUP($A7,CFR20252026_BenchMarkDataReport!$B:$B,CFR20252026_BenchMarkDataReport!BR:BR),0)</f>
        <v>0</v>
      </c>
      <c r="BD7" s="88">
        <f>IFERROR(_xlfn.XLOOKUP($A7,CFR20252026_BenchMarkDataReport!$B:$B,CFR20252026_BenchMarkDataReport!BS:BS),0)</f>
        <v>0</v>
      </c>
      <c r="BE7" s="88">
        <f>IFERROR(_xlfn.XLOOKUP($A7,CFR20252026_BenchMarkDataReport!$B:$B,CFR20252026_BenchMarkDataReport!BT:BT),0)</f>
        <v>0</v>
      </c>
      <c r="BF7" s="88">
        <f>IFERROR(_xlfn.XLOOKUP($A7,CFR20252026_BenchMarkDataReport!$B:$B,CFR20252026_BenchMarkDataReport!BU:BU),0)</f>
        <v>0</v>
      </c>
      <c r="BG7" s="88">
        <f>IFERROR(_xlfn.XLOOKUP($A7,CFR20252026_BenchMarkDataReport!$B:$B,CFR20252026_BenchMarkDataReport!BV:BV),0)</f>
        <v>0</v>
      </c>
      <c r="BH7" s="89">
        <f t="shared" si="0"/>
        <v>1098180.52</v>
      </c>
      <c r="BI7" s="90">
        <f>SUM(U7:BE7)</f>
        <v>1143428.5200000003</v>
      </c>
      <c r="BJ7" s="89">
        <f>BH7-BI7</f>
        <v>-45248.000000000233</v>
      </c>
      <c r="BK7" s="88">
        <f>IFERROR(_xlfn.XLOOKUP(A7,CFR20252026_BenchMarkDataReport!$B:$B,CFR20252026_BenchMarkDataReport!P:P)+_xlfn.XLOOKUP(A7,CFR20252026_BenchMarkDataReport!$B:$B,CFR20252026_BenchMarkDataReport!Q:Q),0)</f>
        <v>-21033</v>
      </c>
      <c r="BL7" s="89">
        <f t="shared" si="1"/>
        <v>-66281.000000000233</v>
      </c>
      <c r="BM7" s="91">
        <f>'FEE2 Spring 25 - 26'!K18+'FEE 34 Spring 25 - 26'!K42</f>
        <v>94</v>
      </c>
      <c r="BN7" s="90">
        <f>D7+E7+F7</f>
        <v>736922.02</v>
      </c>
      <c r="BO7" t="s">
        <v>171</v>
      </c>
      <c r="BP7" s="92">
        <f>IFERROR(D7/BH7,0)</f>
        <v>0.65200744045250414</v>
      </c>
      <c r="BQ7" s="93">
        <f>IFERROR(D7/BM7,0)</f>
        <v>7617.2539361702129</v>
      </c>
      <c r="BR7" s="94">
        <f>E7/BH7</f>
        <v>0</v>
      </c>
      <c r="BS7" s="95">
        <f>IFERROR(E7/BM7,0)</f>
        <v>0</v>
      </c>
      <c r="BT7" s="92">
        <f>F7/BH7</f>
        <v>1.9031616040685189E-2</v>
      </c>
      <c r="BU7" s="93">
        <f>IFERROR(F7/BM7,0)</f>
        <v>222.34202127659577</v>
      </c>
      <c r="BV7" s="94">
        <f>G7/BH7</f>
        <v>0</v>
      </c>
      <c r="BW7" s="95">
        <f>IFERROR(G7/BM7,0)</f>
        <v>0</v>
      </c>
      <c r="BX7" s="92">
        <f>H7/BH7</f>
        <v>0</v>
      </c>
      <c r="BY7" s="93">
        <f>IFERROR(H7/BM7,0)</f>
        <v>0</v>
      </c>
      <c r="BZ7" s="94">
        <f>IFERROR(I7/BH7,0)</f>
        <v>0</v>
      </c>
      <c r="CA7" s="95">
        <f>IFERROR(I7/BM7,0)</f>
        <v>0</v>
      </c>
      <c r="CB7" s="92">
        <f>IFERROR(J7/BH7,0)</f>
        <v>4.9627542109379245E-4</v>
      </c>
      <c r="CC7" s="93">
        <f>IFERROR(J7/BM7,0)</f>
        <v>5.7978723404255321</v>
      </c>
      <c r="CD7" s="94">
        <f>IFERROR((K7+L7)/BH7,0)</f>
        <v>0</v>
      </c>
      <c r="CE7" s="96">
        <f>IFERROR((K7+L7)/BM7,0)</f>
        <v>0</v>
      </c>
      <c r="CF7" s="97">
        <f>IFERROR(P7/BH7,0)</f>
        <v>0.30296807668742842</v>
      </c>
      <c r="CG7" s="98">
        <f>IFERROR(P7/BM7,0)</f>
        <v>3539.5068085106386</v>
      </c>
      <c r="CH7" s="94">
        <f>IFERROR(Q7/BH7,0)</f>
        <v>4.9966648470508293E-3</v>
      </c>
      <c r="CI7" s="95">
        <f>IFERROR((Q7/BM7),0)</f>
        <v>58.374893617021272</v>
      </c>
      <c r="CJ7" s="99">
        <f>(U7+V7+AZ7)/BN7</f>
        <v>0.41449368007757448</v>
      </c>
      <c r="CK7" s="97">
        <f>IFERROR((U7+V7+AZ7)/BH7,0)</f>
        <v>0.27814144800164542</v>
      </c>
      <c r="CL7" s="97">
        <f>IFERROR((U7+V7+AZ7)/BI7,0)</f>
        <v>0.26713477463374791</v>
      </c>
      <c r="CM7" s="98">
        <f t="shared" si="2"/>
        <v>3249.4629787234039</v>
      </c>
      <c r="CN7" s="94">
        <f>IFERROR(W7/BN7,0)</f>
        <v>0.57632420863200695</v>
      </c>
      <c r="CO7" s="100">
        <f>IFERROR(W7/BH7,0)</f>
        <v>0.38673605319460591</v>
      </c>
      <c r="CP7" s="100">
        <f>IFERROR(W7/BI7,0)</f>
        <v>0.37143205068909763</v>
      </c>
      <c r="CQ7" s="101">
        <f t="shared" si="3"/>
        <v>4518.1489361702124</v>
      </c>
      <c r="CR7" s="99">
        <f>IFERROR(X7/BN7,0)</f>
        <v>5.990120908586772E-2</v>
      </c>
      <c r="CS7" s="97">
        <f>IFERROR(X7/BH7,0)</f>
        <v>4.0196050827781937E-2</v>
      </c>
      <c r="CT7" s="97">
        <f>IFERROR(X7/BI7,0)</f>
        <v>3.8605404035225555E-2</v>
      </c>
      <c r="CU7" s="98">
        <f t="shared" si="4"/>
        <v>469.60127659574465</v>
      </c>
      <c r="CV7" s="94">
        <f>IFERROR(Y7/BN7,0)</f>
        <v>0.11893727914386382</v>
      </c>
      <c r="CW7" s="100">
        <f>IFERROR(Y7/BH7,0)</f>
        <v>7.9811559578565464E-2</v>
      </c>
      <c r="CX7" s="100">
        <f>IFERROR(Y7/BI7,0)</f>
        <v>7.6653239329730893E-2</v>
      </c>
      <c r="CY7" s="95">
        <f t="shared" si="5"/>
        <v>932.42021276595744</v>
      </c>
      <c r="CZ7" s="99">
        <f>IFERROR((U7+V7+W7+X7+Y7+Z7+AA7)/BN7,0)</f>
        <v>1.2333710831439126</v>
      </c>
      <c r="DA7" s="97">
        <f>IFERROR((U7+V7+W7+X7+Y7+Z7+AA7)/BH7,0)</f>
        <v>0.82764016793887407</v>
      </c>
      <c r="DB7" s="97">
        <f>IFERROR((U7+V7+W7+X7+Y7+Z7+AA7)/BI7,0)</f>
        <v>0.79488861271363065</v>
      </c>
      <c r="DC7" s="98">
        <f t="shared" si="6"/>
        <v>9669.1309574468087</v>
      </c>
      <c r="DD7" s="94">
        <f>IFERROR(AF7/BN7,0)</f>
        <v>1.9231532801801742E-2</v>
      </c>
      <c r="DE7" s="100">
        <f>IFERROR(AF7/BI7,0)</f>
        <v>1.2394425844826746E-2</v>
      </c>
      <c r="DF7" s="95">
        <f t="shared" si="7"/>
        <v>150.76744680851064</v>
      </c>
      <c r="DG7" s="99">
        <f>IFERROR(AI7/BI7,0)</f>
        <v>1.4019066097809066E-3</v>
      </c>
      <c r="DH7" s="98">
        <f t="shared" si="8"/>
        <v>17.052978723404255</v>
      </c>
      <c r="DI7" s="94">
        <f>IFERROR(AJ7/BN7,0)</f>
        <v>2.652134075190208E-2</v>
      </c>
      <c r="DJ7" s="100">
        <f>IFERROR(AJ7/BI7,0)</f>
        <v>1.7092594471930782E-2</v>
      </c>
      <c r="DK7" s="95">
        <f t="shared" si="9"/>
        <v>207.91659574468085</v>
      </c>
      <c r="DL7" s="99">
        <f>IFERROR(AL7/BN7,0)</f>
        <v>7.1779372259767726E-3</v>
      </c>
      <c r="DM7" s="97">
        <f>IFERROR(AL7/BI7,0)</f>
        <v>4.6260696733364656E-3</v>
      </c>
      <c r="DN7" s="102">
        <f>IFERROR((AL7/BM7),0)</f>
        <v>56.272127659574465</v>
      </c>
      <c r="DO7" s="94">
        <f>IFERROR(AM7/BN7,0)</f>
        <v>1.114161305696904E-2</v>
      </c>
      <c r="DP7" s="100">
        <f>IFERROR(AM7/BH7,0)</f>
        <v>7.4764575135607032E-3</v>
      </c>
      <c r="DQ7" s="100">
        <f>IFERROR(AM7/BI7,0)</f>
        <v>7.1805975243647048E-3</v>
      </c>
      <c r="DR7" s="95">
        <f t="shared" si="10"/>
        <v>87.34574468085107</v>
      </c>
      <c r="DS7" s="99">
        <f>IFERROR(AV7/BN7,0)</f>
        <v>6.3550821835938621E-3</v>
      </c>
      <c r="DT7" s="97">
        <f>IFERROR(AV7/BI7,0)</f>
        <v>4.0957523081547754E-3</v>
      </c>
      <c r="DU7" s="98">
        <f t="shared" si="11"/>
        <v>49.821276595744678</v>
      </c>
      <c r="DV7" s="94">
        <f>IFERROR(BA7/BN7,0)</f>
        <v>6.3046155141354032E-2</v>
      </c>
      <c r="DW7" s="100">
        <f>IFERROR(BA7/BI7,0)</f>
        <v>4.0632273191856354E-2</v>
      </c>
      <c r="DX7" s="95">
        <f t="shared" si="12"/>
        <v>494.25638297872337</v>
      </c>
      <c r="DY7" s="99">
        <f>IFERROR(AY7/BI7,0)</f>
        <v>1.9626395185594982E-2</v>
      </c>
      <c r="DZ7" s="98">
        <f t="shared" si="13"/>
        <v>238.73808510638298</v>
      </c>
      <c r="EA7" s="94">
        <f t="shared" si="14"/>
        <v>1.6497734375210439E-2</v>
      </c>
      <c r="EB7" s="95">
        <f t="shared" si="15"/>
        <v>200.68063829787235</v>
      </c>
      <c r="EC7" s="103">
        <f>IFERROR(VLOOKUP(A7,PP!$E$3:$S$130,14,0),0)</f>
        <v>0</v>
      </c>
    </row>
    <row r="8" spans="1:227" s="12" customFormat="1" ht="16.2" thickBot="1">
      <c r="A8" s="105">
        <v>1999</v>
      </c>
      <c r="B8" s="106"/>
      <c r="C8" s="107" t="s">
        <v>172</v>
      </c>
      <c r="D8" s="108">
        <f t="shared" ref="D8:AH8" si="16">AVERAGE(D4:D7)</f>
        <v>756740.39750000008</v>
      </c>
      <c r="E8" s="108">
        <f t="shared" si="16"/>
        <v>0</v>
      </c>
      <c r="F8" s="108">
        <f t="shared" si="16"/>
        <v>26974.5625</v>
      </c>
      <c r="G8" s="108">
        <f t="shared" si="16"/>
        <v>0</v>
      </c>
      <c r="H8" s="108">
        <f t="shared" si="16"/>
        <v>0</v>
      </c>
      <c r="I8" s="108">
        <f t="shared" si="16"/>
        <v>0</v>
      </c>
      <c r="J8" s="108">
        <f t="shared" si="16"/>
        <v>5875.3249999999998</v>
      </c>
      <c r="K8" s="108">
        <f t="shared" si="16"/>
        <v>5300</v>
      </c>
      <c r="L8" s="108">
        <f t="shared" si="16"/>
        <v>1509.01</v>
      </c>
      <c r="M8" s="108">
        <f t="shared" si="16"/>
        <v>5628.1549999999997</v>
      </c>
      <c r="N8" s="108">
        <f t="shared" si="16"/>
        <v>0</v>
      </c>
      <c r="O8" s="108">
        <f t="shared" si="16"/>
        <v>0</v>
      </c>
      <c r="P8" s="108">
        <f t="shared" si="16"/>
        <v>215345.065</v>
      </c>
      <c r="Q8" s="108">
        <f t="shared" si="16"/>
        <v>3316.355</v>
      </c>
      <c r="R8" s="108">
        <f t="shared" si="16"/>
        <v>0</v>
      </c>
      <c r="S8" s="108">
        <f t="shared" si="16"/>
        <v>41055.75</v>
      </c>
      <c r="T8" s="108">
        <f t="shared" si="16"/>
        <v>0</v>
      </c>
      <c r="U8" s="108">
        <f t="shared" si="16"/>
        <v>185009.76</v>
      </c>
      <c r="V8" s="108">
        <f t="shared" si="16"/>
        <v>0</v>
      </c>
      <c r="W8" s="108">
        <f t="shared" si="16"/>
        <v>512058.44</v>
      </c>
      <c r="X8" s="108">
        <f t="shared" si="16"/>
        <v>30698.995000000003</v>
      </c>
      <c r="Y8" s="108">
        <f t="shared" si="16"/>
        <v>57767.084999999999</v>
      </c>
      <c r="Z8" s="108">
        <f t="shared" si="16"/>
        <v>0</v>
      </c>
      <c r="AA8" s="108">
        <f t="shared" si="16"/>
        <v>37079.514999999999</v>
      </c>
      <c r="AB8" s="108">
        <f t="shared" si="16"/>
        <v>15481.8</v>
      </c>
      <c r="AC8" s="108">
        <f t="shared" si="16"/>
        <v>3361.98</v>
      </c>
      <c r="AD8" s="108">
        <f t="shared" si="16"/>
        <v>0</v>
      </c>
      <c r="AE8" s="108">
        <f t="shared" si="16"/>
        <v>0</v>
      </c>
      <c r="AF8" s="108">
        <f t="shared" si="16"/>
        <v>12985.924999999999</v>
      </c>
      <c r="AG8" s="108">
        <f t="shared" si="16"/>
        <v>3293.9549999999999</v>
      </c>
      <c r="AH8" s="108">
        <f t="shared" si="16"/>
        <v>6551.1450000000004</v>
      </c>
      <c r="AI8" s="108">
        <f t="shared" ref="AI8:BN8" si="17">AVERAGE(AI4:AI7)</f>
        <v>1938.585</v>
      </c>
      <c r="AJ8" s="108">
        <f t="shared" si="17"/>
        <v>11555.779999999999</v>
      </c>
      <c r="AK8" s="108">
        <f t="shared" si="17"/>
        <v>24563.837500000001</v>
      </c>
      <c r="AL8" s="108">
        <f t="shared" si="17"/>
        <v>6112.1900000000005</v>
      </c>
      <c r="AM8" s="108">
        <f t="shared" si="17"/>
        <v>12509.684999999999</v>
      </c>
      <c r="AN8" s="108">
        <f t="shared" si="17"/>
        <v>5360.9</v>
      </c>
      <c r="AO8" s="108"/>
      <c r="AP8" s="108"/>
      <c r="AQ8" s="108"/>
      <c r="AR8" s="108"/>
      <c r="AS8" s="108"/>
      <c r="AT8" s="108"/>
      <c r="AU8" s="108">
        <f t="shared" si="17"/>
        <v>0</v>
      </c>
      <c r="AV8" s="108">
        <f t="shared" si="17"/>
        <v>5534.7849999999999</v>
      </c>
      <c r="AW8" s="108">
        <f t="shared" si="17"/>
        <v>823.5</v>
      </c>
      <c r="AX8" s="108">
        <f t="shared" si="17"/>
        <v>920.54499999999996</v>
      </c>
      <c r="AY8" s="108">
        <f t="shared" si="17"/>
        <v>7625.76</v>
      </c>
      <c r="AZ8" s="108">
        <f t="shared" si="17"/>
        <v>10363.745000000001</v>
      </c>
      <c r="BA8" s="108">
        <f t="shared" si="17"/>
        <v>14099.025</v>
      </c>
      <c r="BB8" s="108">
        <f t="shared" si="17"/>
        <v>15912.2</v>
      </c>
      <c r="BC8" s="108">
        <f t="shared" si="17"/>
        <v>0</v>
      </c>
      <c r="BD8" s="108">
        <f t="shared" si="17"/>
        <v>0</v>
      </c>
      <c r="BE8" s="108">
        <f t="shared" si="17"/>
        <v>0</v>
      </c>
      <c r="BF8" s="108">
        <f t="shared" si="17"/>
        <v>32679.075000000001</v>
      </c>
      <c r="BG8" s="108">
        <f t="shared" si="17"/>
        <v>6629.1750000000002</v>
      </c>
      <c r="BH8" s="108">
        <f t="shared" si="17"/>
        <v>1020688.8700000001</v>
      </c>
      <c r="BI8" s="108">
        <f t="shared" si="17"/>
        <v>990970.37000000011</v>
      </c>
      <c r="BJ8" s="108">
        <f t="shared" si="17"/>
        <v>29718.499999999942</v>
      </c>
      <c r="BK8" s="108">
        <f t="shared" si="17"/>
        <v>14585</v>
      </c>
      <c r="BL8" s="108">
        <f t="shared" si="17"/>
        <v>44303.499999999942</v>
      </c>
      <c r="BM8" s="108">
        <f t="shared" si="17"/>
        <v>140.75</v>
      </c>
      <c r="BN8" s="108">
        <f t="shared" si="17"/>
        <v>783714.96000000008</v>
      </c>
      <c r="BO8" s="12" t="s">
        <v>171</v>
      </c>
      <c r="BP8" s="109">
        <f t="shared" ref="BP8:CU8" si="18">AVERAGE(BP4:BP7)</f>
        <v>0.35657546363890247</v>
      </c>
      <c r="BQ8" s="110">
        <f t="shared" si="18"/>
        <v>3882.8577648644714</v>
      </c>
      <c r="BR8" s="111">
        <f t="shared" si="18"/>
        <v>0</v>
      </c>
      <c r="BS8" s="112">
        <f t="shared" si="18"/>
        <v>0</v>
      </c>
      <c r="BT8" s="109">
        <f t="shared" si="18"/>
        <v>1.2045214696447376E-2</v>
      </c>
      <c r="BU8" s="110">
        <f t="shared" si="18"/>
        <v>130.07017997668319</v>
      </c>
      <c r="BV8" s="111">
        <f t="shared" si="18"/>
        <v>0</v>
      </c>
      <c r="BW8" s="112">
        <f t="shared" si="18"/>
        <v>0</v>
      </c>
      <c r="BX8" s="109">
        <f t="shared" si="18"/>
        <v>0</v>
      </c>
      <c r="BY8" s="110">
        <f t="shared" si="18"/>
        <v>0</v>
      </c>
      <c r="BZ8" s="111">
        <f t="shared" si="18"/>
        <v>0</v>
      </c>
      <c r="CA8" s="112">
        <f t="shared" si="18"/>
        <v>0</v>
      </c>
      <c r="CB8" s="109">
        <f t="shared" si="18"/>
        <v>2.046980853436161E-3</v>
      </c>
      <c r="CC8" s="110">
        <f>AVERAGE(CC4:CC7)</f>
        <v>21.103834523462545</v>
      </c>
      <c r="CD8" s="111">
        <f t="shared" si="18"/>
        <v>2.2814002299342481E-3</v>
      </c>
      <c r="CE8" s="113">
        <f t="shared" si="18"/>
        <v>23.318527397260276</v>
      </c>
      <c r="CF8" s="114">
        <f t="shared" si="18"/>
        <v>0.1200252610978699</v>
      </c>
      <c r="CG8" s="115">
        <f t="shared" si="18"/>
        <v>1337.5022329495773</v>
      </c>
      <c r="CH8" s="111">
        <f t="shared" si="18"/>
        <v>1.9006978456004447E-3</v>
      </c>
      <c r="CI8" s="116">
        <f t="shared" si="18"/>
        <v>21.253124089186826</v>
      </c>
      <c r="CJ8" s="117">
        <f t="shared" si="18"/>
        <v>0.15325403346040437</v>
      </c>
      <c r="CK8" s="114">
        <f t="shared" si="18"/>
        <v>0.10941076355507695</v>
      </c>
      <c r="CL8" s="114">
        <f t="shared" si="18"/>
        <v>0.10897944259941558</v>
      </c>
      <c r="CM8" s="115">
        <f t="shared" si="18"/>
        <v>1219.9380905712619</v>
      </c>
      <c r="CN8" s="111">
        <f t="shared" si="18"/>
        <v>0.31334396490525551</v>
      </c>
      <c r="CO8" s="118">
        <f t="shared" si="18"/>
        <v>0.23267722688508455</v>
      </c>
      <c r="CP8" s="118">
        <f t="shared" si="18"/>
        <v>0.23676466375146843</v>
      </c>
      <c r="CQ8" s="119">
        <f t="shared" si="18"/>
        <v>2519.5438778781695</v>
      </c>
      <c r="CR8" s="117">
        <f t="shared" si="18"/>
        <v>2.3175416901628609E-2</v>
      </c>
      <c r="CS8" s="114">
        <f t="shared" si="18"/>
        <v>1.6637342791977087E-2</v>
      </c>
      <c r="CT8" s="114">
        <f t="shared" si="18"/>
        <v>1.6623055653013606E-2</v>
      </c>
      <c r="CU8" s="115">
        <f t="shared" si="18"/>
        <v>184.7406102448266</v>
      </c>
      <c r="CV8" s="111">
        <f t="shared" ref="CV8:DZ8" si="19">AVERAGE(CV4:CV7)</f>
        <v>4.4686838446353905E-2</v>
      </c>
      <c r="CW8" s="118">
        <f t="shared" si="19"/>
        <v>3.1966396166234555E-2</v>
      </c>
      <c r="CX8" s="118">
        <f t="shared" si="19"/>
        <v>3.1875881362078085E-2</v>
      </c>
      <c r="CY8" s="116">
        <f t="shared" si="19"/>
        <v>355.89686825998251</v>
      </c>
      <c r="CZ8" s="117">
        <f t="shared" si="19"/>
        <v>0.55663495440064747</v>
      </c>
      <c r="DA8" s="114">
        <f t="shared" si="19"/>
        <v>0.40639882195491561</v>
      </c>
      <c r="DB8" s="114">
        <f t="shared" si="19"/>
        <v>0.40981917409805446</v>
      </c>
      <c r="DC8" s="115">
        <f t="shared" si="19"/>
        <v>4456.2869088822499</v>
      </c>
      <c r="DD8" s="111">
        <f t="shared" si="19"/>
        <v>8.745804326361864E-3</v>
      </c>
      <c r="DE8" s="118">
        <f t="shared" si="19"/>
        <v>6.4466112440980123E-3</v>
      </c>
      <c r="DF8" s="116">
        <f t="shared" si="19"/>
        <v>70.030526085689303</v>
      </c>
      <c r="DG8" s="117">
        <f t="shared" si="19"/>
        <v>8.9572240616274282E-4</v>
      </c>
      <c r="DH8" s="115">
        <f t="shared" si="19"/>
        <v>9.529820023316816</v>
      </c>
      <c r="DI8" s="111">
        <f t="shared" si="19"/>
        <v>9.4117834575557537E-3</v>
      </c>
      <c r="DJ8" s="118">
        <f t="shared" si="19"/>
        <v>6.6379248062726779E-3</v>
      </c>
      <c r="DK8" s="116">
        <f t="shared" si="19"/>
        <v>74.820724278635964</v>
      </c>
      <c r="DL8" s="117">
        <f t="shared" si="19"/>
        <v>3.7919485276473501E-3</v>
      </c>
      <c r="DM8" s="114">
        <f t="shared" si="19"/>
        <v>2.8547535059163034E-3</v>
      </c>
      <c r="DN8" s="115">
        <f t="shared" si="19"/>
        <v>30.471439449140192</v>
      </c>
      <c r="DO8" s="111">
        <f t="shared" si="19"/>
        <v>7.1462586262048978E-3</v>
      </c>
      <c r="DP8" s="118">
        <f t="shared" si="19"/>
        <v>5.3728159573915614E-3</v>
      </c>
      <c r="DQ8" s="118">
        <f t="shared" si="19"/>
        <v>5.5027311590194975E-3</v>
      </c>
      <c r="DR8" s="116">
        <f t="shared" si="19"/>
        <v>57.648285485281264</v>
      </c>
      <c r="DS8" s="117">
        <f>AVERAGE(DS4:DS7)</f>
        <v>3.4086613552439717E-3</v>
      </c>
      <c r="DT8" s="114">
        <f>AVERAGE(DT4:DT7)</f>
        <v>2.5712019604966184E-3</v>
      </c>
      <c r="DU8" s="115">
        <f>AVERAGE(DU4:DU7)</f>
        <v>27.40047325852521</v>
      </c>
      <c r="DV8" s="111">
        <f t="shared" si="19"/>
        <v>1.6797428865257261E-2</v>
      </c>
      <c r="DW8" s="118">
        <f t="shared" si="19"/>
        <v>1.1038777898595045E-2</v>
      </c>
      <c r="DX8" s="116">
        <f t="shared" si="19"/>
        <v>132.07094505974933</v>
      </c>
      <c r="DY8" s="117">
        <f t="shared" si="19"/>
        <v>5.6211701892150256E-3</v>
      </c>
      <c r="DZ8" s="115">
        <f t="shared" si="19"/>
        <v>66.586627440979314</v>
      </c>
      <c r="EA8" s="111">
        <f t="shared" ref="EA8:EB8" si="20">AVERAGE(EA4:EA7)</f>
        <v>4.7750914938017646E-3</v>
      </c>
      <c r="EB8" s="116">
        <f t="shared" si="20"/>
        <v>56.454919848440689</v>
      </c>
      <c r="EC8" s="120">
        <f>AVERAGE(EC4:EC7)</f>
        <v>0</v>
      </c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</row>
    <row r="9" spans="1:227" ht="15.6" thickTop="1">
      <c r="A9" s="121">
        <v>3520</v>
      </c>
      <c r="B9" s="122">
        <v>11094</v>
      </c>
      <c r="C9" s="123" t="s">
        <v>31</v>
      </c>
      <c r="D9" s="88">
        <f>IFERROR(_xlfn.XLOOKUP($A9,CFR20252026_BenchMarkDataReport!$B:$B,CFR20252026_BenchMarkDataReport!S:S),0)</f>
        <v>2150959.06</v>
      </c>
      <c r="E9" s="88">
        <f>IFERROR(_xlfn.XLOOKUP($A9,CFR20252026_BenchMarkDataReport!$B:$B,CFR20252026_BenchMarkDataReport!T:T),0)</f>
        <v>0</v>
      </c>
      <c r="F9" s="88">
        <f>IFERROR(_xlfn.XLOOKUP($A9,CFR20252026_BenchMarkDataReport!$B:$B,CFR20252026_BenchMarkDataReport!U:U),0)</f>
        <v>138861.26</v>
      </c>
      <c r="G9" s="88">
        <f>IFERROR(_xlfn.XLOOKUP($A9,CFR20252026_BenchMarkDataReport!$B:$B,CFR20252026_BenchMarkDataReport!V:V),0)</f>
        <v>0</v>
      </c>
      <c r="H9" s="88">
        <f>IFERROR(_xlfn.XLOOKUP($A9,CFR20252026_BenchMarkDataReport!$B:$B,CFR20252026_BenchMarkDataReport!W:W),0)</f>
        <v>3030</v>
      </c>
      <c r="I9" s="88">
        <f>IFERROR(_xlfn.XLOOKUP($A9,CFR20252026_BenchMarkDataReport!$B:$B,CFR20252026_BenchMarkDataReport!X:X),0)</f>
        <v>141979.21</v>
      </c>
      <c r="J9" s="88">
        <f>IFERROR(_xlfn.XLOOKUP($A9,CFR20252026_BenchMarkDataReport!$B:$B,CFR20252026_BenchMarkDataReport!Y:Y),0)</f>
        <v>173810.96</v>
      </c>
      <c r="K9" s="88">
        <f>IFERROR(_xlfn.XLOOKUP($A9,CFR20252026_BenchMarkDataReport!$B:$B,CFR20252026_BenchMarkDataReport!Z:Z),0)</f>
        <v>33364.99</v>
      </c>
      <c r="L9" s="88">
        <f>IFERROR(_xlfn.XLOOKUP($A9,CFR20252026_BenchMarkDataReport!$B:$B,CFR20252026_BenchMarkDataReport!AA:AA),0)</f>
        <v>-4611.42</v>
      </c>
      <c r="M9" s="88">
        <f>IFERROR(_xlfn.XLOOKUP($A9,CFR20252026_BenchMarkDataReport!$B:$B,CFR20252026_BenchMarkDataReport!AB:AB),0)</f>
        <v>3745.33</v>
      </c>
      <c r="N9" s="88">
        <f>IFERROR(_xlfn.XLOOKUP($A9,CFR20252026_BenchMarkDataReport!$B:$B,CFR20252026_BenchMarkDataReport!AC:AC),0)</f>
        <v>0</v>
      </c>
      <c r="O9" s="88">
        <f>IFERROR(_xlfn.XLOOKUP($A9,CFR20252026_BenchMarkDataReport!$B:$B,CFR20252026_BenchMarkDataReport!AD:AD),0)</f>
        <v>0</v>
      </c>
      <c r="P9" s="88">
        <f>IFERROR(_xlfn.XLOOKUP($A9,CFR20252026_BenchMarkDataReport!$B:$B,CFR20252026_BenchMarkDataReport!AE:AE),0)</f>
        <v>121326.5</v>
      </c>
      <c r="Q9" s="88">
        <f>IFERROR(_xlfn.XLOOKUP($A9,CFR20252026_BenchMarkDataReport!$B:$B,CFR20252026_BenchMarkDataReport!AF:AF),0)</f>
        <v>531033.13</v>
      </c>
      <c r="R9" s="88">
        <f>IFERROR(_xlfn.XLOOKUP($A9,CFR20252026_BenchMarkDataReport!$B:$B,CFR20252026_BenchMarkDataReport!AG:AG),0)</f>
        <v>0</v>
      </c>
      <c r="S9" s="88">
        <f>IFERROR(_xlfn.XLOOKUP($A9,CFR20252026_BenchMarkDataReport!$B:$B,CFR20252026_BenchMarkDataReport!AH:AH),0)</f>
        <v>0</v>
      </c>
      <c r="T9" s="88">
        <f>IFERROR(_xlfn.XLOOKUP($A9,CFR20252026_BenchMarkDataReport!$B:$B,CFR20252026_BenchMarkDataReport!AI:AI),0)</f>
        <v>0</v>
      </c>
      <c r="U9" s="88">
        <f>IFERROR(_xlfn.XLOOKUP($A9,CFR20252026_BenchMarkDataReport!$B:$B,CFR20252026_BenchMarkDataReport!AJ:AJ),0)</f>
        <v>1459842.11</v>
      </c>
      <c r="V9" s="88">
        <f>IFERROR(_xlfn.XLOOKUP($A9,CFR20252026_BenchMarkDataReport!$B:$B,CFR20252026_BenchMarkDataReport!AK:AK),0)</f>
        <v>3981.64</v>
      </c>
      <c r="W9" s="88">
        <f>IFERROR(_xlfn.XLOOKUP($A9,CFR20252026_BenchMarkDataReport!$B:$B,CFR20252026_BenchMarkDataReport!AL:AL),0)</f>
        <v>613036.22</v>
      </c>
      <c r="X9" s="88">
        <f>IFERROR(_xlfn.XLOOKUP($A9,CFR20252026_BenchMarkDataReport!$B:$B,CFR20252026_BenchMarkDataReport!AM:AM),0)</f>
        <v>34141.910000000003</v>
      </c>
      <c r="Y9" s="88">
        <f>IFERROR(_xlfn.XLOOKUP($A9,CFR20252026_BenchMarkDataReport!$B:$B,CFR20252026_BenchMarkDataReport!AN:AN),0)</f>
        <v>152401.85</v>
      </c>
      <c r="Z9" s="88">
        <f>IFERROR(_xlfn.XLOOKUP($A9,CFR20252026_BenchMarkDataReport!$B:$B,CFR20252026_BenchMarkDataReport!AO:AO),0)</f>
        <v>0</v>
      </c>
      <c r="AA9" s="88">
        <f>IFERROR(_xlfn.XLOOKUP($A9,CFR20252026_BenchMarkDataReport!$B:$B,CFR20252026_BenchMarkDataReport!AP:AP),0)</f>
        <v>31254.99</v>
      </c>
      <c r="AB9" s="88">
        <f>IFERROR(_xlfn.XLOOKUP($A9,CFR20252026_BenchMarkDataReport!$B:$B,CFR20252026_BenchMarkDataReport!AQ:AQ),0)</f>
        <v>3879.48</v>
      </c>
      <c r="AC9" s="88">
        <f>IFERROR(_xlfn.XLOOKUP($A9,CFR20252026_BenchMarkDataReport!$B:$B,CFR20252026_BenchMarkDataReport!AR:AR),0)</f>
        <v>2528.9</v>
      </c>
      <c r="AD9" s="88">
        <f>IFERROR(_xlfn.XLOOKUP($A9,CFR20252026_BenchMarkDataReport!$B:$B,CFR20252026_BenchMarkDataReport!AS:AS),0)</f>
        <v>716.44</v>
      </c>
      <c r="AE9" s="88">
        <f>IFERROR(_xlfn.XLOOKUP($A9,CFR20252026_BenchMarkDataReport!$B:$B,CFR20252026_BenchMarkDataReport!AT:AT),0)</f>
        <v>0</v>
      </c>
      <c r="AF9" s="88">
        <f>IFERROR(_xlfn.XLOOKUP($A9,CFR20252026_BenchMarkDataReport!$B:$B,CFR20252026_BenchMarkDataReport!AU:AU),0)</f>
        <v>66900.25</v>
      </c>
      <c r="AG9" s="88">
        <f>IFERROR(_xlfn.XLOOKUP($A9,CFR20252026_BenchMarkDataReport!$B:$B,CFR20252026_BenchMarkDataReport!AV:AV),0)</f>
        <v>477.5</v>
      </c>
      <c r="AH9" s="88">
        <f>IFERROR(_xlfn.XLOOKUP($A9,CFR20252026_BenchMarkDataReport!$B:$B,CFR20252026_BenchMarkDataReport!AW:AW),0)</f>
        <v>53792.38</v>
      </c>
      <c r="AI9" s="88">
        <f>IFERROR(_xlfn.XLOOKUP($A9,CFR20252026_BenchMarkDataReport!$B:$B,CFR20252026_BenchMarkDataReport!AX:AX),0)</f>
        <v>17172.509999999998</v>
      </c>
      <c r="AJ9" s="88">
        <f>IFERROR(_xlfn.XLOOKUP($A9,CFR20252026_BenchMarkDataReport!$B:$B,CFR20252026_BenchMarkDataReport!AY:AY),0)</f>
        <v>41259.78</v>
      </c>
      <c r="AK9" s="88">
        <f>IFERROR(_xlfn.XLOOKUP($A9,CFR20252026_BenchMarkDataReport!$B:$B,CFR20252026_BenchMarkDataReport!AZ:AZ),0)</f>
        <v>17370.080000000002</v>
      </c>
      <c r="AL9" s="88">
        <f>IFERROR(_xlfn.XLOOKUP($A9,CFR20252026_BenchMarkDataReport!$B:$B,CFR20252026_BenchMarkDataReport!BA:BA),0)</f>
        <v>141066.73000000001</v>
      </c>
      <c r="AM9" s="88">
        <f>IFERROR(_xlfn.XLOOKUP($A9,CFR20252026_BenchMarkDataReport!$B:$B,CFR20252026_BenchMarkDataReport!BB:BB),0)</f>
        <v>180037.32</v>
      </c>
      <c r="AN9" s="88">
        <f>IFERROR(_xlfn.XLOOKUP($A9,CFR20252026_BenchMarkDataReport!$B:$B,CFR20252026_BenchMarkDataReport!BC:BC),0)</f>
        <v>7648.76</v>
      </c>
      <c r="AO9" s="88">
        <f>IFERROR(_xlfn.XLOOKUP($A9,CFR20252026_BenchMarkDataReport!$B:$B,CFR20252026_BenchMarkDataReport!BD:BD),0)</f>
        <v>0</v>
      </c>
      <c r="AP9" s="88">
        <f>IFERROR(_xlfn.XLOOKUP($A9,CFR20252026_BenchMarkDataReport!$B:$B,CFR20252026_BenchMarkDataReport!BE:BE),0)</f>
        <v>3041.49</v>
      </c>
      <c r="AQ9" s="88">
        <f>IFERROR(_xlfn.XLOOKUP($A9,CFR20252026_BenchMarkDataReport!$B:$B,CFR20252026_BenchMarkDataReport!BF:BF),0)</f>
        <v>10720.78</v>
      </c>
      <c r="AR9" s="88">
        <f>IFERROR(_xlfn.XLOOKUP($A9,CFR20252026_BenchMarkDataReport!$B:$B,CFR20252026_BenchMarkDataReport!BG:BG),0)</f>
        <v>6568.94</v>
      </c>
      <c r="AS9" s="88">
        <f>IFERROR(_xlfn.XLOOKUP($A9,CFR20252026_BenchMarkDataReport!$B:$B,CFR20252026_BenchMarkDataReport!BH:BH),0)</f>
        <v>413.85</v>
      </c>
      <c r="AT9" s="88">
        <f>IFERROR(_xlfn.XLOOKUP($A9,CFR20252026_BenchMarkDataReport!$B:$B,CFR20252026_BenchMarkDataReport!BI:BI),0)</f>
        <v>19645</v>
      </c>
      <c r="AU9" s="88">
        <f>IFERROR(_xlfn.XLOOKUP($A9,CFR20252026_BenchMarkDataReport!$B:$B,CFR20252026_BenchMarkDataReport!BJ:BJ),0)</f>
        <v>0</v>
      </c>
      <c r="AV9" s="88">
        <f>IFERROR(_xlfn.XLOOKUP($A9,CFR20252026_BenchMarkDataReport!$B:$B,CFR20252026_BenchMarkDataReport!BK:BK),0)</f>
        <v>4964.99</v>
      </c>
      <c r="AW9" s="88">
        <f>IFERROR(_xlfn.XLOOKUP($A9,CFR20252026_BenchMarkDataReport!$B:$B,CFR20252026_BenchMarkDataReport!BL:BL),0)</f>
        <v>18176.22</v>
      </c>
      <c r="AX9" s="88">
        <f>IFERROR(_xlfn.XLOOKUP($A9,CFR20252026_BenchMarkDataReport!$B:$B,CFR20252026_BenchMarkDataReport!BM:BM),0)</f>
        <v>3908.67</v>
      </c>
      <c r="AY9" s="88">
        <f>IFERROR(_xlfn.XLOOKUP($A9,CFR20252026_BenchMarkDataReport!$B:$B,CFR20252026_BenchMarkDataReport!BN:BN),0)</f>
        <v>204402.24</v>
      </c>
      <c r="AZ9" s="88">
        <f>IFERROR(_xlfn.XLOOKUP($A9,CFR20252026_BenchMarkDataReport!$B:$B,CFR20252026_BenchMarkDataReport!BO:BO),0)</f>
        <v>62122.080000000002</v>
      </c>
      <c r="BA9" s="88">
        <f>IFERROR(_xlfn.XLOOKUP($A9,CFR20252026_BenchMarkDataReport!$B:$B,CFR20252026_BenchMarkDataReport!BP:BP),0)</f>
        <v>185944.49</v>
      </c>
      <c r="BB9" s="88">
        <f>IFERROR(_xlfn.XLOOKUP($A9,CFR20252026_BenchMarkDataReport!$B:$B,CFR20252026_BenchMarkDataReport!BQ:BQ),0)</f>
        <v>39272.42</v>
      </c>
      <c r="BC9" s="88">
        <f>IFERROR(_xlfn.XLOOKUP($A9,CFR20252026_BenchMarkDataReport!$B:$B,CFR20252026_BenchMarkDataReport!BR:BR),0)</f>
        <v>0</v>
      </c>
      <c r="BD9" s="88">
        <f>IFERROR(_xlfn.XLOOKUP($A9,CFR20252026_BenchMarkDataReport!$B:$B,CFR20252026_BenchMarkDataReport!BS:BS),0)</f>
        <v>0</v>
      </c>
      <c r="BE9" s="88">
        <f>IFERROR(_xlfn.XLOOKUP($A9,CFR20252026_BenchMarkDataReport!$B:$B,CFR20252026_BenchMarkDataReport!BT:BT),0)</f>
        <v>9300</v>
      </c>
      <c r="BF9" s="88">
        <f>IFERROR(_xlfn.XLOOKUP($A9,CFR20252026_BenchMarkDataReport!$B:$B,CFR20252026_BenchMarkDataReport!BU:BU),0)</f>
        <v>0</v>
      </c>
      <c r="BG9" s="88">
        <f>IFERROR(_xlfn.XLOOKUP($A9,CFR20252026_BenchMarkDataReport!$B:$B,CFR20252026_BenchMarkDataReport!BV:BV),0)</f>
        <v>0</v>
      </c>
      <c r="BH9" s="89">
        <f t="shared" si="0"/>
        <v>3293499.0200000005</v>
      </c>
      <c r="BI9" s="90">
        <f>SUM(U9:BE9)</f>
        <v>3395990.0199999996</v>
      </c>
      <c r="BJ9" s="124">
        <f>BH9-BI9</f>
        <v>-102490.99999999907</v>
      </c>
      <c r="BK9" s="88">
        <f>IFERROR(_xlfn.XLOOKUP(A9,CFR20252026_BenchMarkDataReport!$B:$B,CFR20252026_BenchMarkDataReport!P:P)+_xlfn.XLOOKUP(A9,CFR20252026_BenchMarkDataReport!$B:$B,CFR20252026_BenchMarkDataReport!Q:Q),0)</f>
        <v>325702</v>
      </c>
      <c r="BL9" s="89">
        <f t="shared" si="1"/>
        <v>223211.00000000093</v>
      </c>
      <c r="BM9" s="91">
        <f>SUMIFS(PP!I:I,PP!E:E,A9)</f>
        <v>419</v>
      </c>
      <c r="BN9" s="90">
        <f t="shared" ref="BN9:BN40" si="21">D9+E9+F9</f>
        <v>2289820.3200000003</v>
      </c>
      <c r="BO9" t="s">
        <v>173</v>
      </c>
      <c r="BP9" s="92">
        <f t="shared" ref="BP9:BP51" si="22">IFERROR(D9/BH9,0)</f>
        <v>0.65309236375603952</v>
      </c>
      <c r="BQ9" s="93">
        <f t="shared" ref="BQ9:BQ51" si="23">D9/BM9</f>
        <v>5133.5538424821007</v>
      </c>
      <c r="BR9" s="94">
        <f t="shared" ref="BR9:BR51" si="24">E9/BH9</f>
        <v>0</v>
      </c>
      <c r="BS9" s="95">
        <f t="shared" ref="BS9:BS51" si="25">E9/BM9</f>
        <v>0</v>
      </c>
      <c r="BT9" s="92">
        <f t="shared" ref="BT9:BT51" si="26">F9/BH9</f>
        <v>4.2162229032635327E-2</v>
      </c>
      <c r="BU9" s="93">
        <f t="shared" ref="BU9:BU51" si="27">F9/BM9</f>
        <v>331.4111217183771</v>
      </c>
      <c r="BV9" s="94">
        <f t="shared" ref="BV9:BV51" si="28">G9/BH9</f>
        <v>0</v>
      </c>
      <c r="BW9" s="95">
        <f t="shared" ref="BW9:BW51" si="29">G9/BM9</f>
        <v>0</v>
      </c>
      <c r="BX9" s="92">
        <f t="shared" ref="BX9:BX51" si="30">H9/BH9</f>
        <v>9.1999420118242504E-4</v>
      </c>
      <c r="BY9" s="93">
        <f t="shared" ref="BY9:BY51" si="31">H9/BM9</f>
        <v>7.2315035799522676</v>
      </c>
      <c r="BZ9" s="94">
        <f t="shared" ref="BZ9:BZ51" si="32">I9/BH9</f>
        <v>4.3108927355927973E-2</v>
      </c>
      <c r="CA9" s="95">
        <f t="shared" ref="CA9:CA51" si="33">I9/BM9</f>
        <v>338.85252983293555</v>
      </c>
      <c r="CB9" s="92">
        <f t="shared" ref="CB9:CB51" si="34">J9/BH9</f>
        <v>5.2773952244868125E-2</v>
      </c>
      <c r="CC9" s="93">
        <f t="shared" ref="CC9:CC51" si="35">J9/BM9</f>
        <v>414.8232935560859</v>
      </c>
      <c r="CD9" s="94">
        <f t="shared" ref="CD9:CD51" si="36">IFERROR((K9+L9)/BH9,0)</f>
        <v>8.7304018690735775E-3</v>
      </c>
      <c r="CE9" s="96">
        <f t="shared" ref="CE9:CE51" si="37">IFERROR((K9+L9)/BM9,0)</f>
        <v>68.624272076372321</v>
      </c>
      <c r="CF9" s="97">
        <f t="shared" ref="CF9:CF51" si="38">P9/BH9</f>
        <v>3.6838177046125242E-2</v>
      </c>
      <c r="CG9" s="98">
        <f t="shared" ref="CG9:CG51" si="39">P9/BM9</f>
        <v>289.56205250596656</v>
      </c>
      <c r="CH9" s="94">
        <f t="shared" ref="CH9:CH51" si="40">Q9/BH9</f>
        <v>0.16123676575437387</v>
      </c>
      <c r="CI9" s="95">
        <f t="shared" ref="CI9:CI51" si="41">Q9/BM9</f>
        <v>1267.3821718377089</v>
      </c>
      <c r="CJ9" s="99">
        <f t="shared" ref="CJ9:CJ38" si="42">(U9+V9+AZ9)/BN9</f>
        <v>0.66640417882220548</v>
      </c>
      <c r="CK9" s="97">
        <f t="shared" ref="CK9:CK38" si="43">(U9+V9+AZ9)/BH9</f>
        <v>0.46332056597970384</v>
      </c>
      <c r="CL9" s="97">
        <f t="shared" ref="CL9:CL38" si="44">(U9+V9+AZ9)/BI9</f>
        <v>0.44933754840657636</v>
      </c>
      <c r="CM9" s="98">
        <f t="shared" ref="CM9:CM38" si="45">(U9+V9+AZ9)/BM9</f>
        <v>3641.8754892601432</v>
      </c>
      <c r="CN9" s="94">
        <f t="shared" ref="CN9:CN38" si="46">W9/BN9</f>
        <v>0.26772241238561456</v>
      </c>
      <c r="CO9" s="100">
        <f t="shared" ref="CO9:CO38" si="47">W9/BH9</f>
        <v>0.18613523680356214</v>
      </c>
      <c r="CP9" s="100">
        <f t="shared" ref="CP9:CP38" si="48">W9/BI9</f>
        <v>0.18051767419504963</v>
      </c>
      <c r="CQ9" s="101">
        <f t="shared" ref="CQ9:CQ38" si="49">W9/BM9</f>
        <v>1463.0936038186157</v>
      </c>
      <c r="CR9" s="99">
        <f t="shared" ref="CR9:CR38" si="50">X9/BN9</f>
        <v>1.4910300909549095E-2</v>
      </c>
      <c r="CS9" s="97">
        <f t="shared" ref="CS9:CS38" si="51">X9/BH9</f>
        <v>1.0366455187225166E-2</v>
      </c>
      <c r="CT9" s="97">
        <f t="shared" ref="CT9:CT38" si="52">X9/BI9</f>
        <v>1.005359550497148E-2</v>
      </c>
      <c r="CU9" s="98">
        <f t="shared" ref="CU9:CU38" si="53">X9/BM9</f>
        <v>81.484272076372321</v>
      </c>
      <c r="CV9" s="94">
        <f t="shared" ref="CV9:CV38" si="54">Y9/BN9</f>
        <v>6.6556248395943998E-2</v>
      </c>
      <c r="CW9" s="100">
        <f t="shared" ref="CW9:CW38" si="55">Y9/BH9</f>
        <v>4.6273537376063947E-2</v>
      </c>
      <c r="CX9" s="100">
        <f t="shared" ref="CX9:CX38" si="56">Y9/BI9</f>
        <v>4.4877001729233597E-2</v>
      </c>
      <c r="CY9" s="95">
        <f t="shared" ref="CY9:CY38" si="57">Y9/BM9</f>
        <v>363.72756563245827</v>
      </c>
      <c r="CZ9" s="99">
        <f t="shared" ref="CZ9:CZ38" si="58">(U9+V9+W9+X9+Y9+Z9+AA9)/BN9</f>
        <v>1.0021130042203485</v>
      </c>
      <c r="DA9" s="97">
        <f t="shared" ref="DA9:DA38" si="59">(U9+V9+W9+X9+Y9+Z9+AA9)/BH9</f>
        <v>0.69672366867745417</v>
      </c>
      <c r="DB9" s="97">
        <f t="shared" ref="DB9:DB38" si="60">(U9+V9+W9+X9+Y9+Z9+AA9)/BI9</f>
        <v>0.67569654400810064</v>
      </c>
      <c r="DC9" s="98">
        <f t="shared" ref="DC9:DC38" si="61">(U9+V9+W9+X9+Y9+Z9+AA9)/BM9</f>
        <v>5476.5124582338904</v>
      </c>
      <c r="DD9" s="94">
        <f t="shared" ref="DD9:DD38" si="62">AF9/BN9</f>
        <v>2.9216375370448276E-2</v>
      </c>
      <c r="DE9" s="100">
        <f t="shared" ref="DE9:DE38" si="63">AF9/BI9</f>
        <v>1.9699778151880436E-2</v>
      </c>
      <c r="DF9" s="95">
        <f t="shared" ref="DF9:DF38" si="64">AF9/BM9</f>
        <v>159.6664677804296</v>
      </c>
      <c r="DG9" s="99">
        <f t="shared" ref="DG9:DG38" si="65">AI9/BI9</f>
        <v>5.0567021395428015E-3</v>
      </c>
      <c r="DH9" s="98">
        <f t="shared" ref="DH9:DH38" si="66">AI9/BM9</f>
        <v>40.984510739856795</v>
      </c>
      <c r="DI9" s="94">
        <f t="shared" ref="DI9:DI38" si="67">AJ9/BN9</f>
        <v>1.801878498484108E-2</v>
      </c>
      <c r="DJ9" s="100">
        <f t="shared" ref="DJ9:DJ38" si="68">AJ9/BI9</f>
        <v>1.2149558672731318E-2</v>
      </c>
      <c r="DK9" s="95">
        <f t="shared" ref="DK9:DK38" si="69">AJ9/BM9</f>
        <v>98.472028639618131</v>
      </c>
      <c r="DL9" s="99">
        <f t="shared" ref="DL9:DL38" si="70">AL9/BN9</f>
        <v>6.1606025926086633E-2</v>
      </c>
      <c r="DM9" s="97">
        <f t="shared" ref="DM9:DM38" si="71">AL9/BI9</f>
        <v>4.1539206290129214E-2</v>
      </c>
      <c r="DN9" s="102">
        <f t="shared" ref="DN9:DN38" si="72">AL9/BM9</f>
        <v>336.67477326968975</v>
      </c>
      <c r="DO9" s="94">
        <f t="shared" ref="DO9:DO38" si="73">AM9/BN9</f>
        <v>7.8625086181434531E-2</v>
      </c>
      <c r="DP9" s="100">
        <f t="shared" ref="DP9:DP38" si="74">AM9/BH9</f>
        <v>5.4664452276047736E-2</v>
      </c>
      <c r="DQ9" s="100">
        <f t="shared" ref="DQ9:DQ38" si="75">AM9/BI9</f>
        <v>5.3014678765163165E-2</v>
      </c>
      <c r="DR9" s="95">
        <f t="shared" ref="DR9:DR38" si="76">AM9/BM9</f>
        <v>429.68334128878286</v>
      </c>
      <c r="DS9" s="99">
        <f t="shared" ref="DS9:DS38" si="77">AV9/BN9</f>
        <v>2.1682880340584973E-3</v>
      </c>
      <c r="DT9" s="97">
        <f t="shared" ref="DT9:DT38" si="78">IFERROR(AV9/BI9,0)</f>
        <v>1.4620154861350271E-3</v>
      </c>
      <c r="DU9" s="98">
        <f>AV9/BM9</f>
        <v>11.849618138424821</v>
      </c>
      <c r="DV9" s="94">
        <f t="shared" ref="DV9:DV38" si="79">IFERROR(BA9/BN9,0)</f>
        <v>8.1204838814601818E-2</v>
      </c>
      <c r="DW9" s="100">
        <f t="shared" ref="DW9:DW38" si="80">IFERROR(BA9/BI9,0)</f>
        <v>5.4754133229166564E-2</v>
      </c>
      <c r="DX9" s="95">
        <f t="shared" ref="DX9:DX38" si="81">BA9/BM9</f>
        <v>443.78159904534601</v>
      </c>
      <c r="DY9" s="99">
        <f t="shared" ref="DY9:DY38" si="82">AY9/BI9</f>
        <v>6.0189293489148712E-2</v>
      </c>
      <c r="DZ9" s="98">
        <f t="shared" ref="DZ9:DZ38" si="83">AY9/BM9</f>
        <v>487.83350835322193</v>
      </c>
      <c r="EA9" s="94">
        <f t="shared" si="14"/>
        <v>1.5839969989075529E-2</v>
      </c>
      <c r="EB9" s="95">
        <f t="shared" ref="EB9:EB66" si="84">IFERROR((AH9/BM9),0)</f>
        <v>128.38276849642003</v>
      </c>
      <c r="EC9" s="103">
        <f>IFERROR(VLOOKUP(A9,PP!$E$3:$S$130,14,0),0)</f>
        <v>2</v>
      </c>
    </row>
    <row r="10" spans="1:227">
      <c r="A10" s="121">
        <v>3317</v>
      </c>
      <c r="B10" s="122">
        <v>10042</v>
      </c>
      <c r="C10" s="121" t="s">
        <v>32</v>
      </c>
      <c r="D10" s="88">
        <f>IFERROR(_xlfn.XLOOKUP($A10,CFR20252026_BenchMarkDataReport!$B:$B,CFR20252026_BenchMarkDataReport!S:S),0)</f>
        <v>1402794.75</v>
      </c>
      <c r="E10" s="88">
        <f>IFERROR(_xlfn.XLOOKUP($A10,CFR20252026_BenchMarkDataReport!$B:$B,CFR20252026_BenchMarkDataReport!T:T),0)</f>
        <v>0</v>
      </c>
      <c r="F10" s="88">
        <f>IFERROR(_xlfn.XLOOKUP($A10,CFR20252026_BenchMarkDataReport!$B:$B,CFR20252026_BenchMarkDataReport!U:U),0)</f>
        <v>196072.27</v>
      </c>
      <c r="G10" s="88">
        <f>IFERROR(_xlfn.XLOOKUP($A10,CFR20252026_BenchMarkDataReport!$B:$B,CFR20252026_BenchMarkDataReport!V:V),0)</f>
        <v>0</v>
      </c>
      <c r="H10" s="88">
        <f>IFERROR(_xlfn.XLOOKUP($A10,CFR20252026_BenchMarkDataReport!$B:$B,CFR20252026_BenchMarkDataReport!W:W),0)</f>
        <v>72520</v>
      </c>
      <c r="I10" s="88">
        <f>IFERROR(_xlfn.XLOOKUP($A10,CFR20252026_BenchMarkDataReport!$B:$B,CFR20252026_BenchMarkDataReport!X:X),0)</f>
        <v>42898.6</v>
      </c>
      <c r="J10" s="88">
        <f>IFERROR(_xlfn.XLOOKUP($A10,CFR20252026_BenchMarkDataReport!$B:$B,CFR20252026_BenchMarkDataReport!Y:Y),0)</f>
        <v>61885.98</v>
      </c>
      <c r="K10" s="88">
        <f>IFERROR(_xlfn.XLOOKUP($A10,CFR20252026_BenchMarkDataReport!$B:$B,CFR20252026_BenchMarkDataReport!Z:Z),0)</f>
        <v>41937.360000000001</v>
      </c>
      <c r="L10" s="88">
        <f>IFERROR(_xlfn.XLOOKUP($A10,CFR20252026_BenchMarkDataReport!$B:$B,CFR20252026_BenchMarkDataReport!AA:AA),0)</f>
        <v>30331.27</v>
      </c>
      <c r="M10" s="88">
        <f>IFERROR(_xlfn.XLOOKUP($A10,CFR20252026_BenchMarkDataReport!$B:$B,CFR20252026_BenchMarkDataReport!AB:AB),0)</f>
        <v>2095.5</v>
      </c>
      <c r="N10" s="88">
        <f>IFERROR(_xlfn.XLOOKUP($A10,CFR20252026_BenchMarkDataReport!$B:$B,CFR20252026_BenchMarkDataReport!AC:AC),0)</f>
        <v>-8625</v>
      </c>
      <c r="O10" s="88">
        <f>IFERROR(_xlfn.XLOOKUP($A10,CFR20252026_BenchMarkDataReport!$B:$B,CFR20252026_BenchMarkDataReport!AD:AD),0)</f>
        <v>750</v>
      </c>
      <c r="P10" s="88">
        <f>IFERROR(_xlfn.XLOOKUP($A10,CFR20252026_BenchMarkDataReport!$B:$B,CFR20252026_BenchMarkDataReport!AE:AE),0)</f>
        <v>49297.02</v>
      </c>
      <c r="Q10" s="88">
        <f>IFERROR(_xlfn.XLOOKUP($A10,CFR20252026_BenchMarkDataReport!$B:$B,CFR20252026_BenchMarkDataReport!AF:AF),0)</f>
        <v>33908.5</v>
      </c>
      <c r="R10" s="88">
        <f>IFERROR(_xlfn.XLOOKUP($A10,CFR20252026_BenchMarkDataReport!$B:$B,CFR20252026_BenchMarkDataReport!AG:AG),0)</f>
        <v>0</v>
      </c>
      <c r="S10" s="88">
        <f>IFERROR(_xlfn.XLOOKUP($A10,CFR20252026_BenchMarkDataReport!$B:$B,CFR20252026_BenchMarkDataReport!AH:AH),0)</f>
        <v>0</v>
      </c>
      <c r="T10" s="88">
        <f>IFERROR(_xlfn.XLOOKUP($A10,CFR20252026_BenchMarkDataReport!$B:$B,CFR20252026_BenchMarkDataReport!AI:AI),0)</f>
        <v>0</v>
      </c>
      <c r="U10" s="88">
        <f>IFERROR(_xlfn.XLOOKUP($A10,CFR20252026_BenchMarkDataReport!$B:$B,CFR20252026_BenchMarkDataReport!AJ:AJ),0)</f>
        <v>812081.21</v>
      </c>
      <c r="V10" s="88">
        <f>IFERROR(_xlfn.XLOOKUP($A10,CFR20252026_BenchMarkDataReport!$B:$B,CFR20252026_BenchMarkDataReport!AK:AK),0)</f>
        <v>21627</v>
      </c>
      <c r="W10" s="88">
        <f>IFERROR(_xlfn.XLOOKUP($A10,CFR20252026_BenchMarkDataReport!$B:$B,CFR20252026_BenchMarkDataReport!AL:AL),0)</f>
        <v>404406.48</v>
      </c>
      <c r="X10" s="88">
        <f>IFERROR(_xlfn.XLOOKUP($A10,CFR20252026_BenchMarkDataReport!$B:$B,CFR20252026_BenchMarkDataReport!AM:AM),0)</f>
        <v>44598.82</v>
      </c>
      <c r="Y10" s="88">
        <f>IFERROR(_xlfn.XLOOKUP($A10,CFR20252026_BenchMarkDataReport!$B:$B,CFR20252026_BenchMarkDataReport!AN:AN),0)</f>
        <v>71644.36</v>
      </c>
      <c r="Z10" s="88">
        <f>IFERROR(_xlfn.XLOOKUP($A10,CFR20252026_BenchMarkDataReport!$B:$B,CFR20252026_BenchMarkDataReport!AO:AO),0)</f>
        <v>0</v>
      </c>
      <c r="AA10" s="88">
        <f>IFERROR(_xlfn.XLOOKUP($A10,CFR20252026_BenchMarkDataReport!$B:$B,CFR20252026_BenchMarkDataReport!AP:AP),0)</f>
        <v>51708.1</v>
      </c>
      <c r="AB10" s="88">
        <f>IFERROR(_xlfn.XLOOKUP($A10,CFR20252026_BenchMarkDataReport!$B:$B,CFR20252026_BenchMarkDataReport!AQ:AQ),0)</f>
        <v>768.73</v>
      </c>
      <c r="AC10" s="88">
        <f>IFERROR(_xlfn.XLOOKUP($A10,CFR20252026_BenchMarkDataReport!$B:$B,CFR20252026_BenchMarkDataReport!AR:AR),0)</f>
        <v>1484.5</v>
      </c>
      <c r="AD10" s="88">
        <f>IFERROR(_xlfn.XLOOKUP($A10,CFR20252026_BenchMarkDataReport!$B:$B,CFR20252026_BenchMarkDataReport!AS:AS),0)</f>
        <v>6918.48</v>
      </c>
      <c r="AE10" s="88">
        <f>IFERROR(_xlfn.XLOOKUP($A10,CFR20252026_BenchMarkDataReport!$B:$B,CFR20252026_BenchMarkDataReport!AT:AT),0)</f>
        <v>0</v>
      </c>
      <c r="AF10" s="88">
        <f>IFERROR(_xlfn.XLOOKUP($A10,CFR20252026_BenchMarkDataReport!$B:$B,CFR20252026_BenchMarkDataReport!AU:AU),0)</f>
        <v>26366.43</v>
      </c>
      <c r="AG10" s="88">
        <f>IFERROR(_xlfn.XLOOKUP($A10,CFR20252026_BenchMarkDataReport!$B:$B,CFR20252026_BenchMarkDataReport!AV:AV),0)</f>
        <v>5503.18</v>
      </c>
      <c r="AH10" s="88">
        <f>IFERROR(_xlfn.XLOOKUP($A10,CFR20252026_BenchMarkDataReport!$B:$B,CFR20252026_BenchMarkDataReport!AW:AW),0)</f>
        <v>39328.699999999997</v>
      </c>
      <c r="AI10" s="88">
        <f>IFERROR(_xlfn.XLOOKUP($A10,CFR20252026_BenchMarkDataReport!$B:$B,CFR20252026_BenchMarkDataReport!AX:AX),0)</f>
        <v>9569.98</v>
      </c>
      <c r="AJ10" s="88">
        <f>IFERROR(_xlfn.XLOOKUP($A10,CFR20252026_BenchMarkDataReport!$B:$B,CFR20252026_BenchMarkDataReport!AY:AY),0)</f>
        <v>29502.79</v>
      </c>
      <c r="AK10" s="88">
        <f>IFERROR(_xlfn.XLOOKUP($A10,CFR20252026_BenchMarkDataReport!$B:$B,CFR20252026_BenchMarkDataReport!AZ:AZ),0)</f>
        <v>4742.18</v>
      </c>
      <c r="AL10" s="88">
        <f>IFERROR(_xlfn.XLOOKUP($A10,CFR20252026_BenchMarkDataReport!$B:$B,CFR20252026_BenchMarkDataReport!BA:BA),0)</f>
        <v>9205.91</v>
      </c>
      <c r="AM10" s="88">
        <f>IFERROR(_xlfn.XLOOKUP($A10,CFR20252026_BenchMarkDataReport!$B:$B,CFR20252026_BenchMarkDataReport!BB:BB),0)</f>
        <v>63628.32</v>
      </c>
      <c r="AN10" s="88">
        <f>IFERROR(_xlfn.XLOOKUP($A10,CFR20252026_BenchMarkDataReport!$B:$B,CFR20252026_BenchMarkDataReport!BC:BC),0)</f>
        <v>7136.06</v>
      </c>
      <c r="AO10" s="88">
        <f>IFERROR(_xlfn.XLOOKUP($A10,CFR20252026_BenchMarkDataReport!$B:$B,CFR20252026_BenchMarkDataReport!BD:BD),0)</f>
        <v>0</v>
      </c>
      <c r="AP10" s="88">
        <f>IFERROR(_xlfn.XLOOKUP($A10,CFR20252026_BenchMarkDataReport!$B:$B,CFR20252026_BenchMarkDataReport!BE:BE),0)</f>
        <v>2696.25</v>
      </c>
      <c r="AQ10" s="88">
        <f>IFERROR(_xlfn.XLOOKUP($A10,CFR20252026_BenchMarkDataReport!$B:$B,CFR20252026_BenchMarkDataReport!BF:BF),0)</f>
        <v>11508.82</v>
      </c>
      <c r="AR10" s="88">
        <f>IFERROR(_xlfn.XLOOKUP($A10,CFR20252026_BenchMarkDataReport!$B:$B,CFR20252026_BenchMarkDataReport!BG:BG),0)</f>
        <v>5989.46</v>
      </c>
      <c r="AS10" s="88">
        <f>IFERROR(_xlfn.XLOOKUP($A10,CFR20252026_BenchMarkDataReport!$B:$B,CFR20252026_BenchMarkDataReport!BH:BH),0)</f>
        <v>618.14</v>
      </c>
      <c r="AT10" s="88">
        <f>IFERROR(_xlfn.XLOOKUP($A10,CFR20252026_BenchMarkDataReport!$B:$B,CFR20252026_BenchMarkDataReport!BI:BI),0)</f>
        <v>7430</v>
      </c>
      <c r="AU10" s="88">
        <f>IFERROR(_xlfn.XLOOKUP($A10,CFR20252026_BenchMarkDataReport!$B:$B,CFR20252026_BenchMarkDataReport!BJ:BJ),0)</f>
        <v>0</v>
      </c>
      <c r="AV10" s="88">
        <f>IFERROR(_xlfn.XLOOKUP($A10,CFR20252026_BenchMarkDataReport!$B:$B,CFR20252026_BenchMarkDataReport!BK:BK),0)</f>
        <v>3206.8</v>
      </c>
      <c r="AW10" s="88">
        <f>IFERROR(_xlfn.XLOOKUP($A10,CFR20252026_BenchMarkDataReport!$B:$B,CFR20252026_BenchMarkDataReport!BL:BL),0)</f>
        <v>11220.87</v>
      </c>
      <c r="AX10" s="88">
        <f>IFERROR(_xlfn.XLOOKUP($A10,CFR20252026_BenchMarkDataReport!$B:$B,CFR20252026_BenchMarkDataReport!BM:BM),0)</f>
        <v>6865.36</v>
      </c>
      <c r="AY10" s="88">
        <f>IFERROR(_xlfn.XLOOKUP($A10,CFR20252026_BenchMarkDataReport!$B:$B,CFR20252026_BenchMarkDataReport!BN:BN),0)</f>
        <v>91932.7</v>
      </c>
      <c r="AZ10" s="88">
        <f>IFERROR(_xlfn.XLOOKUP($A10,CFR20252026_BenchMarkDataReport!$B:$B,CFR20252026_BenchMarkDataReport!BO:BO),0)</f>
        <v>9681.34</v>
      </c>
      <c r="BA10" s="88">
        <f>IFERROR(_xlfn.XLOOKUP($A10,CFR20252026_BenchMarkDataReport!$B:$B,CFR20252026_BenchMarkDataReport!BP:BP),0)</f>
        <v>96798.73</v>
      </c>
      <c r="BB10" s="88">
        <f>IFERROR(_xlfn.XLOOKUP($A10,CFR20252026_BenchMarkDataReport!$B:$B,CFR20252026_BenchMarkDataReport!BQ:BQ),0)</f>
        <v>27039.200000000001</v>
      </c>
      <c r="BC10" s="88">
        <f>IFERROR(_xlfn.XLOOKUP($A10,CFR20252026_BenchMarkDataReport!$B:$B,CFR20252026_BenchMarkDataReport!BR:BR),0)</f>
        <v>0</v>
      </c>
      <c r="BD10" s="88">
        <f>IFERROR(_xlfn.XLOOKUP($A10,CFR20252026_BenchMarkDataReport!$B:$B,CFR20252026_BenchMarkDataReport!BS:BS),0)</f>
        <v>0</v>
      </c>
      <c r="BE10" s="88">
        <f>IFERROR(_xlfn.XLOOKUP($A10,CFR20252026_BenchMarkDataReport!$B:$B,CFR20252026_BenchMarkDataReport!BT:BT),0)</f>
        <v>0</v>
      </c>
      <c r="BF10" s="88">
        <f>IFERROR(_xlfn.XLOOKUP($A10,CFR20252026_BenchMarkDataReport!$B:$B,CFR20252026_BenchMarkDataReport!BU:BU),0)</f>
        <v>0</v>
      </c>
      <c r="BG10" s="88">
        <f>IFERROR(_xlfn.XLOOKUP($A10,CFR20252026_BenchMarkDataReport!$B:$B,CFR20252026_BenchMarkDataReport!BV:BV),0)</f>
        <v>0</v>
      </c>
      <c r="BH10" s="89">
        <f t="shared" si="0"/>
        <v>1925866.2500000002</v>
      </c>
      <c r="BI10" s="90">
        <f t="shared" ref="BI10:BI36" si="85">SUM(U10:BE10)</f>
        <v>1885208.9000000001</v>
      </c>
      <c r="BJ10" s="124">
        <f t="shared" ref="BJ10:BJ36" si="86">BH10-BI10</f>
        <v>40657.350000000093</v>
      </c>
      <c r="BK10" s="88">
        <f>IFERROR(_xlfn.XLOOKUP(A10,CFR20252026_BenchMarkDataReport!$B:$B,CFR20252026_BenchMarkDataReport!P:P)+_xlfn.XLOOKUP(A10,CFR20252026_BenchMarkDataReport!$B:$B,CFR20252026_BenchMarkDataReport!Q:Q),0)</f>
        <v>176641.72</v>
      </c>
      <c r="BL10" s="89">
        <f t="shared" si="1"/>
        <v>217299.07000000009</v>
      </c>
      <c r="BM10" s="91">
        <f>SUMIFS(PP!I:I,PP!E:E,A10)</f>
        <v>202</v>
      </c>
      <c r="BN10" s="90">
        <f t="shared" si="21"/>
        <v>1598867.02</v>
      </c>
      <c r="BO10" t="s">
        <v>173</v>
      </c>
      <c r="BP10" s="92">
        <f t="shared" si="22"/>
        <v>0.72839676690943611</v>
      </c>
      <c r="BQ10" s="93">
        <f t="shared" si="23"/>
        <v>6944.5284653465351</v>
      </c>
      <c r="BR10" s="94">
        <f t="shared" si="24"/>
        <v>0</v>
      </c>
      <c r="BS10" s="95">
        <f t="shared" si="25"/>
        <v>0</v>
      </c>
      <c r="BT10" s="92">
        <f t="shared" si="26"/>
        <v>0.10180991021572758</v>
      </c>
      <c r="BU10" s="93">
        <f t="shared" si="27"/>
        <v>970.65480198019793</v>
      </c>
      <c r="BV10" s="94">
        <f t="shared" si="28"/>
        <v>0</v>
      </c>
      <c r="BW10" s="95">
        <f t="shared" si="29"/>
        <v>0</v>
      </c>
      <c r="BX10" s="92">
        <f t="shared" si="30"/>
        <v>3.7655782170750433E-2</v>
      </c>
      <c r="BY10" s="93">
        <f t="shared" si="31"/>
        <v>359.00990099009903</v>
      </c>
      <c r="BZ10" s="94">
        <f t="shared" si="32"/>
        <v>2.2274963279511228E-2</v>
      </c>
      <c r="CA10" s="95">
        <f t="shared" si="33"/>
        <v>212.36930693069306</v>
      </c>
      <c r="CB10" s="92">
        <f t="shared" si="34"/>
        <v>3.2134100693648894E-2</v>
      </c>
      <c r="CC10" s="93">
        <f t="shared" si="35"/>
        <v>306.3662376237624</v>
      </c>
      <c r="CD10" s="94">
        <f t="shared" si="36"/>
        <v>3.752525908795587E-2</v>
      </c>
      <c r="CE10" s="96">
        <f t="shared" si="37"/>
        <v>357.76549504950498</v>
      </c>
      <c r="CF10" s="97">
        <f t="shared" si="38"/>
        <v>2.5597322763198115E-2</v>
      </c>
      <c r="CG10" s="98">
        <f t="shared" si="39"/>
        <v>244.04465346534653</v>
      </c>
      <c r="CH10" s="94">
        <f t="shared" si="40"/>
        <v>1.7606882097861154E-2</v>
      </c>
      <c r="CI10" s="95">
        <f t="shared" si="41"/>
        <v>167.86386138613861</v>
      </c>
      <c r="CJ10" s="99">
        <f>(U10+V10+AZ10)/BN10</f>
        <v>0.52749199242348488</v>
      </c>
      <c r="CK10" s="97">
        <f t="shared" si="43"/>
        <v>0.43792737424003347</v>
      </c>
      <c r="CL10" s="97">
        <f t="shared" si="44"/>
        <v>0.44737193315817675</v>
      </c>
      <c r="CM10" s="98">
        <f t="shared" si="45"/>
        <v>4175.1957920792074</v>
      </c>
      <c r="CN10" s="94">
        <f t="shared" si="46"/>
        <v>0.25293315512881115</v>
      </c>
      <c r="CO10" s="100">
        <f t="shared" si="47"/>
        <v>0.20998679425427386</v>
      </c>
      <c r="CP10" s="100">
        <f t="shared" si="48"/>
        <v>0.21451547359022119</v>
      </c>
      <c r="CQ10" s="101">
        <f t="shared" si="49"/>
        <v>2002.0122772277227</v>
      </c>
      <c r="CR10" s="99">
        <f t="shared" si="50"/>
        <v>2.7894014600413734E-2</v>
      </c>
      <c r="CS10" s="97">
        <f t="shared" si="51"/>
        <v>2.3157797173090289E-2</v>
      </c>
      <c r="CT10" s="97">
        <f t="shared" si="52"/>
        <v>2.3657229710723301E-2</v>
      </c>
      <c r="CU10" s="98">
        <f t="shared" si="53"/>
        <v>220.78623762376236</v>
      </c>
      <c r="CV10" s="94">
        <f t="shared" si="54"/>
        <v>4.4809455135299492E-2</v>
      </c>
      <c r="CW10" s="100">
        <f t="shared" si="55"/>
        <v>3.7201108851666095E-2</v>
      </c>
      <c r="CX10" s="100">
        <f t="shared" si="56"/>
        <v>3.8003406412944474E-2</v>
      </c>
      <c r="CY10" s="95">
        <f t="shared" si="57"/>
        <v>354.67504950495049</v>
      </c>
      <c r="CZ10" s="99">
        <f t="shared" si="58"/>
        <v>0.87941395526439725</v>
      </c>
      <c r="DA10" s="97">
        <f t="shared" si="59"/>
        <v>0.73009533761755263</v>
      </c>
      <c r="DB10" s="97">
        <f t="shared" si="60"/>
        <v>0.74584093571805232</v>
      </c>
      <c r="DC10" s="98">
        <f t="shared" si="61"/>
        <v>6960.7226237623772</v>
      </c>
      <c r="DD10" s="94">
        <f t="shared" si="62"/>
        <v>1.6490696017984034E-2</v>
      </c>
      <c r="DE10" s="100">
        <f t="shared" si="63"/>
        <v>1.3985946066772758E-2</v>
      </c>
      <c r="DF10" s="95">
        <f t="shared" si="64"/>
        <v>130.52688118811881</v>
      </c>
      <c r="DG10" s="99">
        <f t="shared" si="65"/>
        <v>5.0763498941682264E-3</v>
      </c>
      <c r="DH10" s="98">
        <f t="shared" si="66"/>
        <v>47.376138613861386</v>
      </c>
      <c r="DI10" s="94">
        <f t="shared" si="67"/>
        <v>1.8452310061408361E-2</v>
      </c>
      <c r="DJ10" s="100">
        <f t="shared" si="68"/>
        <v>1.5649613154276959E-2</v>
      </c>
      <c r="DK10" s="95">
        <f t="shared" si="69"/>
        <v>146.05341584158415</v>
      </c>
      <c r="DL10" s="99">
        <f t="shared" si="70"/>
        <v>5.7577708995461049E-3</v>
      </c>
      <c r="DM10" s="97">
        <f t="shared" si="71"/>
        <v>4.8832307125220974E-3</v>
      </c>
      <c r="DN10" s="102">
        <f t="shared" si="72"/>
        <v>45.573811881188121</v>
      </c>
      <c r="DO10" s="94">
        <f t="shared" si="73"/>
        <v>3.9795879960048207E-2</v>
      </c>
      <c r="DP10" s="100">
        <f t="shared" si="74"/>
        <v>3.3038805264903513E-2</v>
      </c>
      <c r="DQ10" s="100">
        <f t="shared" si="75"/>
        <v>3.3751336522971007E-2</v>
      </c>
      <c r="DR10" s="95">
        <f t="shared" si="76"/>
        <v>314.99168316831685</v>
      </c>
      <c r="DS10" s="99">
        <f t="shared" si="77"/>
        <v>2.0056702401679409E-3</v>
      </c>
      <c r="DT10" s="97">
        <f t="shared" si="78"/>
        <v>1.7010316469437418E-3</v>
      </c>
      <c r="DU10" s="98">
        <f t="shared" ref="DU10:DU38" si="87">AV10/BM10</f>
        <v>15.875247524752476</v>
      </c>
      <c r="DV10" s="94">
        <f t="shared" si="79"/>
        <v>6.0542076851394427E-2</v>
      </c>
      <c r="DW10" s="100">
        <f t="shared" si="80"/>
        <v>5.1346421078321873E-2</v>
      </c>
      <c r="DX10" s="95">
        <f t="shared" si="81"/>
        <v>479.20163366336629</v>
      </c>
      <c r="DY10" s="99">
        <f t="shared" si="82"/>
        <v>4.8765258852745706E-2</v>
      </c>
      <c r="DZ10" s="98">
        <f t="shared" si="83"/>
        <v>455.11237623762372</v>
      </c>
      <c r="EA10" s="94">
        <f t="shared" si="14"/>
        <v>2.0861719886851794E-2</v>
      </c>
      <c r="EB10" s="95">
        <f t="shared" si="84"/>
        <v>194.69653465346533</v>
      </c>
      <c r="EC10" s="103">
        <f>IFERROR(VLOOKUP(A10,PP!$E$3:$S$130,14,0),0)</f>
        <v>44</v>
      </c>
    </row>
    <row r="11" spans="1:227">
      <c r="A11" s="121">
        <v>3300</v>
      </c>
      <c r="B11" s="122">
        <v>10040</v>
      </c>
      <c r="C11" s="121" t="s">
        <v>33</v>
      </c>
      <c r="D11" s="88">
        <f>IFERROR(_xlfn.XLOOKUP($A11,CFR20252026_BenchMarkDataReport!$B:$B,CFR20252026_BenchMarkDataReport!S:S),0)</f>
        <v>1276406.24</v>
      </c>
      <c r="E11" s="88">
        <f>IFERROR(_xlfn.XLOOKUP($A11,CFR20252026_BenchMarkDataReport!$B:$B,CFR20252026_BenchMarkDataReport!T:T),0)</f>
        <v>0</v>
      </c>
      <c r="F11" s="88">
        <f>IFERROR(_xlfn.XLOOKUP($A11,CFR20252026_BenchMarkDataReport!$B:$B,CFR20252026_BenchMarkDataReport!U:U),0)</f>
        <v>120837.52</v>
      </c>
      <c r="G11" s="88">
        <f>IFERROR(_xlfn.XLOOKUP($A11,CFR20252026_BenchMarkDataReport!$B:$B,CFR20252026_BenchMarkDataReport!V:V),0)</f>
        <v>0</v>
      </c>
      <c r="H11" s="88">
        <f>IFERROR(_xlfn.XLOOKUP($A11,CFR20252026_BenchMarkDataReport!$B:$B,CFR20252026_BenchMarkDataReport!W:W),0)</f>
        <v>113625</v>
      </c>
      <c r="I11" s="88">
        <f>IFERROR(_xlfn.XLOOKUP($A11,CFR20252026_BenchMarkDataReport!$B:$B,CFR20252026_BenchMarkDataReport!X:X),0)</f>
        <v>52021.919999999998</v>
      </c>
      <c r="J11" s="88">
        <f>IFERROR(_xlfn.XLOOKUP($A11,CFR20252026_BenchMarkDataReport!$B:$B,CFR20252026_BenchMarkDataReport!Y:Y),0)</f>
        <v>26957.31</v>
      </c>
      <c r="K11" s="88">
        <f>IFERROR(_xlfn.XLOOKUP($A11,CFR20252026_BenchMarkDataReport!$B:$B,CFR20252026_BenchMarkDataReport!Z:Z),0)</f>
        <v>0</v>
      </c>
      <c r="L11" s="88">
        <f>IFERROR(_xlfn.XLOOKUP($A11,CFR20252026_BenchMarkDataReport!$B:$B,CFR20252026_BenchMarkDataReport!AA:AA),0)</f>
        <v>10977.51</v>
      </c>
      <c r="M11" s="88">
        <f>IFERROR(_xlfn.XLOOKUP($A11,CFR20252026_BenchMarkDataReport!$B:$B,CFR20252026_BenchMarkDataReport!AB:AB),0)</f>
        <v>127.37</v>
      </c>
      <c r="N11" s="88">
        <f>IFERROR(_xlfn.XLOOKUP($A11,CFR20252026_BenchMarkDataReport!$B:$B,CFR20252026_BenchMarkDataReport!AC:AC),0)</f>
        <v>0</v>
      </c>
      <c r="O11" s="88">
        <f>IFERROR(_xlfn.XLOOKUP($A11,CFR20252026_BenchMarkDataReport!$B:$B,CFR20252026_BenchMarkDataReport!AD:AD),0)</f>
        <v>0</v>
      </c>
      <c r="P11" s="88">
        <f>IFERROR(_xlfn.XLOOKUP($A11,CFR20252026_BenchMarkDataReport!$B:$B,CFR20252026_BenchMarkDataReport!AE:AE),0)</f>
        <v>11090.38</v>
      </c>
      <c r="Q11" s="88">
        <f>IFERROR(_xlfn.XLOOKUP($A11,CFR20252026_BenchMarkDataReport!$B:$B,CFR20252026_BenchMarkDataReport!AF:AF),0)</f>
        <v>4792.21</v>
      </c>
      <c r="R11" s="88">
        <f>IFERROR(_xlfn.XLOOKUP($A11,CFR20252026_BenchMarkDataReport!$B:$B,CFR20252026_BenchMarkDataReport!AG:AG),0)</f>
        <v>0</v>
      </c>
      <c r="S11" s="88">
        <f>IFERROR(_xlfn.XLOOKUP($A11,CFR20252026_BenchMarkDataReport!$B:$B,CFR20252026_BenchMarkDataReport!AH:AH),0)</f>
        <v>0</v>
      </c>
      <c r="T11" s="88">
        <f>IFERROR(_xlfn.XLOOKUP($A11,CFR20252026_BenchMarkDataReport!$B:$B,CFR20252026_BenchMarkDataReport!AI:AI),0)</f>
        <v>0</v>
      </c>
      <c r="U11" s="88">
        <f>IFERROR(_xlfn.XLOOKUP($A11,CFR20252026_BenchMarkDataReport!$B:$B,CFR20252026_BenchMarkDataReport!AJ:AJ),0)</f>
        <v>597311.05000000005</v>
      </c>
      <c r="V11" s="88">
        <f>IFERROR(_xlfn.XLOOKUP($A11,CFR20252026_BenchMarkDataReport!$B:$B,CFR20252026_BenchMarkDataReport!AK:AK),0)</f>
        <v>0</v>
      </c>
      <c r="W11" s="88">
        <f>IFERROR(_xlfn.XLOOKUP($A11,CFR20252026_BenchMarkDataReport!$B:$B,CFR20252026_BenchMarkDataReport!AL:AL),0)</f>
        <v>214720.5</v>
      </c>
      <c r="X11" s="88">
        <f>IFERROR(_xlfn.XLOOKUP($A11,CFR20252026_BenchMarkDataReport!$B:$B,CFR20252026_BenchMarkDataReport!AM:AM),0)</f>
        <v>44381.68</v>
      </c>
      <c r="Y11" s="88">
        <f>IFERROR(_xlfn.XLOOKUP($A11,CFR20252026_BenchMarkDataReport!$B:$B,CFR20252026_BenchMarkDataReport!AN:AN),0)</f>
        <v>41175.949999999997</v>
      </c>
      <c r="Z11" s="88">
        <f>IFERROR(_xlfn.XLOOKUP($A11,CFR20252026_BenchMarkDataReport!$B:$B,CFR20252026_BenchMarkDataReport!AO:AO),0)</f>
        <v>0</v>
      </c>
      <c r="AA11" s="88">
        <f>IFERROR(_xlfn.XLOOKUP($A11,CFR20252026_BenchMarkDataReport!$B:$B,CFR20252026_BenchMarkDataReport!AP:AP),0)</f>
        <v>8759.3799999999992</v>
      </c>
      <c r="AB11" s="88">
        <f>IFERROR(_xlfn.XLOOKUP($A11,CFR20252026_BenchMarkDataReport!$B:$B,CFR20252026_BenchMarkDataReport!AQ:AQ),0)</f>
        <v>2434.5</v>
      </c>
      <c r="AC11" s="88">
        <f>IFERROR(_xlfn.XLOOKUP($A11,CFR20252026_BenchMarkDataReport!$B:$B,CFR20252026_BenchMarkDataReport!AR:AR),0)</f>
        <v>401.5</v>
      </c>
      <c r="AD11" s="88">
        <f>IFERROR(_xlfn.XLOOKUP($A11,CFR20252026_BenchMarkDataReport!$B:$B,CFR20252026_BenchMarkDataReport!AS:AS),0)</f>
        <v>294.12</v>
      </c>
      <c r="AE11" s="88">
        <f>IFERROR(_xlfn.XLOOKUP($A11,CFR20252026_BenchMarkDataReport!$B:$B,CFR20252026_BenchMarkDataReport!AT:AT),0)</f>
        <v>0</v>
      </c>
      <c r="AF11" s="88">
        <f>IFERROR(_xlfn.XLOOKUP($A11,CFR20252026_BenchMarkDataReport!$B:$B,CFR20252026_BenchMarkDataReport!AU:AU),0)</f>
        <v>15624.73</v>
      </c>
      <c r="AG11" s="88">
        <f>IFERROR(_xlfn.XLOOKUP($A11,CFR20252026_BenchMarkDataReport!$B:$B,CFR20252026_BenchMarkDataReport!AV:AV),0)</f>
        <v>3852.72</v>
      </c>
      <c r="AH11" s="88">
        <f>IFERROR(_xlfn.XLOOKUP($A11,CFR20252026_BenchMarkDataReport!$B:$B,CFR20252026_BenchMarkDataReport!AW:AW),0)</f>
        <v>30350.63</v>
      </c>
      <c r="AI11" s="88">
        <f>IFERROR(_xlfn.XLOOKUP($A11,CFR20252026_BenchMarkDataReport!$B:$B,CFR20252026_BenchMarkDataReport!AX:AX),0)</f>
        <v>9295.25</v>
      </c>
      <c r="AJ11" s="88">
        <f>IFERROR(_xlfn.XLOOKUP($A11,CFR20252026_BenchMarkDataReport!$B:$B,CFR20252026_BenchMarkDataReport!AY:AY),0)</f>
        <v>18134</v>
      </c>
      <c r="AK11" s="88">
        <f>IFERROR(_xlfn.XLOOKUP($A11,CFR20252026_BenchMarkDataReport!$B:$B,CFR20252026_BenchMarkDataReport!AZ:AZ),0)</f>
        <v>3722.85</v>
      </c>
      <c r="AL11" s="88">
        <f>IFERROR(_xlfn.XLOOKUP($A11,CFR20252026_BenchMarkDataReport!$B:$B,CFR20252026_BenchMarkDataReport!BA:BA),0)</f>
        <v>6532.38</v>
      </c>
      <c r="AM11" s="88">
        <f>IFERROR(_xlfn.XLOOKUP($A11,CFR20252026_BenchMarkDataReport!$B:$B,CFR20252026_BenchMarkDataReport!BB:BB),0)</f>
        <v>37215.620000000003</v>
      </c>
      <c r="AN11" s="88">
        <f>IFERROR(_xlfn.XLOOKUP($A11,CFR20252026_BenchMarkDataReport!$B:$B,CFR20252026_BenchMarkDataReport!BC:BC),0)</f>
        <v>5716.21</v>
      </c>
      <c r="AO11" s="88">
        <f>IFERROR(_xlfn.XLOOKUP($A11,CFR20252026_BenchMarkDataReport!$B:$B,CFR20252026_BenchMarkDataReport!BD:BD),0)</f>
        <v>1100</v>
      </c>
      <c r="AP11" s="88">
        <f>IFERROR(_xlfn.XLOOKUP($A11,CFR20252026_BenchMarkDataReport!$B:$B,CFR20252026_BenchMarkDataReport!BE:BE),0)</f>
        <v>1069</v>
      </c>
      <c r="AQ11" s="88">
        <f>IFERROR(_xlfn.XLOOKUP($A11,CFR20252026_BenchMarkDataReport!$B:$B,CFR20252026_BenchMarkDataReport!BF:BF),0)</f>
        <v>1975.89</v>
      </c>
      <c r="AR11" s="88">
        <f>IFERROR(_xlfn.XLOOKUP($A11,CFR20252026_BenchMarkDataReport!$B:$B,CFR20252026_BenchMarkDataReport!BG:BG),0)</f>
        <v>0</v>
      </c>
      <c r="AS11" s="88">
        <f>IFERROR(_xlfn.XLOOKUP($A11,CFR20252026_BenchMarkDataReport!$B:$B,CFR20252026_BenchMarkDataReport!BH:BH),0)</f>
        <v>200.33</v>
      </c>
      <c r="AT11" s="88">
        <f>IFERROR(_xlfn.XLOOKUP($A11,CFR20252026_BenchMarkDataReport!$B:$B,CFR20252026_BenchMarkDataReport!BI:BI),0)</f>
        <v>7473.35</v>
      </c>
      <c r="AU11" s="88">
        <f>IFERROR(_xlfn.XLOOKUP($A11,CFR20252026_BenchMarkDataReport!$B:$B,CFR20252026_BenchMarkDataReport!BJ:BJ),0)</f>
        <v>0</v>
      </c>
      <c r="AV11" s="88">
        <f>IFERROR(_xlfn.XLOOKUP($A11,CFR20252026_BenchMarkDataReport!$B:$B,CFR20252026_BenchMarkDataReport!BK:BK),0)</f>
        <v>2963.9</v>
      </c>
      <c r="AW11" s="88">
        <f>IFERROR(_xlfn.XLOOKUP($A11,CFR20252026_BenchMarkDataReport!$B:$B,CFR20252026_BenchMarkDataReport!BL:BL),0)</f>
        <v>7461.36</v>
      </c>
      <c r="AX11" s="88">
        <f>IFERROR(_xlfn.XLOOKUP($A11,CFR20252026_BenchMarkDataReport!$B:$B,CFR20252026_BenchMarkDataReport!BM:BM),0)</f>
        <v>1564.2</v>
      </c>
      <c r="AY11" s="88">
        <f>IFERROR(_xlfn.XLOOKUP($A11,CFR20252026_BenchMarkDataReport!$B:$B,CFR20252026_BenchMarkDataReport!BN:BN),0)</f>
        <v>70096.83</v>
      </c>
      <c r="AZ11" s="88">
        <f>IFERROR(_xlfn.XLOOKUP($A11,CFR20252026_BenchMarkDataReport!$B:$B,CFR20252026_BenchMarkDataReport!BO:BO),0)</f>
        <v>61887</v>
      </c>
      <c r="BA11" s="88">
        <f>IFERROR(_xlfn.XLOOKUP($A11,CFR20252026_BenchMarkDataReport!$B:$B,CFR20252026_BenchMarkDataReport!BP:BP),0)</f>
        <v>316581.62</v>
      </c>
      <c r="BB11" s="88">
        <f>IFERROR(_xlfn.XLOOKUP($A11,CFR20252026_BenchMarkDataReport!$B:$B,CFR20252026_BenchMarkDataReport!BQ:BQ),0)</f>
        <v>36226.76</v>
      </c>
      <c r="BC11" s="88">
        <f>IFERROR(_xlfn.XLOOKUP($A11,CFR20252026_BenchMarkDataReport!$B:$B,CFR20252026_BenchMarkDataReport!BR:BR),0)</f>
        <v>0</v>
      </c>
      <c r="BD11" s="88">
        <f>IFERROR(_xlfn.XLOOKUP($A11,CFR20252026_BenchMarkDataReport!$B:$B,CFR20252026_BenchMarkDataReport!BS:BS),0)</f>
        <v>0</v>
      </c>
      <c r="BE11" s="88">
        <f>IFERROR(_xlfn.XLOOKUP($A11,CFR20252026_BenchMarkDataReport!$B:$B,CFR20252026_BenchMarkDataReport!BT:BT),0)</f>
        <v>19920.150000000001</v>
      </c>
      <c r="BF11" s="88">
        <f>IFERROR(_xlfn.XLOOKUP($A11,CFR20252026_BenchMarkDataReport!$B:$B,CFR20252026_BenchMarkDataReport!BU:BU),0)</f>
        <v>0</v>
      </c>
      <c r="BG11" s="88">
        <f>IFERROR(_xlfn.XLOOKUP($A11,CFR20252026_BenchMarkDataReport!$B:$B,CFR20252026_BenchMarkDataReport!BV:BV),0)</f>
        <v>0</v>
      </c>
      <c r="BH11" s="89">
        <f t="shared" si="0"/>
        <v>1616835.46</v>
      </c>
      <c r="BI11" s="90">
        <f t="shared" si="85"/>
        <v>1568443.4599999997</v>
      </c>
      <c r="BJ11" s="124">
        <f t="shared" si="86"/>
        <v>48392.000000000233</v>
      </c>
      <c r="BK11" s="88">
        <f>IFERROR(_xlfn.XLOOKUP(A11,CFR20252026_BenchMarkDataReport!$B:$B,CFR20252026_BenchMarkDataReport!P:P)+_xlfn.XLOOKUP(A11,CFR20252026_BenchMarkDataReport!$B:$B,CFR20252026_BenchMarkDataReport!Q:Q),0)</f>
        <v>161461</v>
      </c>
      <c r="BL11" s="89">
        <f t="shared" si="1"/>
        <v>209853.00000000023</v>
      </c>
      <c r="BM11" s="91">
        <f>SUMIFS(PP!I:I,PP!E:E,A11)</f>
        <v>172</v>
      </c>
      <c r="BN11" s="90">
        <f t="shared" si="21"/>
        <v>1397243.76</v>
      </c>
      <c r="BO11" t="s">
        <v>173</v>
      </c>
      <c r="BP11" s="92">
        <f t="shared" si="22"/>
        <v>0.78944720819025083</v>
      </c>
      <c r="BQ11" s="93">
        <f t="shared" si="23"/>
        <v>7420.9665116279066</v>
      </c>
      <c r="BR11" s="94">
        <f t="shared" si="24"/>
        <v>0</v>
      </c>
      <c r="BS11" s="95">
        <f t="shared" si="25"/>
        <v>0</v>
      </c>
      <c r="BT11" s="92">
        <f t="shared" si="26"/>
        <v>7.4737054567073885E-2</v>
      </c>
      <c r="BU11" s="93">
        <f t="shared" si="27"/>
        <v>702.54372093023255</v>
      </c>
      <c r="BV11" s="94">
        <f t="shared" si="28"/>
        <v>0</v>
      </c>
      <c r="BW11" s="95">
        <f t="shared" si="29"/>
        <v>0</v>
      </c>
      <c r="BX11" s="92">
        <f t="shared" si="30"/>
        <v>7.0276167743129531E-2</v>
      </c>
      <c r="BY11" s="93">
        <f t="shared" si="31"/>
        <v>660.6104651162791</v>
      </c>
      <c r="BZ11" s="94">
        <f t="shared" si="32"/>
        <v>3.2175147865695621E-2</v>
      </c>
      <c r="CA11" s="95">
        <f t="shared" si="33"/>
        <v>302.45302325581395</v>
      </c>
      <c r="CB11" s="92">
        <f t="shared" si="34"/>
        <v>1.6672883955674747E-2</v>
      </c>
      <c r="CC11" s="93">
        <f t="shared" si="35"/>
        <v>156.72854651162791</v>
      </c>
      <c r="CD11" s="94">
        <f t="shared" si="36"/>
        <v>6.7895034909736581E-3</v>
      </c>
      <c r="CE11" s="96">
        <f t="shared" si="37"/>
        <v>63.822732558139535</v>
      </c>
      <c r="CF11" s="97">
        <f t="shared" si="38"/>
        <v>6.8593126971621459E-3</v>
      </c>
      <c r="CG11" s="98">
        <f t="shared" si="39"/>
        <v>64.478953488372085</v>
      </c>
      <c r="CH11" s="94">
        <f t="shared" si="40"/>
        <v>2.9639441480334679E-3</v>
      </c>
      <c r="CI11" s="95">
        <f t="shared" si="41"/>
        <v>27.861686046511629</v>
      </c>
      <c r="CJ11" s="99">
        <f t="shared" si="42"/>
        <v>0.47178457250723382</v>
      </c>
      <c r="CK11" s="97">
        <f t="shared" si="43"/>
        <v>0.4077088029724435</v>
      </c>
      <c r="CL11" s="97">
        <f t="shared" si="44"/>
        <v>0.42028805424710697</v>
      </c>
      <c r="CM11" s="98">
        <f t="shared" si="45"/>
        <v>3832.5468023255817</v>
      </c>
      <c r="CN11" s="94">
        <f t="shared" si="46"/>
        <v>0.15367433095568092</v>
      </c>
      <c r="CO11" s="100">
        <f t="shared" si="47"/>
        <v>0.13280293840166024</v>
      </c>
      <c r="CP11" s="100">
        <f t="shared" si="48"/>
        <v>0.13690037637697189</v>
      </c>
      <c r="CQ11" s="101">
        <f t="shared" si="49"/>
        <v>1248.375</v>
      </c>
      <c r="CR11" s="99">
        <f t="shared" si="50"/>
        <v>3.1763734625660449E-2</v>
      </c>
      <c r="CS11" s="97">
        <f t="shared" si="51"/>
        <v>2.7449719589895685E-2</v>
      </c>
      <c r="CT11" s="97">
        <f t="shared" si="52"/>
        <v>2.8296640033170214E-2</v>
      </c>
      <c r="CU11" s="98">
        <f t="shared" si="53"/>
        <v>258.03302325581393</v>
      </c>
      <c r="CV11" s="94">
        <f t="shared" si="54"/>
        <v>2.946941054866475E-2</v>
      </c>
      <c r="CW11" s="100">
        <f t="shared" si="55"/>
        <v>2.5467000828890776E-2</v>
      </c>
      <c r="CX11" s="100">
        <f t="shared" si="56"/>
        <v>2.6252747421319226E-2</v>
      </c>
      <c r="CY11" s="95">
        <f t="shared" si="57"/>
        <v>239.39505813953485</v>
      </c>
      <c r="CZ11" s="99">
        <f t="shared" si="58"/>
        <v>0.64866889081687507</v>
      </c>
      <c r="DA11" s="97">
        <f t="shared" si="59"/>
        <v>0.56056944718419277</v>
      </c>
      <c r="DB11" s="97">
        <f t="shared" si="60"/>
        <v>0.57786498724027979</v>
      </c>
      <c r="DC11" s="98">
        <f t="shared" si="61"/>
        <v>5269.4683720930234</v>
      </c>
      <c r="DD11" s="94">
        <f t="shared" si="62"/>
        <v>1.1182536968352608E-2</v>
      </c>
      <c r="DE11" s="100">
        <f t="shared" si="63"/>
        <v>9.9619338525597876E-3</v>
      </c>
      <c r="DF11" s="95">
        <f t="shared" si="64"/>
        <v>90.841453488372096</v>
      </c>
      <c r="DG11" s="99">
        <f t="shared" si="65"/>
        <v>5.9264170096383342E-3</v>
      </c>
      <c r="DH11" s="98">
        <f t="shared" si="66"/>
        <v>54.042151162790695</v>
      </c>
      <c r="DI11" s="94">
        <f t="shared" si="67"/>
        <v>1.2978408291478075E-2</v>
      </c>
      <c r="DJ11" s="100">
        <f t="shared" si="68"/>
        <v>1.1561781130446362E-2</v>
      </c>
      <c r="DK11" s="95">
        <f t="shared" si="69"/>
        <v>105.43023255813954</v>
      </c>
      <c r="DL11" s="99">
        <f t="shared" si="70"/>
        <v>4.6751899611274699E-3</v>
      </c>
      <c r="DM11" s="97">
        <f t="shared" si="71"/>
        <v>4.1648807665658543E-3</v>
      </c>
      <c r="DN11" s="102">
        <f t="shared" si="72"/>
        <v>37.978953488372092</v>
      </c>
      <c r="DO11" s="94">
        <f t="shared" si="73"/>
        <v>2.6635023226011762E-2</v>
      </c>
      <c r="DP11" s="100">
        <f t="shared" si="74"/>
        <v>2.3017567910095196E-2</v>
      </c>
      <c r="DQ11" s="100">
        <f t="shared" si="75"/>
        <v>2.3727740877570434E-2</v>
      </c>
      <c r="DR11" s="95">
        <f t="shared" si="76"/>
        <v>216.36988372093026</v>
      </c>
      <c r="DS11" s="99">
        <f t="shared" si="77"/>
        <v>2.1212476196708868E-3</v>
      </c>
      <c r="DT11" s="97">
        <f t="shared" si="78"/>
        <v>1.8897079018710694E-3</v>
      </c>
      <c r="DU11" s="98">
        <f t="shared" si="87"/>
        <v>17.231976744186046</v>
      </c>
      <c r="DV11" s="94">
        <f t="shared" si="79"/>
        <v>0.22657579805545167</v>
      </c>
      <c r="DW11" s="100">
        <f t="shared" si="80"/>
        <v>0.20184445794431127</v>
      </c>
      <c r="DX11" s="95">
        <f t="shared" si="81"/>
        <v>1840.5908139534884</v>
      </c>
      <c r="DY11" s="99">
        <f t="shared" si="82"/>
        <v>4.4691971236247185E-2</v>
      </c>
      <c r="DZ11" s="98">
        <f t="shared" si="83"/>
        <v>407.5397093023256</v>
      </c>
      <c r="EA11" s="94">
        <f t="shared" si="14"/>
        <v>1.9350796362146205E-2</v>
      </c>
      <c r="EB11" s="95">
        <f t="shared" si="84"/>
        <v>176.45715116279069</v>
      </c>
      <c r="EC11" s="103">
        <f>IFERROR(VLOOKUP(A11,PP!$E$3:$S$130,14,0),0)</f>
        <v>75</v>
      </c>
    </row>
    <row r="12" spans="1:227">
      <c r="A12" s="121">
        <v>3500</v>
      </c>
      <c r="B12" s="122">
        <v>10043</v>
      </c>
      <c r="C12" s="121" t="s">
        <v>34</v>
      </c>
      <c r="D12" s="88">
        <f>IFERROR(_xlfn.XLOOKUP($A12,CFR20252026_BenchMarkDataReport!$B:$B,CFR20252026_BenchMarkDataReport!S:S),0)</f>
        <v>1178570.77</v>
      </c>
      <c r="E12" s="88">
        <f>IFERROR(_xlfn.XLOOKUP($A12,CFR20252026_BenchMarkDataReport!$B:$B,CFR20252026_BenchMarkDataReport!T:T),0)</f>
        <v>0</v>
      </c>
      <c r="F12" s="88">
        <f>IFERROR(_xlfn.XLOOKUP($A12,CFR20252026_BenchMarkDataReport!$B:$B,CFR20252026_BenchMarkDataReport!U:U),0)</f>
        <v>142695.91</v>
      </c>
      <c r="G12" s="88">
        <f>IFERROR(_xlfn.XLOOKUP($A12,CFR20252026_BenchMarkDataReport!$B:$B,CFR20252026_BenchMarkDataReport!V:V),0)</f>
        <v>0</v>
      </c>
      <c r="H12" s="88">
        <f>IFERROR(_xlfn.XLOOKUP($A12,CFR20252026_BenchMarkDataReport!$B:$B,CFR20252026_BenchMarkDataReport!W:W),0)</f>
        <v>49995</v>
      </c>
      <c r="I12" s="88">
        <f>IFERROR(_xlfn.XLOOKUP($A12,CFR20252026_BenchMarkDataReport!$B:$B,CFR20252026_BenchMarkDataReport!X:X),0)</f>
        <v>65191.839999999997</v>
      </c>
      <c r="J12" s="88">
        <f>IFERROR(_xlfn.XLOOKUP($A12,CFR20252026_BenchMarkDataReport!$B:$B,CFR20252026_BenchMarkDataReport!Y:Y),0)</f>
        <v>14908.27</v>
      </c>
      <c r="K12" s="88">
        <f>IFERROR(_xlfn.XLOOKUP($A12,CFR20252026_BenchMarkDataReport!$B:$B,CFR20252026_BenchMarkDataReport!Z:Z),0)</f>
        <v>0</v>
      </c>
      <c r="L12" s="88">
        <f>IFERROR(_xlfn.XLOOKUP($A12,CFR20252026_BenchMarkDataReport!$B:$B,CFR20252026_BenchMarkDataReport!AA:AA),0)</f>
        <v>18743.86</v>
      </c>
      <c r="M12" s="88">
        <f>IFERROR(_xlfn.XLOOKUP($A12,CFR20252026_BenchMarkDataReport!$B:$B,CFR20252026_BenchMarkDataReport!AB:AB),0)</f>
        <v>0</v>
      </c>
      <c r="N12" s="88">
        <f>IFERROR(_xlfn.XLOOKUP($A12,CFR20252026_BenchMarkDataReport!$B:$B,CFR20252026_BenchMarkDataReport!AC:AC),0)</f>
        <v>0</v>
      </c>
      <c r="O12" s="88">
        <f>IFERROR(_xlfn.XLOOKUP($A12,CFR20252026_BenchMarkDataReport!$B:$B,CFR20252026_BenchMarkDataReport!AD:AD),0)</f>
        <v>0</v>
      </c>
      <c r="P12" s="88">
        <f>IFERROR(_xlfn.XLOOKUP($A12,CFR20252026_BenchMarkDataReport!$B:$B,CFR20252026_BenchMarkDataReport!AE:AE),0)</f>
        <v>10115.44</v>
      </c>
      <c r="Q12" s="88">
        <f>IFERROR(_xlfn.XLOOKUP($A12,CFR20252026_BenchMarkDataReport!$B:$B,CFR20252026_BenchMarkDataReport!AF:AF),0)</f>
        <v>2555.5500000000002</v>
      </c>
      <c r="R12" s="88">
        <f>IFERROR(_xlfn.XLOOKUP($A12,CFR20252026_BenchMarkDataReport!$B:$B,CFR20252026_BenchMarkDataReport!AG:AG),0)</f>
        <v>0</v>
      </c>
      <c r="S12" s="88">
        <f>IFERROR(_xlfn.XLOOKUP($A12,CFR20252026_BenchMarkDataReport!$B:$B,CFR20252026_BenchMarkDataReport!AH:AH),0)</f>
        <v>0</v>
      </c>
      <c r="T12" s="88">
        <f>IFERROR(_xlfn.XLOOKUP($A12,CFR20252026_BenchMarkDataReport!$B:$B,CFR20252026_BenchMarkDataReport!AI:AI),0)</f>
        <v>0</v>
      </c>
      <c r="U12" s="88">
        <f>IFERROR(_xlfn.XLOOKUP($A12,CFR20252026_BenchMarkDataReport!$B:$B,CFR20252026_BenchMarkDataReport!AJ:AJ),0)</f>
        <v>540382.18999999994</v>
      </c>
      <c r="V12" s="88">
        <f>IFERROR(_xlfn.XLOOKUP($A12,CFR20252026_BenchMarkDataReport!$B:$B,CFR20252026_BenchMarkDataReport!AK:AK),0)</f>
        <v>0</v>
      </c>
      <c r="W12" s="88">
        <f>IFERROR(_xlfn.XLOOKUP($A12,CFR20252026_BenchMarkDataReport!$B:$B,CFR20252026_BenchMarkDataReport!AL:AL),0)</f>
        <v>212682.18</v>
      </c>
      <c r="X12" s="88">
        <f>IFERROR(_xlfn.XLOOKUP($A12,CFR20252026_BenchMarkDataReport!$B:$B,CFR20252026_BenchMarkDataReport!AM:AM),0)</f>
        <v>15254.73</v>
      </c>
      <c r="Y12" s="88">
        <f>IFERROR(_xlfn.XLOOKUP($A12,CFR20252026_BenchMarkDataReport!$B:$B,CFR20252026_BenchMarkDataReport!AN:AN),0)</f>
        <v>44521.35</v>
      </c>
      <c r="Z12" s="88">
        <f>IFERROR(_xlfn.XLOOKUP($A12,CFR20252026_BenchMarkDataReport!$B:$B,CFR20252026_BenchMarkDataReport!AO:AO),0)</f>
        <v>0</v>
      </c>
      <c r="AA12" s="88">
        <f>IFERROR(_xlfn.XLOOKUP($A12,CFR20252026_BenchMarkDataReport!$B:$B,CFR20252026_BenchMarkDataReport!AP:AP),0)</f>
        <v>15399.3</v>
      </c>
      <c r="AB12" s="88">
        <f>IFERROR(_xlfn.XLOOKUP($A12,CFR20252026_BenchMarkDataReport!$B:$B,CFR20252026_BenchMarkDataReport!AQ:AQ),0)</f>
        <v>3708.5</v>
      </c>
      <c r="AC12" s="88">
        <f>IFERROR(_xlfn.XLOOKUP($A12,CFR20252026_BenchMarkDataReport!$B:$B,CFR20252026_BenchMarkDataReport!AR:AR),0)</f>
        <v>2844.87</v>
      </c>
      <c r="AD12" s="88">
        <f>IFERROR(_xlfn.XLOOKUP($A12,CFR20252026_BenchMarkDataReport!$B:$B,CFR20252026_BenchMarkDataReport!AS:AS),0)</f>
        <v>253.08</v>
      </c>
      <c r="AE12" s="88">
        <f>IFERROR(_xlfn.XLOOKUP($A12,CFR20252026_BenchMarkDataReport!$B:$B,CFR20252026_BenchMarkDataReport!AT:AT),0)</f>
        <v>0</v>
      </c>
      <c r="AF12" s="88">
        <f>IFERROR(_xlfn.XLOOKUP($A12,CFR20252026_BenchMarkDataReport!$B:$B,CFR20252026_BenchMarkDataReport!AU:AU),0)</f>
        <v>5774.24</v>
      </c>
      <c r="AG12" s="88">
        <f>IFERROR(_xlfn.XLOOKUP($A12,CFR20252026_BenchMarkDataReport!$B:$B,CFR20252026_BenchMarkDataReport!AV:AV),0)</f>
        <v>120.99</v>
      </c>
      <c r="AH12" s="88">
        <f>IFERROR(_xlfn.XLOOKUP($A12,CFR20252026_BenchMarkDataReport!$B:$B,CFR20252026_BenchMarkDataReport!AW:AW),0)</f>
        <v>13477.31</v>
      </c>
      <c r="AI12" s="88">
        <f>IFERROR(_xlfn.XLOOKUP($A12,CFR20252026_BenchMarkDataReport!$B:$B,CFR20252026_BenchMarkDataReport!AX:AX),0)</f>
        <v>4448.42</v>
      </c>
      <c r="AJ12" s="88">
        <f>IFERROR(_xlfn.XLOOKUP($A12,CFR20252026_BenchMarkDataReport!$B:$B,CFR20252026_BenchMarkDataReport!AY:AY),0)</f>
        <v>15968.33</v>
      </c>
      <c r="AK12" s="88">
        <f>IFERROR(_xlfn.XLOOKUP($A12,CFR20252026_BenchMarkDataReport!$B:$B,CFR20252026_BenchMarkDataReport!AZ:AZ),0)</f>
        <v>3048.99</v>
      </c>
      <c r="AL12" s="88">
        <f>IFERROR(_xlfn.XLOOKUP($A12,CFR20252026_BenchMarkDataReport!$B:$B,CFR20252026_BenchMarkDataReport!BA:BA),0)</f>
        <v>3431.67</v>
      </c>
      <c r="AM12" s="88">
        <f>IFERROR(_xlfn.XLOOKUP($A12,CFR20252026_BenchMarkDataReport!$B:$B,CFR20252026_BenchMarkDataReport!BB:BB),0)</f>
        <v>31847.17</v>
      </c>
      <c r="AN12" s="88">
        <f>IFERROR(_xlfn.XLOOKUP($A12,CFR20252026_BenchMarkDataReport!$B:$B,CFR20252026_BenchMarkDataReport!BC:BC),0)</f>
        <v>5297.31</v>
      </c>
      <c r="AO12" s="88">
        <f>IFERROR(_xlfn.XLOOKUP($A12,CFR20252026_BenchMarkDataReport!$B:$B,CFR20252026_BenchMarkDataReport!BD:BD),0)</f>
        <v>0</v>
      </c>
      <c r="AP12" s="88">
        <f>IFERROR(_xlfn.XLOOKUP($A12,CFR20252026_BenchMarkDataReport!$B:$B,CFR20252026_BenchMarkDataReport!BE:BE),0)</f>
        <v>4836</v>
      </c>
      <c r="AQ12" s="88">
        <f>IFERROR(_xlfn.XLOOKUP($A12,CFR20252026_BenchMarkDataReport!$B:$B,CFR20252026_BenchMarkDataReport!BF:BF),0)</f>
        <v>13103.13</v>
      </c>
      <c r="AR12" s="88">
        <f>IFERROR(_xlfn.XLOOKUP($A12,CFR20252026_BenchMarkDataReport!$B:$B,CFR20252026_BenchMarkDataReport!BG:BG),0)</f>
        <v>706.9</v>
      </c>
      <c r="AS12" s="88">
        <f>IFERROR(_xlfn.XLOOKUP($A12,CFR20252026_BenchMarkDataReport!$B:$B,CFR20252026_BenchMarkDataReport!BH:BH),0)</f>
        <v>1128.9000000000001</v>
      </c>
      <c r="AT12" s="88">
        <f>IFERROR(_xlfn.XLOOKUP($A12,CFR20252026_BenchMarkDataReport!$B:$B,CFR20252026_BenchMarkDataReport!BI:BI),0)</f>
        <v>5469</v>
      </c>
      <c r="AU12" s="88">
        <f>IFERROR(_xlfn.XLOOKUP($A12,CFR20252026_BenchMarkDataReport!$B:$B,CFR20252026_BenchMarkDataReport!BJ:BJ),0)</f>
        <v>0</v>
      </c>
      <c r="AV12" s="88">
        <f>IFERROR(_xlfn.XLOOKUP($A12,CFR20252026_BenchMarkDataReport!$B:$B,CFR20252026_BenchMarkDataReport!BK:BK),0)</f>
        <v>272.14999999999998</v>
      </c>
      <c r="AW12" s="88">
        <f>IFERROR(_xlfn.XLOOKUP($A12,CFR20252026_BenchMarkDataReport!$B:$B,CFR20252026_BenchMarkDataReport!BL:BL),0)</f>
        <v>6784.74</v>
      </c>
      <c r="AX12" s="88">
        <f>IFERROR(_xlfn.XLOOKUP($A12,CFR20252026_BenchMarkDataReport!$B:$B,CFR20252026_BenchMarkDataReport!BM:BM),0)</f>
        <v>8788.4</v>
      </c>
      <c r="AY12" s="88">
        <f>IFERROR(_xlfn.XLOOKUP($A12,CFR20252026_BenchMarkDataReport!$B:$B,CFR20252026_BenchMarkDataReport!BN:BN),0)</f>
        <v>54519.32</v>
      </c>
      <c r="AZ12" s="88">
        <f>IFERROR(_xlfn.XLOOKUP($A12,CFR20252026_BenchMarkDataReport!$B:$B,CFR20252026_BenchMarkDataReport!BO:BO),0)</f>
        <v>163355.68</v>
      </c>
      <c r="BA12" s="88">
        <f>IFERROR(_xlfn.XLOOKUP($A12,CFR20252026_BenchMarkDataReport!$B:$B,CFR20252026_BenchMarkDataReport!BP:BP),0)</f>
        <v>158205.23000000001</v>
      </c>
      <c r="BB12" s="88">
        <f>IFERROR(_xlfn.XLOOKUP($A12,CFR20252026_BenchMarkDataReport!$B:$B,CFR20252026_BenchMarkDataReport!BQ:BQ),0)</f>
        <v>14906.68</v>
      </c>
      <c r="BC12" s="88">
        <f>IFERROR(_xlfn.XLOOKUP($A12,CFR20252026_BenchMarkDataReport!$B:$B,CFR20252026_BenchMarkDataReport!BR:BR),0)</f>
        <v>0</v>
      </c>
      <c r="BD12" s="88">
        <f>IFERROR(_xlfn.XLOOKUP($A12,CFR20252026_BenchMarkDataReport!$B:$B,CFR20252026_BenchMarkDataReport!BS:BS),0)</f>
        <v>0</v>
      </c>
      <c r="BE12" s="88">
        <f>IFERROR(_xlfn.XLOOKUP($A12,CFR20252026_BenchMarkDataReport!$B:$B,CFR20252026_BenchMarkDataReport!BT:BT),0)</f>
        <v>15097</v>
      </c>
      <c r="BF12" s="88">
        <f>IFERROR(_xlfn.XLOOKUP($A12,CFR20252026_BenchMarkDataReport!$B:$B,CFR20252026_BenchMarkDataReport!BU:BU),0)</f>
        <v>0</v>
      </c>
      <c r="BG12" s="88">
        <f>IFERROR(_xlfn.XLOOKUP($A12,CFR20252026_BenchMarkDataReport!$B:$B,CFR20252026_BenchMarkDataReport!BV:BV),0)</f>
        <v>0</v>
      </c>
      <c r="BH12" s="89">
        <f t="shared" si="0"/>
        <v>1482776.6400000001</v>
      </c>
      <c r="BI12" s="90">
        <f t="shared" si="85"/>
        <v>1365633.76</v>
      </c>
      <c r="BJ12" s="124">
        <f t="shared" si="86"/>
        <v>117142.88000000012</v>
      </c>
      <c r="BK12" s="88">
        <f>IFERROR(_xlfn.XLOOKUP(A12,CFR20252026_BenchMarkDataReport!$B:$B,CFR20252026_BenchMarkDataReport!P:P)+_xlfn.XLOOKUP(A12,CFR20252026_BenchMarkDataReport!$B:$B,CFR20252026_BenchMarkDataReport!Q:Q),0)</f>
        <v>248078.12</v>
      </c>
      <c r="BL12" s="89">
        <f t="shared" si="1"/>
        <v>365221.00000000012</v>
      </c>
      <c r="BM12" s="91">
        <f>SUMIFS(PP!I:I,PP!E:E,A12)</f>
        <v>148</v>
      </c>
      <c r="BN12" s="90">
        <f t="shared" si="21"/>
        <v>1321266.68</v>
      </c>
      <c r="BO12" t="s">
        <v>173</v>
      </c>
      <c r="BP12" s="92">
        <f t="shared" si="22"/>
        <v>0.79484039484193647</v>
      </c>
      <c r="BQ12" s="93">
        <f t="shared" si="23"/>
        <v>7963.316013513514</v>
      </c>
      <c r="BR12" s="94">
        <f t="shared" si="24"/>
        <v>0</v>
      </c>
      <c r="BS12" s="95">
        <f t="shared" si="25"/>
        <v>0</v>
      </c>
      <c r="BT12" s="92">
        <f t="shared" si="26"/>
        <v>9.6235607002818704E-2</v>
      </c>
      <c r="BU12" s="93">
        <f t="shared" si="27"/>
        <v>964.16155405405402</v>
      </c>
      <c r="BV12" s="94">
        <f t="shared" si="28"/>
        <v>0</v>
      </c>
      <c r="BW12" s="95">
        <f t="shared" si="29"/>
        <v>0</v>
      </c>
      <c r="BX12" s="92">
        <f t="shared" si="30"/>
        <v>3.3717148389928772E-2</v>
      </c>
      <c r="BY12" s="93">
        <f t="shared" si="31"/>
        <v>337.80405405405406</v>
      </c>
      <c r="BZ12" s="94">
        <f t="shared" si="32"/>
        <v>4.3966055467396618E-2</v>
      </c>
      <c r="CA12" s="95">
        <f t="shared" si="33"/>
        <v>440.4854054054054</v>
      </c>
      <c r="CB12" s="92">
        <f t="shared" si="34"/>
        <v>1.0054292465789047E-2</v>
      </c>
      <c r="CC12" s="93">
        <f t="shared" si="35"/>
        <v>100.73155405405406</v>
      </c>
      <c r="CD12" s="94">
        <f t="shared" si="36"/>
        <v>1.264105428582959E-2</v>
      </c>
      <c r="CE12" s="96">
        <f t="shared" si="37"/>
        <v>126.6477027027027</v>
      </c>
      <c r="CF12" s="97">
        <f t="shared" si="38"/>
        <v>6.8219580259910213E-3</v>
      </c>
      <c r="CG12" s="98">
        <f t="shared" si="39"/>
        <v>68.347567567567566</v>
      </c>
      <c r="CH12" s="94">
        <f t="shared" si="40"/>
        <v>1.7234895203096807E-3</v>
      </c>
      <c r="CI12" s="95">
        <f t="shared" si="41"/>
        <v>17.267229729729731</v>
      </c>
      <c r="CJ12" s="99">
        <f t="shared" si="42"/>
        <v>0.5326236411259534</v>
      </c>
      <c r="CK12" s="97">
        <f t="shared" si="43"/>
        <v>0.47460814462251028</v>
      </c>
      <c r="CL12" s="97">
        <f t="shared" si="44"/>
        <v>0.51531961980787577</v>
      </c>
      <c r="CM12" s="98">
        <f t="shared" si="45"/>
        <v>4754.985608108107</v>
      </c>
      <c r="CN12" s="94">
        <f t="shared" si="46"/>
        <v>0.16096839738666535</v>
      </c>
      <c r="CO12" s="100">
        <f t="shared" si="47"/>
        <v>0.14343507596666749</v>
      </c>
      <c r="CP12" s="100">
        <f t="shared" si="48"/>
        <v>0.155738812432405</v>
      </c>
      <c r="CQ12" s="101">
        <f t="shared" si="49"/>
        <v>1437.0417567567567</v>
      </c>
      <c r="CR12" s="99">
        <f t="shared" si="50"/>
        <v>1.1545534471511838E-2</v>
      </c>
      <c r="CS12" s="97">
        <f t="shared" si="51"/>
        <v>1.0287948696035566E-2</v>
      </c>
      <c r="CT12" s="97">
        <f t="shared" si="52"/>
        <v>1.1170440016069901E-2</v>
      </c>
      <c r="CU12" s="98">
        <f t="shared" si="53"/>
        <v>103.07249999999999</v>
      </c>
      <c r="CV12" s="94">
        <f t="shared" si="54"/>
        <v>3.3695960606529483E-2</v>
      </c>
      <c r="CW12" s="100">
        <f t="shared" si="55"/>
        <v>3.0025661855584664E-2</v>
      </c>
      <c r="CX12" s="100">
        <f t="shared" si="56"/>
        <v>3.260123709888367E-2</v>
      </c>
      <c r="CY12" s="95">
        <f t="shared" si="57"/>
        <v>300.81993243243244</v>
      </c>
      <c r="CZ12" s="99">
        <f t="shared" si="58"/>
        <v>0.62685282429130806</v>
      </c>
      <c r="DA12" s="97">
        <f t="shared" si="59"/>
        <v>0.55857350841459152</v>
      </c>
      <c r="DB12" s="97">
        <f t="shared" si="60"/>
        <v>0.60648745971247797</v>
      </c>
      <c r="DC12" s="98">
        <f t="shared" si="61"/>
        <v>5596.2145270270266</v>
      </c>
      <c r="DD12" s="94">
        <f t="shared" si="62"/>
        <v>4.3702305427092128E-3</v>
      </c>
      <c r="DE12" s="100">
        <f t="shared" si="63"/>
        <v>4.2282493074863644E-3</v>
      </c>
      <c r="DF12" s="95">
        <f t="shared" si="64"/>
        <v>39.015135135135132</v>
      </c>
      <c r="DG12" s="99">
        <f t="shared" si="65"/>
        <v>3.2574033612057158E-3</v>
      </c>
      <c r="DH12" s="98">
        <f t="shared" si="66"/>
        <v>30.056891891891894</v>
      </c>
      <c r="DI12" s="94">
        <f t="shared" si="67"/>
        <v>1.2085622260602228E-2</v>
      </c>
      <c r="DJ12" s="100">
        <f t="shared" si="68"/>
        <v>1.1692981286578622E-2</v>
      </c>
      <c r="DK12" s="95">
        <f t="shared" si="69"/>
        <v>107.89412162162162</v>
      </c>
      <c r="DL12" s="99">
        <f t="shared" si="70"/>
        <v>2.5972576558125271E-3</v>
      </c>
      <c r="DM12" s="97">
        <f t="shared" si="71"/>
        <v>2.5128772446281647E-3</v>
      </c>
      <c r="DN12" s="102">
        <f t="shared" si="72"/>
        <v>23.186959459459459</v>
      </c>
      <c r="DO12" s="94">
        <f t="shared" si="73"/>
        <v>2.4103514061218891E-2</v>
      </c>
      <c r="DP12" s="100">
        <f t="shared" si="74"/>
        <v>2.1478062940079767E-2</v>
      </c>
      <c r="DQ12" s="100">
        <f t="shared" si="75"/>
        <v>2.3320432558726432E-2</v>
      </c>
      <c r="DR12" s="95">
        <f t="shared" si="76"/>
        <v>215.18358108108106</v>
      </c>
      <c r="DS12" s="99">
        <f t="shared" si="77"/>
        <v>2.0597658604393172E-4</v>
      </c>
      <c r="DT12" s="97">
        <f t="shared" si="78"/>
        <v>1.9928476284886219E-4</v>
      </c>
      <c r="DU12" s="98">
        <f t="shared" si="87"/>
        <v>1.8388513513513511</v>
      </c>
      <c r="DV12" s="94">
        <f t="shared" si="79"/>
        <v>0.11973754609478234</v>
      </c>
      <c r="DW12" s="100">
        <f t="shared" si="80"/>
        <v>0.11584748022046557</v>
      </c>
      <c r="DX12" s="95">
        <f t="shared" si="81"/>
        <v>1068.9542567567569</v>
      </c>
      <c r="DY12" s="99">
        <f t="shared" si="82"/>
        <v>3.9922358099875911E-2</v>
      </c>
      <c r="DZ12" s="98">
        <f t="shared" si="83"/>
        <v>368.37378378378378</v>
      </c>
      <c r="EA12" s="94">
        <f t="shared" si="14"/>
        <v>9.8689051155267278E-3</v>
      </c>
      <c r="EB12" s="95">
        <f t="shared" si="84"/>
        <v>91.062905405405402</v>
      </c>
      <c r="EC12" s="103">
        <f>IFERROR(VLOOKUP(A12,PP!$E$3:$S$130,14,0),0)</f>
        <v>33</v>
      </c>
    </row>
    <row r="13" spans="1:227">
      <c r="A13" s="121">
        <v>3514</v>
      </c>
      <c r="B13" s="122">
        <v>10117</v>
      </c>
      <c r="C13" s="121" t="s">
        <v>35</v>
      </c>
      <c r="D13" s="88">
        <f>IFERROR(_xlfn.XLOOKUP($A13,CFR20252026_BenchMarkDataReport!$B:$B,CFR20252026_BenchMarkDataReport!S:S),0)</f>
        <v>1195084.43</v>
      </c>
      <c r="E13" s="88">
        <f>IFERROR(_xlfn.XLOOKUP($A13,CFR20252026_BenchMarkDataReport!$B:$B,CFR20252026_BenchMarkDataReport!T:T),0)</f>
        <v>0</v>
      </c>
      <c r="F13" s="88">
        <f>IFERROR(_xlfn.XLOOKUP($A13,CFR20252026_BenchMarkDataReport!$B:$B,CFR20252026_BenchMarkDataReport!U:U),0)</f>
        <v>74836.08</v>
      </c>
      <c r="G13" s="88">
        <f>IFERROR(_xlfn.XLOOKUP($A13,CFR20252026_BenchMarkDataReport!$B:$B,CFR20252026_BenchMarkDataReport!V:V),0)</f>
        <v>0</v>
      </c>
      <c r="H13" s="88">
        <f>IFERROR(_xlfn.XLOOKUP($A13,CFR20252026_BenchMarkDataReport!$B:$B,CFR20252026_BenchMarkDataReport!W:W),0)</f>
        <v>67010</v>
      </c>
      <c r="I13" s="88">
        <f>IFERROR(_xlfn.XLOOKUP($A13,CFR20252026_BenchMarkDataReport!$B:$B,CFR20252026_BenchMarkDataReport!X:X),0)</f>
        <v>19126.61</v>
      </c>
      <c r="J13" s="88">
        <f>IFERROR(_xlfn.XLOOKUP($A13,CFR20252026_BenchMarkDataReport!$B:$B,CFR20252026_BenchMarkDataReport!Y:Y),0)</f>
        <v>71270.8</v>
      </c>
      <c r="K13" s="88">
        <f>IFERROR(_xlfn.XLOOKUP($A13,CFR20252026_BenchMarkDataReport!$B:$B,CFR20252026_BenchMarkDataReport!Z:Z),0)</f>
        <v>0</v>
      </c>
      <c r="L13" s="88">
        <f>IFERROR(_xlfn.XLOOKUP($A13,CFR20252026_BenchMarkDataReport!$B:$B,CFR20252026_BenchMarkDataReport!AA:AA),0)</f>
        <v>21384.34</v>
      </c>
      <c r="M13" s="88">
        <f>IFERROR(_xlfn.XLOOKUP($A13,CFR20252026_BenchMarkDataReport!$B:$B,CFR20252026_BenchMarkDataReport!AB:AB),0)</f>
        <v>26.67</v>
      </c>
      <c r="N13" s="88">
        <f>IFERROR(_xlfn.XLOOKUP($A13,CFR20252026_BenchMarkDataReport!$B:$B,CFR20252026_BenchMarkDataReport!AC:AC),0)</f>
        <v>0</v>
      </c>
      <c r="O13" s="88">
        <f>IFERROR(_xlfn.XLOOKUP($A13,CFR20252026_BenchMarkDataReport!$B:$B,CFR20252026_BenchMarkDataReport!AD:AD),0)</f>
        <v>0</v>
      </c>
      <c r="P13" s="88">
        <f>IFERROR(_xlfn.XLOOKUP($A13,CFR20252026_BenchMarkDataReport!$B:$B,CFR20252026_BenchMarkDataReport!AE:AE),0)</f>
        <v>9646.8799999999992</v>
      </c>
      <c r="Q13" s="88">
        <f>IFERROR(_xlfn.XLOOKUP($A13,CFR20252026_BenchMarkDataReport!$B:$B,CFR20252026_BenchMarkDataReport!AF:AF),0)</f>
        <v>4257.8900000000003</v>
      </c>
      <c r="R13" s="88">
        <f>IFERROR(_xlfn.XLOOKUP($A13,CFR20252026_BenchMarkDataReport!$B:$B,CFR20252026_BenchMarkDataReport!AG:AG),0)</f>
        <v>0</v>
      </c>
      <c r="S13" s="88">
        <f>IFERROR(_xlfn.XLOOKUP($A13,CFR20252026_BenchMarkDataReport!$B:$B,CFR20252026_BenchMarkDataReport!AH:AH),0)</f>
        <v>0</v>
      </c>
      <c r="T13" s="88">
        <f>IFERROR(_xlfn.XLOOKUP($A13,CFR20252026_BenchMarkDataReport!$B:$B,CFR20252026_BenchMarkDataReport!AI:AI),0)</f>
        <v>0</v>
      </c>
      <c r="U13" s="88">
        <f>IFERROR(_xlfn.XLOOKUP($A13,CFR20252026_BenchMarkDataReport!$B:$B,CFR20252026_BenchMarkDataReport!AJ:AJ),0)</f>
        <v>679611.45</v>
      </c>
      <c r="V13" s="88">
        <f>IFERROR(_xlfn.XLOOKUP($A13,CFR20252026_BenchMarkDataReport!$B:$B,CFR20252026_BenchMarkDataReport!AK:AK),0)</f>
        <v>0</v>
      </c>
      <c r="W13" s="88">
        <f>IFERROR(_xlfn.XLOOKUP($A13,CFR20252026_BenchMarkDataReport!$B:$B,CFR20252026_BenchMarkDataReport!AL:AL),0)</f>
        <v>157891.67000000001</v>
      </c>
      <c r="X13" s="88">
        <f>IFERROR(_xlfn.XLOOKUP($A13,CFR20252026_BenchMarkDataReport!$B:$B,CFR20252026_BenchMarkDataReport!AM:AM),0)</f>
        <v>18934.5</v>
      </c>
      <c r="Y13" s="88">
        <f>IFERROR(_xlfn.XLOOKUP($A13,CFR20252026_BenchMarkDataReport!$B:$B,CFR20252026_BenchMarkDataReport!AN:AN),0)</f>
        <v>63674</v>
      </c>
      <c r="Z13" s="88">
        <f>IFERROR(_xlfn.XLOOKUP($A13,CFR20252026_BenchMarkDataReport!$B:$B,CFR20252026_BenchMarkDataReport!AO:AO),0)</f>
        <v>0</v>
      </c>
      <c r="AA13" s="88">
        <f>IFERROR(_xlfn.XLOOKUP($A13,CFR20252026_BenchMarkDataReport!$B:$B,CFR20252026_BenchMarkDataReport!AP:AP),0)</f>
        <v>2101.87</v>
      </c>
      <c r="AB13" s="88">
        <f>IFERROR(_xlfn.XLOOKUP($A13,CFR20252026_BenchMarkDataReport!$B:$B,CFR20252026_BenchMarkDataReport!AQ:AQ),0)</f>
        <v>4642.6400000000003</v>
      </c>
      <c r="AC13" s="88">
        <f>IFERROR(_xlfn.XLOOKUP($A13,CFR20252026_BenchMarkDataReport!$B:$B,CFR20252026_BenchMarkDataReport!AR:AR),0)</f>
        <v>2886.31</v>
      </c>
      <c r="AD13" s="88">
        <f>IFERROR(_xlfn.XLOOKUP($A13,CFR20252026_BenchMarkDataReport!$B:$B,CFR20252026_BenchMarkDataReport!AS:AS),0)</f>
        <v>295.83</v>
      </c>
      <c r="AE13" s="88">
        <f>IFERROR(_xlfn.XLOOKUP($A13,CFR20252026_BenchMarkDataReport!$B:$B,CFR20252026_BenchMarkDataReport!AT:AT),0)</f>
        <v>0</v>
      </c>
      <c r="AF13" s="88">
        <f>IFERROR(_xlfn.XLOOKUP($A13,CFR20252026_BenchMarkDataReport!$B:$B,CFR20252026_BenchMarkDataReport!AU:AU),0)</f>
        <v>2656.13</v>
      </c>
      <c r="AG13" s="88">
        <f>IFERROR(_xlfn.XLOOKUP($A13,CFR20252026_BenchMarkDataReport!$B:$B,CFR20252026_BenchMarkDataReport!AV:AV),0)</f>
        <v>3231.6</v>
      </c>
      <c r="AH13" s="88">
        <f>IFERROR(_xlfn.XLOOKUP($A13,CFR20252026_BenchMarkDataReport!$B:$B,CFR20252026_BenchMarkDataReport!AW:AW),0)</f>
        <v>10517.31</v>
      </c>
      <c r="AI13" s="88">
        <f>IFERROR(_xlfn.XLOOKUP($A13,CFR20252026_BenchMarkDataReport!$B:$B,CFR20252026_BenchMarkDataReport!AX:AX),0)</f>
        <v>4688.47</v>
      </c>
      <c r="AJ13" s="88">
        <f>IFERROR(_xlfn.XLOOKUP($A13,CFR20252026_BenchMarkDataReport!$B:$B,CFR20252026_BenchMarkDataReport!AY:AY),0)</f>
        <v>25715.83</v>
      </c>
      <c r="AK13" s="88">
        <f>IFERROR(_xlfn.XLOOKUP($A13,CFR20252026_BenchMarkDataReport!$B:$B,CFR20252026_BenchMarkDataReport!AZ:AZ),0)</f>
        <v>5405.4</v>
      </c>
      <c r="AL13" s="88">
        <f>IFERROR(_xlfn.XLOOKUP($A13,CFR20252026_BenchMarkDataReport!$B:$B,CFR20252026_BenchMarkDataReport!BA:BA),0)</f>
        <v>7320.15</v>
      </c>
      <c r="AM13" s="88">
        <f>IFERROR(_xlfn.XLOOKUP($A13,CFR20252026_BenchMarkDataReport!$B:$B,CFR20252026_BenchMarkDataReport!BB:BB),0)</f>
        <v>26841.11</v>
      </c>
      <c r="AN13" s="88">
        <f>IFERROR(_xlfn.XLOOKUP($A13,CFR20252026_BenchMarkDataReport!$B:$B,CFR20252026_BenchMarkDataReport!BC:BC),0)</f>
        <v>5726.86</v>
      </c>
      <c r="AO13" s="88">
        <f>IFERROR(_xlfn.XLOOKUP($A13,CFR20252026_BenchMarkDataReport!$B:$B,CFR20252026_BenchMarkDataReport!BD:BD),0)</f>
        <v>0</v>
      </c>
      <c r="AP13" s="88">
        <f>IFERROR(_xlfn.XLOOKUP($A13,CFR20252026_BenchMarkDataReport!$B:$B,CFR20252026_BenchMarkDataReport!BE:BE),0)</f>
        <v>6994</v>
      </c>
      <c r="AQ13" s="88">
        <f>IFERROR(_xlfn.XLOOKUP($A13,CFR20252026_BenchMarkDataReport!$B:$B,CFR20252026_BenchMarkDataReport!BF:BF),0)</f>
        <v>14024.51</v>
      </c>
      <c r="AR13" s="88">
        <f>IFERROR(_xlfn.XLOOKUP($A13,CFR20252026_BenchMarkDataReport!$B:$B,CFR20252026_BenchMarkDataReport!BG:BG),0)</f>
        <v>1240.75</v>
      </c>
      <c r="AS13" s="88">
        <f>IFERROR(_xlfn.XLOOKUP($A13,CFR20252026_BenchMarkDataReport!$B:$B,CFR20252026_BenchMarkDataReport!BH:BH),0)</f>
        <v>1353</v>
      </c>
      <c r="AT13" s="88">
        <f>IFERROR(_xlfn.XLOOKUP($A13,CFR20252026_BenchMarkDataReport!$B:$B,CFR20252026_BenchMarkDataReport!BI:BI),0)</f>
        <v>5219</v>
      </c>
      <c r="AU13" s="88">
        <f>IFERROR(_xlfn.XLOOKUP($A13,CFR20252026_BenchMarkDataReport!$B:$B,CFR20252026_BenchMarkDataReport!BJ:BJ),0)</f>
        <v>0</v>
      </c>
      <c r="AV13" s="88">
        <f>IFERROR(_xlfn.XLOOKUP($A13,CFR20252026_BenchMarkDataReport!$B:$B,CFR20252026_BenchMarkDataReport!BK:BK),0)</f>
        <v>1221.02</v>
      </c>
      <c r="AW13" s="88">
        <f>IFERROR(_xlfn.XLOOKUP($A13,CFR20252026_BenchMarkDataReport!$B:$B,CFR20252026_BenchMarkDataReport!BL:BL),0)</f>
        <v>7504.74</v>
      </c>
      <c r="AX13" s="88">
        <f>IFERROR(_xlfn.XLOOKUP($A13,CFR20252026_BenchMarkDataReport!$B:$B,CFR20252026_BenchMarkDataReport!BM:BM),0)</f>
        <v>11874.85</v>
      </c>
      <c r="AY13" s="88">
        <f>IFERROR(_xlfn.XLOOKUP($A13,CFR20252026_BenchMarkDataReport!$B:$B,CFR20252026_BenchMarkDataReport!BN:BN),0)</f>
        <v>81872.03</v>
      </c>
      <c r="AZ13" s="88">
        <f>IFERROR(_xlfn.XLOOKUP($A13,CFR20252026_BenchMarkDataReport!$B:$B,CFR20252026_BenchMarkDataReport!BO:BO),0)</f>
        <v>121065.16</v>
      </c>
      <c r="BA13" s="88">
        <f>IFERROR(_xlfn.XLOOKUP($A13,CFR20252026_BenchMarkDataReport!$B:$B,CFR20252026_BenchMarkDataReport!BP:BP),0)</f>
        <v>149665.42000000001</v>
      </c>
      <c r="BB13" s="88">
        <f>IFERROR(_xlfn.XLOOKUP($A13,CFR20252026_BenchMarkDataReport!$B:$B,CFR20252026_BenchMarkDataReport!BQ:BQ),0)</f>
        <v>23011</v>
      </c>
      <c r="BC13" s="88">
        <f>IFERROR(_xlfn.XLOOKUP($A13,CFR20252026_BenchMarkDataReport!$B:$B,CFR20252026_BenchMarkDataReport!BR:BR),0)</f>
        <v>0</v>
      </c>
      <c r="BD13" s="88">
        <f>IFERROR(_xlfn.XLOOKUP($A13,CFR20252026_BenchMarkDataReport!$B:$B,CFR20252026_BenchMarkDataReport!BS:BS),0)</f>
        <v>0</v>
      </c>
      <c r="BE13" s="88">
        <f>IFERROR(_xlfn.XLOOKUP($A13,CFR20252026_BenchMarkDataReport!$B:$B,CFR20252026_BenchMarkDataReport!BT:BT),0)</f>
        <v>2336.09</v>
      </c>
      <c r="BF13" s="88">
        <f>IFERROR(_xlfn.XLOOKUP($A13,CFR20252026_BenchMarkDataReport!$B:$B,CFR20252026_BenchMarkDataReport!BU:BU),0)</f>
        <v>0</v>
      </c>
      <c r="BG13" s="88">
        <f>IFERROR(_xlfn.XLOOKUP($A13,CFR20252026_BenchMarkDataReport!$B:$B,CFR20252026_BenchMarkDataReport!BV:BV),0)</f>
        <v>0</v>
      </c>
      <c r="BH13" s="89">
        <f t="shared" si="0"/>
        <v>1462643.7</v>
      </c>
      <c r="BI13" s="90">
        <f t="shared" si="85"/>
        <v>1449522.7000000002</v>
      </c>
      <c r="BJ13" s="124">
        <f t="shared" si="86"/>
        <v>13120.999999999767</v>
      </c>
      <c r="BK13" s="88">
        <f>IFERROR(_xlfn.XLOOKUP(A13,CFR20252026_BenchMarkDataReport!$B:$B,CFR20252026_BenchMarkDataReport!P:P)+_xlfn.XLOOKUP(A13,CFR20252026_BenchMarkDataReport!$B:$B,CFR20252026_BenchMarkDataReport!Q:Q),0)</f>
        <v>-57555</v>
      </c>
      <c r="BL13" s="89">
        <f t="shared" si="1"/>
        <v>-44434.000000000233</v>
      </c>
      <c r="BM13" s="91">
        <f>SUMIFS(PP!I:I,PP!E:E,A13)</f>
        <v>173</v>
      </c>
      <c r="BN13" s="90">
        <f t="shared" si="21"/>
        <v>1269920.51</v>
      </c>
      <c r="BO13" t="s">
        <v>173</v>
      </c>
      <c r="BP13" s="92">
        <f t="shared" si="22"/>
        <v>0.81707146449952228</v>
      </c>
      <c r="BQ13" s="93">
        <f t="shared" si="23"/>
        <v>6908.0024855491329</v>
      </c>
      <c r="BR13" s="94">
        <f t="shared" si="24"/>
        <v>0</v>
      </c>
      <c r="BS13" s="95">
        <f t="shared" si="25"/>
        <v>0</v>
      </c>
      <c r="BT13" s="92">
        <f t="shared" si="26"/>
        <v>5.1164941947242519E-2</v>
      </c>
      <c r="BU13" s="93">
        <f t="shared" si="27"/>
        <v>432.57849710982657</v>
      </c>
      <c r="BV13" s="94">
        <f t="shared" si="28"/>
        <v>0</v>
      </c>
      <c r="BW13" s="95">
        <f t="shared" si="29"/>
        <v>0</v>
      </c>
      <c r="BX13" s="92">
        <f t="shared" si="30"/>
        <v>4.5814301869963277E-2</v>
      </c>
      <c r="BY13" s="93">
        <f t="shared" si="31"/>
        <v>387.34104046242777</v>
      </c>
      <c r="BZ13" s="94">
        <f t="shared" si="32"/>
        <v>1.3076739058186215E-2</v>
      </c>
      <c r="CA13" s="95">
        <f t="shared" si="33"/>
        <v>110.55843930635838</v>
      </c>
      <c r="CB13" s="92">
        <f t="shared" si="34"/>
        <v>4.8727383162420215E-2</v>
      </c>
      <c r="CC13" s="93">
        <f t="shared" si="35"/>
        <v>411.9699421965318</v>
      </c>
      <c r="CD13" s="94">
        <f t="shared" si="36"/>
        <v>1.4620334398596186E-2</v>
      </c>
      <c r="CE13" s="96">
        <f t="shared" si="37"/>
        <v>123.60890173410405</v>
      </c>
      <c r="CF13" s="97">
        <f t="shared" si="38"/>
        <v>6.5955092138980939E-3</v>
      </c>
      <c r="CG13" s="98">
        <f t="shared" si="39"/>
        <v>55.762312138728319</v>
      </c>
      <c r="CH13" s="94">
        <f t="shared" si="40"/>
        <v>2.9110917443530508E-3</v>
      </c>
      <c r="CI13" s="95">
        <f t="shared" si="41"/>
        <v>24.612080924855494</v>
      </c>
      <c r="CJ13" s="99">
        <f t="shared" si="42"/>
        <v>0.63049348655688697</v>
      </c>
      <c r="CK13" s="97">
        <f t="shared" si="43"/>
        <v>0.5474173990562432</v>
      </c>
      <c r="CL13" s="97">
        <f t="shared" si="44"/>
        <v>0.55237259133644467</v>
      </c>
      <c r="CM13" s="98">
        <f t="shared" si="45"/>
        <v>4628.1884971098261</v>
      </c>
      <c r="CN13" s="94">
        <f t="shared" si="46"/>
        <v>0.12433193161042813</v>
      </c>
      <c r="CO13" s="100">
        <f t="shared" si="47"/>
        <v>0.10794950950802305</v>
      </c>
      <c r="CP13" s="100">
        <f t="shared" si="48"/>
        <v>0.1089266625489894</v>
      </c>
      <c r="CQ13" s="101">
        <f t="shared" si="49"/>
        <v>912.66861271676305</v>
      </c>
      <c r="CR13" s="99">
        <f t="shared" si="50"/>
        <v>1.4909988342498697E-2</v>
      </c>
      <c r="CS13" s="97">
        <f t="shared" si="51"/>
        <v>1.2945394698654225E-2</v>
      </c>
      <c r="CT13" s="97">
        <f t="shared" si="52"/>
        <v>1.3062575701643028E-2</v>
      </c>
      <c r="CU13" s="98">
        <f t="shared" si="53"/>
        <v>109.44797687861272</v>
      </c>
      <c r="CV13" s="94">
        <f t="shared" si="54"/>
        <v>5.014014617340104E-2</v>
      </c>
      <c r="CW13" s="100">
        <f t="shared" si="55"/>
        <v>4.3533500332309231E-2</v>
      </c>
      <c r="CX13" s="100">
        <f t="shared" si="56"/>
        <v>4.392756319028325E-2</v>
      </c>
      <c r="CY13" s="95">
        <f t="shared" si="57"/>
        <v>368.05780346820808</v>
      </c>
      <c r="CZ13" s="99">
        <f t="shared" si="58"/>
        <v>0.72619780745174356</v>
      </c>
      <c r="DA13" s="97">
        <f t="shared" si="59"/>
        <v>0.63051137471142149</v>
      </c>
      <c r="DB13" s="97">
        <f t="shared" si="60"/>
        <v>0.63621872910303501</v>
      </c>
      <c r="DC13" s="98">
        <f t="shared" si="61"/>
        <v>5330.713815028902</v>
      </c>
      <c r="DD13" s="94">
        <f t="shared" si="62"/>
        <v>2.0915718575172867E-3</v>
      </c>
      <c r="DE13" s="100">
        <f t="shared" si="63"/>
        <v>1.8324169742219283E-3</v>
      </c>
      <c r="DF13" s="95">
        <f t="shared" si="64"/>
        <v>15.35335260115607</v>
      </c>
      <c r="DG13" s="99">
        <f t="shared" si="65"/>
        <v>3.234492291841997E-3</v>
      </c>
      <c r="DH13" s="98">
        <f t="shared" si="66"/>
        <v>27.100982658959538</v>
      </c>
      <c r="DI13" s="94">
        <f t="shared" si="67"/>
        <v>2.0249952495058138E-2</v>
      </c>
      <c r="DJ13" s="100">
        <f t="shared" si="68"/>
        <v>1.7740894985639064E-2</v>
      </c>
      <c r="DK13" s="95">
        <f t="shared" si="69"/>
        <v>148.64641618497112</v>
      </c>
      <c r="DL13" s="99">
        <f t="shared" si="70"/>
        <v>5.7642584259073029E-3</v>
      </c>
      <c r="DM13" s="97">
        <f t="shared" si="71"/>
        <v>5.0500416447427825E-3</v>
      </c>
      <c r="DN13" s="102">
        <f t="shared" si="72"/>
        <v>42.31300578034682</v>
      </c>
      <c r="DO13" s="94">
        <f t="shared" si="73"/>
        <v>2.113605520080938E-2</v>
      </c>
      <c r="DP13" s="100">
        <f t="shared" si="74"/>
        <v>1.8351092614011192E-2</v>
      </c>
      <c r="DQ13" s="100">
        <f t="shared" si="75"/>
        <v>1.8517205698123939E-2</v>
      </c>
      <c r="DR13" s="95">
        <f t="shared" si="76"/>
        <v>155.15092485549133</v>
      </c>
      <c r="DS13" s="99">
        <f t="shared" si="77"/>
        <v>9.6149325125869495E-4</v>
      </c>
      <c r="DT13" s="97">
        <f t="shared" si="78"/>
        <v>8.4236004030844073E-4</v>
      </c>
      <c r="DU13" s="98">
        <f t="shared" si="87"/>
        <v>7.0579190751445084</v>
      </c>
      <c r="DV13" s="94">
        <f t="shared" si="79"/>
        <v>0.11785416395865597</v>
      </c>
      <c r="DW13" s="100">
        <f t="shared" si="80"/>
        <v>0.10325151858608354</v>
      </c>
      <c r="DX13" s="95">
        <f t="shared" si="81"/>
        <v>865.11803468208097</v>
      </c>
      <c r="DY13" s="99">
        <f t="shared" si="82"/>
        <v>5.6482061301972017E-2</v>
      </c>
      <c r="DZ13" s="98">
        <f t="shared" si="83"/>
        <v>473.24872832369942</v>
      </c>
      <c r="EA13" s="94">
        <f t="shared" si="14"/>
        <v>7.2557056195118562E-3</v>
      </c>
      <c r="EB13" s="95">
        <f t="shared" si="84"/>
        <v>60.793699421965314</v>
      </c>
      <c r="EC13" s="103">
        <f>IFERROR(VLOOKUP(A13,PP!$E$3:$S$130,14,0),0)</f>
        <v>44</v>
      </c>
    </row>
    <row r="14" spans="1:227">
      <c r="A14" s="121">
        <v>2002</v>
      </c>
      <c r="B14" s="122">
        <v>10044</v>
      </c>
      <c r="C14" s="121" t="s">
        <v>36</v>
      </c>
      <c r="D14" s="88">
        <f>IFERROR(_xlfn.XLOOKUP($A14,CFR20252026_BenchMarkDataReport!$B:$B,CFR20252026_BenchMarkDataReport!S:S),0)</f>
        <v>2883453.14</v>
      </c>
      <c r="E14" s="88">
        <f>IFERROR(_xlfn.XLOOKUP($A14,CFR20252026_BenchMarkDataReport!$B:$B,CFR20252026_BenchMarkDataReport!T:T),0)</f>
        <v>0</v>
      </c>
      <c r="F14" s="88">
        <f>IFERROR(_xlfn.XLOOKUP($A14,CFR20252026_BenchMarkDataReport!$B:$B,CFR20252026_BenchMarkDataReport!U:U),0)</f>
        <v>342941.7</v>
      </c>
      <c r="G14" s="88">
        <f>IFERROR(_xlfn.XLOOKUP($A14,CFR20252026_BenchMarkDataReport!$B:$B,CFR20252026_BenchMarkDataReport!V:V),0)</f>
        <v>0</v>
      </c>
      <c r="H14" s="88">
        <f>IFERROR(_xlfn.XLOOKUP($A14,CFR20252026_BenchMarkDataReport!$B:$B,CFR20252026_BenchMarkDataReport!W:W),0)</f>
        <v>150535</v>
      </c>
      <c r="I14" s="88">
        <f>IFERROR(_xlfn.XLOOKUP($A14,CFR20252026_BenchMarkDataReport!$B:$B,CFR20252026_BenchMarkDataReport!X:X),0)</f>
        <v>71483.31</v>
      </c>
      <c r="J14" s="88">
        <f>IFERROR(_xlfn.XLOOKUP($A14,CFR20252026_BenchMarkDataReport!$B:$B,CFR20252026_BenchMarkDataReport!Y:Y),0)</f>
        <v>169833.29</v>
      </c>
      <c r="K14" s="88">
        <f>IFERROR(_xlfn.XLOOKUP($A14,CFR20252026_BenchMarkDataReport!$B:$B,CFR20252026_BenchMarkDataReport!Z:Z),0)</f>
        <v>36192.04</v>
      </c>
      <c r="L14" s="88">
        <f>IFERROR(_xlfn.XLOOKUP($A14,CFR20252026_BenchMarkDataReport!$B:$B,CFR20252026_BenchMarkDataReport!AA:AA),0)</f>
        <v>52405.68</v>
      </c>
      <c r="M14" s="88">
        <f>IFERROR(_xlfn.XLOOKUP($A14,CFR20252026_BenchMarkDataReport!$B:$B,CFR20252026_BenchMarkDataReport!AB:AB),0)</f>
        <v>596.5</v>
      </c>
      <c r="N14" s="88">
        <f>IFERROR(_xlfn.XLOOKUP($A14,CFR20252026_BenchMarkDataReport!$B:$B,CFR20252026_BenchMarkDataReport!AC:AC),0)</f>
        <v>0</v>
      </c>
      <c r="O14" s="88">
        <f>IFERROR(_xlfn.XLOOKUP($A14,CFR20252026_BenchMarkDataReport!$B:$B,CFR20252026_BenchMarkDataReport!AD:AD),0)</f>
        <v>0</v>
      </c>
      <c r="P14" s="88">
        <f>IFERROR(_xlfn.XLOOKUP($A14,CFR20252026_BenchMarkDataReport!$B:$B,CFR20252026_BenchMarkDataReport!AE:AE),0)</f>
        <v>30530.52</v>
      </c>
      <c r="Q14" s="88">
        <f>IFERROR(_xlfn.XLOOKUP($A14,CFR20252026_BenchMarkDataReport!$B:$B,CFR20252026_BenchMarkDataReport!AF:AF),0)</f>
        <v>6500.75</v>
      </c>
      <c r="R14" s="88">
        <f>IFERROR(_xlfn.XLOOKUP($A14,CFR20252026_BenchMarkDataReport!$B:$B,CFR20252026_BenchMarkDataReport!AG:AG),0)</f>
        <v>0</v>
      </c>
      <c r="S14" s="88">
        <f>IFERROR(_xlfn.XLOOKUP($A14,CFR20252026_BenchMarkDataReport!$B:$B,CFR20252026_BenchMarkDataReport!AH:AH),0)</f>
        <v>0</v>
      </c>
      <c r="T14" s="88">
        <f>IFERROR(_xlfn.XLOOKUP($A14,CFR20252026_BenchMarkDataReport!$B:$B,CFR20252026_BenchMarkDataReport!AI:AI),0)</f>
        <v>0</v>
      </c>
      <c r="U14" s="88">
        <f>IFERROR(_xlfn.XLOOKUP($A14,CFR20252026_BenchMarkDataReport!$B:$B,CFR20252026_BenchMarkDataReport!AJ:AJ),0)</f>
        <v>1508118.5</v>
      </c>
      <c r="V14" s="88">
        <f>IFERROR(_xlfn.XLOOKUP($A14,CFR20252026_BenchMarkDataReport!$B:$B,CFR20252026_BenchMarkDataReport!AK:AK),0)</f>
        <v>0</v>
      </c>
      <c r="W14" s="88">
        <f>IFERROR(_xlfn.XLOOKUP($A14,CFR20252026_BenchMarkDataReport!$B:$B,CFR20252026_BenchMarkDataReport!AL:AL),0)</f>
        <v>824973.54</v>
      </c>
      <c r="X14" s="88">
        <f>IFERROR(_xlfn.XLOOKUP($A14,CFR20252026_BenchMarkDataReport!$B:$B,CFR20252026_BenchMarkDataReport!AM:AM),0)</f>
        <v>28431.77</v>
      </c>
      <c r="Y14" s="88">
        <f>IFERROR(_xlfn.XLOOKUP($A14,CFR20252026_BenchMarkDataReport!$B:$B,CFR20252026_BenchMarkDataReport!AN:AN),0)</f>
        <v>128385.43</v>
      </c>
      <c r="Z14" s="88">
        <f>IFERROR(_xlfn.XLOOKUP($A14,CFR20252026_BenchMarkDataReport!$B:$B,CFR20252026_BenchMarkDataReport!AO:AO),0)</f>
        <v>0</v>
      </c>
      <c r="AA14" s="88">
        <f>IFERROR(_xlfn.XLOOKUP($A14,CFR20252026_BenchMarkDataReport!$B:$B,CFR20252026_BenchMarkDataReport!AP:AP),0)</f>
        <v>36765.449999999997</v>
      </c>
      <c r="AB14" s="88">
        <f>IFERROR(_xlfn.XLOOKUP($A14,CFR20252026_BenchMarkDataReport!$B:$B,CFR20252026_BenchMarkDataReport!AQ:AQ),0)</f>
        <v>17496.39</v>
      </c>
      <c r="AC14" s="88">
        <f>IFERROR(_xlfn.XLOOKUP($A14,CFR20252026_BenchMarkDataReport!$B:$B,CFR20252026_BenchMarkDataReport!AR:AR),0)</f>
        <v>5686.75</v>
      </c>
      <c r="AD14" s="88">
        <f>IFERROR(_xlfn.XLOOKUP($A14,CFR20252026_BenchMarkDataReport!$B:$B,CFR20252026_BenchMarkDataReport!AS:AS),0)</f>
        <v>722</v>
      </c>
      <c r="AE14" s="88">
        <f>IFERROR(_xlfn.XLOOKUP($A14,CFR20252026_BenchMarkDataReport!$B:$B,CFR20252026_BenchMarkDataReport!AT:AT),0)</f>
        <v>0</v>
      </c>
      <c r="AF14" s="88">
        <f>IFERROR(_xlfn.XLOOKUP($A14,CFR20252026_BenchMarkDataReport!$B:$B,CFR20252026_BenchMarkDataReport!AU:AU),0)</f>
        <v>28039.29</v>
      </c>
      <c r="AG14" s="88">
        <f>IFERROR(_xlfn.XLOOKUP($A14,CFR20252026_BenchMarkDataReport!$B:$B,CFR20252026_BenchMarkDataReport!AV:AV),0)</f>
        <v>0</v>
      </c>
      <c r="AH14" s="88">
        <f>IFERROR(_xlfn.XLOOKUP($A14,CFR20252026_BenchMarkDataReport!$B:$B,CFR20252026_BenchMarkDataReport!AW:AW),0)</f>
        <v>87771.99</v>
      </c>
      <c r="AI14" s="88">
        <f>IFERROR(_xlfn.XLOOKUP($A14,CFR20252026_BenchMarkDataReport!$B:$B,CFR20252026_BenchMarkDataReport!AX:AX),0)</f>
        <v>8168.45</v>
      </c>
      <c r="AJ14" s="88">
        <f>IFERROR(_xlfn.XLOOKUP($A14,CFR20252026_BenchMarkDataReport!$B:$B,CFR20252026_BenchMarkDataReport!AY:AY),0)</f>
        <v>49084.17</v>
      </c>
      <c r="AK14" s="88">
        <f>IFERROR(_xlfn.XLOOKUP($A14,CFR20252026_BenchMarkDataReport!$B:$B,CFR20252026_BenchMarkDataReport!AZ:AZ),0)</f>
        <v>40279</v>
      </c>
      <c r="AL14" s="88">
        <f>IFERROR(_xlfn.XLOOKUP($A14,CFR20252026_BenchMarkDataReport!$B:$B,CFR20252026_BenchMarkDataReport!BA:BA),0)</f>
        <v>16358.74</v>
      </c>
      <c r="AM14" s="88">
        <f>IFERROR(_xlfn.XLOOKUP($A14,CFR20252026_BenchMarkDataReport!$B:$B,CFR20252026_BenchMarkDataReport!BB:BB),0)</f>
        <v>69536.429999999993</v>
      </c>
      <c r="AN14" s="88">
        <f>IFERROR(_xlfn.XLOOKUP($A14,CFR20252026_BenchMarkDataReport!$B:$B,CFR20252026_BenchMarkDataReport!BC:BC),0)</f>
        <v>5495</v>
      </c>
      <c r="AO14" s="88">
        <f>IFERROR(_xlfn.XLOOKUP($A14,CFR20252026_BenchMarkDataReport!$B:$B,CFR20252026_BenchMarkDataReport!BD:BD),0)</f>
        <v>4461</v>
      </c>
      <c r="AP14" s="88">
        <f>IFERROR(_xlfn.XLOOKUP($A14,CFR20252026_BenchMarkDataReport!$B:$B,CFR20252026_BenchMarkDataReport!BE:BE),0)</f>
        <v>2401.85</v>
      </c>
      <c r="AQ14" s="88">
        <f>IFERROR(_xlfn.XLOOKUP($A14,CFR20252026_BenchMarkDataReport!$B:$B,CFR20252026_BenchMarkDataReport!BF:BF),0)</f>
        <v>7897.3</v>
      </c>
      <c r="AR14" s="88">
        <f>IFERROR(_xlfn.XLOOKUP($A14,CFR20252026_BenchMarkDataReport!$B:$B,CFR20252026_BenchMarkDataReport!BG:BG),0)</f>
        <v>383.14</v>
      </c>
      <c r="AS14" s="88">
        <f>IFERROR(_xlfn.XLOOKUP($A14,CFR20252026_BenchMarkDataReport!$B:$B,CFR20252026_BenchMarkDataReport!BH:BH),0)</f>
        <v>510.23</v>
      </c>
      <c r="AT14" s="88">
        <f>IFERROR(_xlfn.XLOOKUP($A14,CFR20252026_BenchMarkDataReport!$B:$B,CFR20252026_BenchMarkDataReport!BI:BI),0)</f>
        <v>22317.24</v>
      </c>
      <c r="AU14" s="88">
        <f>IFERROR(_xlfn.XLOOKUP($A14,CFR20252026_BenchMarkDataReport!$B:$B,CFR20252026_BenchMarkDataReport!BJ:BJ),0)</f>
        <v>0</v>
      </c>
      <c r="AV14" s="88">
        <f>IFERROR(_xlfn.XLOOKUP($A14,CFR20252026_BenchMarkDataReport!$B:$B,CFR20252026_BenchMarkDataReport!BK:BK),0)</f>
        <v>12161.95</v>
      </c>
      <c r="AW14" s="88">
        <f>IFERROR(_xlfn.XLOOKUP($A14,CFR20252026_BenchMarkDataReport!$B:$B,CFR20252026_BenchMarkDataReport!BL:BL),0)</f>
        <v>19930.580000000002</v>
      </c>
      <c r="AX14" s="88">
        <f>IFERROR(_xlfn.XLOOKUP($A14,CFR20252026_BenchMarkDataReport!$B:$B,CFR20252026_BenchMarkDataReport!BM:BM),0)</f>
        <v>7101.87</v>
      </c>
      <c r="AY14" s="88">
        <f>IFERROR(_xlfn.XLOOKUP($A14,CFR20252026_BenchMarkDataReport!$B:$B,CFR20252026_BenchMarkDataReport!BN:BN),0)</f>
        <v>166678.60999999999</v>
      </c>
      <c r="AZ14" s="88">
        <f>IFERROR(_xlfn.XLOOKUP($A14,CFR20252026_BenchMarkDataReport!$B:$B,CFR20252026_BenchMarkDataReport!BO:BO),0)</f>
        <v>24047.75</v>
      </c>
      <c r="BA14" s="88">
        <f>IFERROR(_xlfn.XLOOKUP($A14,CFR20252026_BenchMarkDataReport!$B:$B,CFR20252026_BenchMarkDataReport!BP:BP),0)</f>
        <v>379546.3</v>
      </c>
      <c r="BB14" s="88">
        <f>IFERROR(_xlfn.XLOOKUP($A14,CFR20252026_BenchMarkDataReport!$B:$B,CFR20252026_BenchMarkDataReport!BQ:BQ),0)</f>
        <v>65609.25</v>
      </c>
      <c r="BC14" s="88">
        <f>IFERROR(_xlfn.XLOOKUP($A14,CFR20252026_BenchMarkDataReport!$B:$B,CFR20252026_BenchMarkDataReport!BR:BR),0)</f>
        <v>0</v>
      </c>
      <c r="BD14" s="88">
        <f>IFERROR(_xlfn.XLOOKUP($A14,CFR20252026_BenchMarkDataReport!$B:$B,CFR20252026_BenchMarkDataReport!BS:BS),0)</f>
        <v>0</v>
      </c>
      <c r="BE14" s="88">
        <f>IFERROR(_xlfn.XLOOKUP($A14,CFR20252026_BenchMarkDataReport!$B:$B,CFR20252026_BenchMarkDataReport!BT:BT),0)</f>
        <v>21109.96</v>
      </c>
      <c r="BF14" s="88">
        <f>IFERROR(_xlfn.XLOOKUP($A14,CFR20252026_BenchMarkDataReport!$B:$B,CFR20252026_BenchMarkDataReport!BU:BU),0)</f>
        <v>0</v>
      </c>
      <c r="BG14" s="88">
        <f>IFERROR(_xlfn.XLOOKUP($A14,CFR20252026_BenchMarkDataReport!$B:$B,CFR20252026_BenchMarkDataReport!BV:BV),0)</f>
        <v>0</v>
      </c>
      <c r="BH14" s="89">
        <f t="shared" si="0"/>
        <v>3744471.9300000006</v>
      </c>
      <c r="BI14" s="90">
        <f t="shared" si="85"/>
        <v>3589469.9300000016</v>
      </c>
      <c r="BJ14" s="124">
        <f t="shared" si="86"/>
        <v>155001.99999999907</v>
      </c>
      <c r="BK14" s="88">
        <f>IFERROR(_xlfn.XLOOKUP(A14,CFR20252026_BenchMarkDataReport!$B:$B,CFR20252026_BenchMarkDataReport!P:P)+_xlfn.XLOOKUP(A14,CFR20252026_BenchMarkDataReport!$B:$B,CFR20252026_BenchMarkDataReport!Q:Q),0)</f>
        <v>-64202</v>
      </c>
      <c r="BL14" s="89">
        <f t="shared" si="1"/>
        <v>90799.999999999069</v>
      </c>
      <c r="BM14" s="91">
        <f>SUMIFS(PP!I:I,PP!E:E,A14)</f>
        <v>422</v>
      </c>
      <c r="BN14" s="90">
        <f t="shared" si="21"/>
        <v>3226394.8400000003</v>
      </c>
      <c r="BO14" t="s">
        <v>173</v>
      </c>
      <c r="BP14" s="92">
        <f t="shared" si="22"/>
        <v>0.77005601695083337</v>
      </c>
      <c r="BQ14" s="93">
        <f t="shared" si="23"/>
        <v>6832.8273459715647</v>
      </c>
      <c r="BR14" s="94">
        <f t="shared" si="24"/>
        <v>0</v>
      </c>
      <c r="BS14" s="95">
        <f t="shared" si="25"/>
        <v>0</v>
      </c>
      <c r="BT14" s="92">
        <f t="shared" si="26"/>
        <v>9.1586131879482391E-2</v>
      </c>
      <c r="BU14" s="93">
        <f t="shared" si="27"/>
        <v>812.65805687203795</v>
      </c>
      <c r="BV14" s="94">
        <f t="shared" si="28"/>
        <v>0</v>
      </c>
      <c r="BW14" s="95">
        <f t="shared" si="29"/>
        <v>0</v>
      </c>
      <c r="BX14" s="92">
        <f t="shared" si="30"/>
        <v>4.0201930422803296E-2</v>
      </c>
      <c r="BY14" s="93">
        <f t="shared" si="31"/>
        <v>356.71800947867297</v>
      </c>
      <c r="BZ14" s="94">
        <f t="shared" si="32"/>
        <v>1.9090358089558435E-2</v>
      </c>
      <c r="CA14" s="95">
        <f t="shared" si="33"/>
        <v>169.39172985781991</v>
      </c>
      <c r="CB14" s="92">
        <f t="shared" si="34"/>
        <v>4.5355738586081475E-2</v>
      </c>
      <c r="CC14" s="93">
        <f t="shared" si="35"/>
        <v>402.44855450236969</v>
      </c>
      <c r="CD14" s="94">
        <f t="shared" si="36"/>
        <v>2.3660938486458352E-2</v>
      </c>
      <c r="CE14" s="96">
        <f t="shared" si="37"/>
        <v>209.94720379146921</v>
      </c>
      <c r="CF14" s="97">
        <f t="shared" si="38"/>
        <v>8.153491485780746E-3</v>
      </c>
      <c r="CG14" s="98">
        <f t="shared" si="39"/>
        <v>72.347203791469198</v>
      </c>
      <c r="CH14" s="94">
        <f t="shared" si="40"/>
        <v>1.7360925977084301E-3</v>
      </c>
      <c r="CI14" s="95">
        <f t="shared" si="41"/>
        <v>15.404620853080569</v>
      </c>
      <c r="CJ14" s="99">
        <f t="shared" si="42"/>
        <v>0.47488491830094787</v>
      </c>
      <c r="CK14" s="97">
        <f t="shared" si="43"/>
        <v>0.40918086145193772</v>
      </c>
      <c r="CL14" s="97">
        <f t="shared" si="44"/>
        <v>0.42685028148431914</v>
      </c>
      <c r="CM14" s="98">
        <f t="shared" si="45"/>
        <v>3630.725710900474</v>
      </c>
      <c r="CN14" s="94">
        <f t="shared" si="46"/>
        <v>0.25569515850081137</v>
      </c>
      <c r="CO14" s="100">
        <f t="shared" si="47"/>
        <v>0.22031772581614731</v>
      </c>
      <c r="CP14" s="100">
        <f t="shared" si="48"/>
        <v>0.22983157850273445</v>
      </c>
      <c r="CQ14" s="101">
        <f t="shared" si="49"/>
        <v>1954.9136018957347</v>
      </c>
      <c r="CR14" s="99">
        <f t="shared" si="50"/>
        <v>8.8122413436540203E-3</v>
      </c>
      <c r="CS14" s="97">
        <f t="shared" si="51"/>
        <v>7.592998567357399E-3</v>
      </c>
      <c r="CT14" s="97">
        <f t="shared" si="52"/>
        <v>7.9208826245829537E-3</v>
      </c>
      <c r="CU14" s="98">
        <f t="shared" si="53"/>
        <v>67.373862559241701</v>
      </c>
      <c r="CV14" s="94">
        <f t="shared" si="54"/>
        <v>3.9792225182209866E-2</v>
      </c>
      <c r="CW14" s="100">
        <f t="shared" si="55"/>
        <v>3.4286658412739118E-2</v>
      </c>
      <c r="CX14" s="100">
        <f t="shared" si="56"/>
        <v>3.5767239314914649E-2</v>
      </c>
      <c r="CY14" s="95">
        <f t="shared" si="57"/>
        <v>304.23087677725118</v>
      </c>
      <c r="CZ14" s="99">
        <f t="shared" si="58"/>
        <v>0.78312631134755972</v>
      </c>
      <c r="DA14" s="97">
        <f t="shared" si="59"/>
        <v>0.67477463771507029</v>
      </c>
      <c r="DB14" s="97">
        <f t="shared" si="60"/>
        <v>0.70391303988441523</v>
      </c>
      <c r="DC14" s="98">
        <f t="shared" si="61"/>
        <v>5987.3807819905223</v>
      </c>
      <c r="DD14" s="94">
        <f t="shared" si="62"/>
        <v>8.6905947320446361E-3</v>
      </c>
      <c r="DE14" s="100">
        <f t="shared" si="63"/>
        <v>7.8115405747388412E-3</v>
      </c>
      <c r="DF14" s="95">
        <f t="shared" si="64"/>
        <v>66.443815165876785</v>
      </c>
      <c r="DG14" s="99">
        <f t="shared" si="65"/>
        <v>2.275670268673903E-3</v>
      </c>
      <c r="DH14" s="98">
        <f t="shared" si="66"/>
        <v>19.356516587677724</v>
      </c>
      <c r="DI14" s="94">
        <f t="shared" si="67"/>
        <v>1.5213317784750732E-2</v>
      </c>
      <c r="DJ14" s="100">
        <f t="shared" si="68"/>
        <v>1.367448981526918E-2</v>
      </c>
      <c r="DK14" s="95">
        <f t="shared" si="69"/>
        <v>116.3131990521327</v>
      </c>
      <c r="DL14" s="99">
        <f t="shared" si="70"/>
        <v>5.0702845780648464E-3</v>
      </c>
      <c r="DM14" s="97">
        <f t="shared" si="71"/>
        <v>4.5574250011895193E-3</v>
      </c>
      <c r="DN14" s="102">
        <f t="shared" si="72"/>
        <v>38.764786729857818</v>
      </c>
      <c r="DO14" s="94">
        <f t="shared" si="73"/>
        <v>2.1552362140524618E-2</v>
      </c>
      <c r="DP14" s="100">
        <f t="shared" si="74"/>
        <v>1.8570423627130777E-2</v>
      </c>
      <c r="DQ14" s="100">
        <f t="shared" si="75"/>
        <v>1.9372339469633047E-2</v>
      </c>
      <c r="DR14" s="95">
        <f t="shared" si="76"/>
        <v>164.77827014218008</v>
      </c>
      <c r="DS14" s="99">
        <f t="shared" si="77"/>
        <v>3.769516938602592E-3</v>
      </c>
      <c r="DT14" s="97">
        <f t="shared" si="78"/>
        <v>3.3882300833204069E-3</v>
      </c>
      <c r="DU14" s="98">
        <f t="shared" si="87"/>
        <v>28.819786729857821</v>
      </c>
      <c r="DV14" s="94">
        <f t="shared" si="79"/>
        <v>0.11763789580075076</v>
      </c>
      <c r="DW14" s="100">
        <f t="shared" si="80"/>
        <v>0.10573881587023068</v>
      </c>
      <c r="DX14" s="95">
        <f t="shared" si="81"/>
        <v>899.39881516587673</v>
      </c>
      <c r="DY14" s="99">
        <f t="shared" si="82"/>
        <v>4.6435438449264267E-2</v>
      </c>
      <c r="DZ14" s="98">
        <f t="shared" si="83"/>
        <v>394.97300947867296</v>
      </c>
      <c r="EA14" s="94">
        <f t="shared" si="14"/>
        <v>2.4452632759623082E-2</v>
      </c>
      <c r="EB14" s="95">
        <f t="shared" si="84"/>
        <v>207.99049763033176</v>
      </c>
      <c r="EC14" s="103">
        <f>IFERROR(VLOOKUP(A14,PP!$E$3:$S$130,14,0),0)</f>
        <v>99</v>
      </c>
    </row>
    <row r="15" spans="1:227">
      <c r="A15" s="121">
        <v>2079</v>
      </c>
      <c r="B15" s="122">
        <v>10128</v>
      </c>
      <c r="C15" s="121" t="s">
        <v>37</v>
      </c>
      <c r="D15" s="88">
        <f>IFERROR(_xlfn.XLOOKUP($A15,CFR20252026_BenchMarkDataReport!$B:$B,CFR20252026_BenchMarkDataReport!S:S),0)</f>
        <v>2445466.5499999998</v>
      </c>
      <c r="E15" s="88">
        <f>IFERROR(_xlfn.XLOOKUP($A15,CFR20252026_BenchMarkDataReport!$B:$B,CFR20252026_BenchMarkDataReport!T:T),0)</f>
        <v>0</v>
      </c>
      <c r="F15" s="88">
        <f>IFERROR(_xlfn.XLOOKUP($A15,CFR20252026_BenchMarkDataReport!$B:$B,CFR20252026_BenchMarkDataReport!U:U),0)</f>
        <v>43768.4</v>
      </c>
      <c r="G15" s="88">
        <f>IFERROR(_xlfn.XLOOKUP($A15,CFR20252026_BenchMarkDataReport!$B:$B,CFR20252026_BenchMarkDataReport!V:V),0)</f>
        <v>0</v>
      </c>
      <c r="H15" s="88">
        <f>IFERROR(_xlfn.XLOOKUP($A15,CFR20252026_BenchMarkDataReport!$B:$B,CFR20252026_BenchMarkDataReport!W:W),0)</f>
        <v>14537.65</v>
      </c>
      <c r="I15" s="88">
        <f>IFERROR(_xlfn.XLOOKUP($A15,CFR20252026_BenchMarkDataReport!$B:$B,CFR20252026_BenchMarkDataReport!X:X),0)</f>
        <v>93655.05</v>
      </c>
      <c r="J15" s="88">
        <f>IFERROR(_xlfn.XLOOKUP($A15,CFR20252026_BenchMarkDataReport!$B:$B,CFR20252026_BenchMarkDataReport!Y:Y),0)</f>
        <v>230971.27</v>
      </c>
      <c r="K15" s="88">
        <f>IFERROR(_xlfn.XLOOKUP($A15,CFR20252026_BenchMarkDataReport!$B:$B,CFR20252026_BenchMarkDataReport!Z:Z),0)</f>
        <v>0</v>
      </c>
      <c r="L15" s="88">
        <f>IFERROR(_xlfn.XLOOKUP($A15,CFR20252026_BenchMarkDataReport!$B:$B,CFR20252026_BenchMarkDataReport!AA:AA),0)</f>
        <v>0</v>
      </c>
      <c r="M15" s="88">
        <f>IFERROR(_xlfn.XLOOKUP($A15,CFR20252026_BenchMarkDataReport!$B:$B,CFR20252026_BenchMarkDataReport!AB:AB),0)</f>
        <v>0</v>
      </c>
      <c r="N15" s="88">
        <f>IFERROR(_xlfn.XLOOKUP($A15,CFR20252026_BenchMarkDataReport!$B:$B,CFR20252026_BenchMarkDataReport!AC:AC),0)</f>
        <v>0</v>
      </c>
      <c r="O15" s="88">
        <f>IFERROR(_xlfn.XLOOKUP($A15,CFR20252026_BenchMarkDataReport!$B:$B,CFR20252026_BenchMarkDataReport!AD:AD),0)</f>
        <v>0</v>
      </c>
      <c r="P15" s="88">
        <f>IFERROR(_xlfn.XLOOKUP($A15,CFR20252026_BenchMarkDataReport!$B:$B,CFR20252026_BenchMarkDataReport!AE:AE),0)</f>
        <v>6142.94</v>
      </c>
      <c r="Q15" s="88">
        <f>IFERROR(_xlfn.XLOOKUP($A15,CFR20252026_BenchMarkDataReport!$B:$B,CFR20252026_BenchMarkDataReport!AF:AF),0)</f>
        <v>0</v>
      </c>
      <c r="R15" s="88">
        <f>IFERROR(_xlfn.XLOOKUP($A15,CFR20252026_BenchMarkDataReport!$B:$B,CFR20252026_BenchMarkDataReport!AG:AG),0)</f>
        <v>0</v>
      </c>
      <c r="S15" s="88">
        <f>IFERROR(_xlfn.XLOOKUP($A15,CFR20252026_BenchMarkDataReport!$B:$B,CFR20252026_BenchMarkDataReport!AH:AH),0)</f>
        <v>0</v>
      </c>
      <c r="T15" s="88">
        <f>IFERROR(_xlfn.XLOOKUP($A15,CFR20252026_BenchMarkDataReport!$B:$B,CFR20252026_BenchMarkDataReport!AI:AI),0)</f>
        <v>0</v>
      </c>
      <c r="U15" s="88">
        <f>IFERROR(_xlfn.XLOOKUP($A15,CFR20252026_BenchMarkDataReport!$B:$B,CFR20252026_BenchMarkDataReport!AJ:AJ),0)</f>
        <v>1811282.16</v>
      </c>
      <c r="V15" s="88">
        <f>IFERROR(_xlfn.XLOOKUP($A15,CFR20252026_BenchMarkDataReport!$B:$B,CFR20252026_BenchMarkDataReport!AK:AK),0)</f>
        <v>0</v>
      </c>
      <c r="W15" s="88">
        <f>IFERROR(_xlfn.XLOOKUP($A15,CFR20252026_BenchMarkDataReport!$B:$B,CFR20252026_BenchMarkDataReport!AL:AL),0)</f>
        <v>180997.93</v>
      </c>
      <c r="X15" s="88">
        <f>IFERROR(_xlfn.XLOOKUP($A15,CFR20252026_BenchMarkDataReport!$B:$B,CFR20252026_BenchMarkDataReport!AM:AM),0)</f>
        <v>75054.64</v>
      </c>
      <c r="Y15" s="88">
        <f>IFERROR(_xlfn.XLOOKUP($A15,CFR20252026_BenchMarkDataReport!$B:$B,CFR20252026_BenchMarkDataReport!AN:AN),0)</f>
        <v>134766.32999999999</v>
      </c>
      <c r="Z15" s="88">
        <f>IFERROR(_xlfn.XLOOKUP($A15,CFR20252026_BenchMarkDataReport!$B:$B,CFR20252026_BenchMarkDataReport!AO:AO),0)</f>
        <v>0</v>
      </c>
      <c r="AA15" s="88">
        <f>IFERROR(_xlfn.XLOOKUP($A15,CFR20252026_BenchMarkDataReport!$B:$B,CFR20252026_BenchMarkDataReport!AP:AP),0)</f>
        <v>30447.98</v>
      </c>
      <c r="AB15" s="88">
        <f>IFERROR(_xlfn.XLOOKUP($A15,CFR20252026_BenchMarkDataReport!$B:$B,CFR20252026_BenchMarkDataReport!AQ:AQ),0)</f>
        <v>25822.76</v>
      </c>
      <c r="AC15" s="88">
        <f>IFERROR(_xlfn.XLOOKUP($A15,CFR20252026_BenchMarkDataReport!$B:$B,CFR20252026_BenchMarkDataReport!AR:AR),0)</f>
        <v>14124.4</v>
      </c>
      <c r="AD15" s="88">
        <f>IFERROR(_xlfn.XLOOKUP($A15,CFR20252026_BenchMarkDataReport!$B:$B,CFR20252026_BenchMarkDataReport!AS:AS),0)</f>
        <v>701.1</v>
      </c>
      <c r="AE15" s="88">
        <f>IFERROR(_xlfn.XLOOKUP($A15,CFR20252026_BenchMarkDataReport!$B:$B,CFR20252026_BenchMarkDataReport!AT:AT),0)</f>
        <v>0</v>
      </c>
      <c r="AF15" s="88">
        <f>IFERROR(_xlfn.XLOOKUP($A15,CFR20252026_BenchMarkDataReport!$B:$B,CFR20252026_BenchMarkDataReport!AU:AU),0)</f>
        <v>21666.39</v>
      </c>
      <c r="AG15" s="88">
        <f>IFERROR(_xlfn.XLOOKUP($A15,CFR20252026_BenchMarkDataReport!$B:$B,CFR20252026_BenchMarkDataReport!AV:AV),0)</f>
        <v>0</v>
      </c>
      <c r="AH15" s="88">
        <f>IFERROR(_xlfn.XLOOKUP($A15,CFR20252026_BenchMarkDataReport!$B:$B,CFR20252026_BenchMarkDataReport!AW:AW),0)</f>
        <v>87910.07</v>
      </c>
      <c r="AI15" s="88">
        <f>IFERROR(_xlfn.XLOOKUP($A15,CFR20252026_BenchMarkDataReport!$B:$B,CFR20252026_BenchMarkDataReport!AX:AX),0)</f>
        <v>4531.53</v>
      </c>
      <c r="AJ15" s="88">
        <f>IFERROR(_xlfn.XLOOKUP($A15,CFR20252026_BenchMarkDataReport!$B:$B,CFR20252026_BenchMarkDataReport!AY:AY),0)</f>
        <v>38399.300000000003</v>
      </c>
      <c r="AK15" s="88">
        <f>IFERROR(_xlfn.XLOOKUP($A15,CFR20252026_BenchMarkDataReport!$B:$B,CFR20252026_BenchMarkDataReport!AZ:AZ),0)</f>
        <v>35084.71</v>
      </c>
      <c r="AL15" s="88">
        <f>IFERROR(_xlfn.XLOOKUP($A15,CFR20252026_BenchMarkDataReport!$B:$B,CFR20252026_BenchMarkDataReport!BA:BA),0)</f>
        <v>22834.26</v>
      </c>
      <c r="AM15" s="88">
        <f>IFERROR(_xlfn.XLOOKUP($A15,CFR20252026_BenchMarkDataReport!$B:$B,CFR20252026_BenchMarkDataReport!BB:BB),0)</f>
        <v>112150.69</v>
      </c>
      <c r="AN15" s="88">
        <f>IFERROR(_xlfn.XLOOKUP($A15,CFR20252026_BenchMarkDataReport!$B:$B,CFR20252026_BenchMarkDataReport!BC:BC),0)</f>
        <v>0</v>
      </c>
      <c r="AO15" s="88">
        <f>IFERROR(_xlfn.XLOOKUP($A15,CFR20252026_BenchMarkDataReport!$B:$B,CFR20252026_BenchMarkDataReport!BD:BD),0)</f>
        <v>0</v>
      </c>
      <c r="AP15" s="88">
        <f>IFERROR(_xlfn.XLOOKUP($A15,CFR20252026_BenchMarkDataReport!$B:$B,CFR20252026_BenchMarkDataReport!BE:BE),0)</f>
        <v>21957.5</v>
      </c>
      <c r="AQ15" s="88">
        <f>IFERROR(_xlfn.XLOOKUP($A15,CFR20252026_BenchMarkDataReport!$B:$B,CFR20252026_BenchMarkDataReport!BF:BF),0)</f>
        <v>0</v>
      </c>
      <c r="AR15" s="88">
        <f>IFERROR(_xlfn.XLOOKUP($A15,CFR20252026_BenchMarkDataReport!$B:$B,CFR20252026_BenchMarkDataReport!BG:BG),0)</f>
        <v>0</v>
      </c>
      <c r="AS15" s="88">
        <f>IFERROR(_xlfn.XLOOKUP($A15,CFR20252026_BenchMarkDataReport!$B:$B,CFR20252026_BenchMarkDataReport!BH:BH),0)</f>
        <v>0</v>
      </c>
      <c r="AT15" s="88">
        <f>IFERROR(_xlfn.XLOOKUP($A15,CFR20252026_BenchMarkDataReport!$B:$B,CFR20252026_BenchMarkDataReport!BI:BI),0)</f>
        <v>0</v>
      </c>
      <c r="AU15" s="88">
        <f>IFERROR(_xlfn.XLOOKUP($A15,CFR20252026_BenchMarkDataReport!$B:$B,CFR20252026_BenchMarkDataReport!BJ:BJ),0)</f>
        <v>0</v>
      </c>
      <c r="AV15" s="88">
        <f>IFERROR(_xlfn.XLOOKUP($A15,CFR20252026_BenchMarkDataReport!$B:$B,CFR20252026_BenchMarkDataReport!BK:BK),0)</f>
        <v>33270.14</v>
      </c>
      <c r="AW15" s="88">
        <f>IFERROR(_xlfn.XLOOKUP($A15,CFR20252026_BenchMarkDataReport!$B:$B,CFR20252026_BenchMarkDataReport!BL:BL),0)</f>
        <v>19054.8</v>
      </c>
      <c r="AX15" s="88">
        <f>IFERROR(_xlfn.XLOOKUP($A15,CFR20252026_BenchMarkDataReport!$B:$B,CFR20252026_BenchMarkDataReport!BM:BM),0)</f>
        <v>131477.15</v>
      </c>
      <c r="AY15" s="88">
        <f>IFERROR(_xlfn.XLOOKUP($A15,CFR20252026_BenchMarkDataReport!$B:$B,CFR20252026_BenchMarkDataReport!BN:BN),0)</f>
        <v>35431.050000000003</v>
      </c>
      <c r="AZ15" s="88">
        <f>IFERROR(_xlfn.XLOOKUP($A15,CFR20252026_BenchMarkDataReport!$B:$B,CFR20252026_BenchMarkDataReport!BO:BO),0)</f>
        <v>0</v>
      </c>
      <c r="BA15" s="88">
        <f>IFERROR(_xlfn.XLOOKUP($A15,CFR20252026_BenchMarkDataReport!$B:$B,CFR20252026_BenchMarkDataReport!BP:BP),0)</f>
        <v>37839.51</v>
      </c>
      <c r="BB15" s="88">
        <f>IFERROR(_xlfn.XLOOKUP($A15,CFR20252026_BenchMarkDataReport!$B:$B,CFR20252026_BenchMarkDataReport!BQ:BQ),0)</f>
        <v>40758.44</v>
      </c>
      <c r="BC15" s="88">
        <f>IFERROR(_xlfn.XLOOKUP($A15,CFR20252026_BenchMarkDataReport!$B:$B,CFR20252026_BenchMarkDataReport!BR:BR),0)</f>
        <v>0</v>
      </c>
      <c r="BD15" s="88">
        <f>IFERROR(_xlfn.XLOOKUP($A15,CFR20252026_BenchMarkDataReport!$B:$B,CFR20252026_BenchMarkDataReport!BS:BS),0)</f>
        <v>0</v>
      </c>
      <c r="BE15" s="88">
        <f>IFERROR(_xlfn.XLOOKUP($A15,CFR20252026_BenchMarkDataReport!$B:$B,CFR20252026_BenchMarkDataReport!BT:BT),0)</f>
        <v>0</v>
      </c>
      <c r="BF15" s="88">
        <f>IFERROR(_xlfn.XLOOKUP($A15,CFR20252026_BenchMarkDataReport!$B:$B,CFR20252026_BenchMarkDataReport!BU:BU),0)</f>
        <v>0</v>
      </c>
      <c r="BG15" s="88">
        <f>IFERROR(_xlfn.XLOOKUP($A15,CFR20252026_BenchMarkDataReport!$B:$B,CFR20252026_BenchMarkDataReport!BV:BV),0)</f>
        <v>0</v>
      </c>
      <c r="BH15" s="89">
        <f t="shared" si="0"/>
        <v>2834541.8599999994</v>
      </c>
      <c r="BI15" s="90">
        <f t="shared" si="85"/>
        <v>2915562.839999998</v>
      </c>
      <c r="BJ15" s="124">
        <f t="shared" si="86"/>
        <v>-81020.979999998584</v>
      </c>
      <c r="BK15" s="88">
        <f>IFERROR(_xlfn.XLOOKUP(A15,CFR20252026_BenchMarkDataReport!$B:$B,CFR20252026_BenchMarkDataReport!P:P)+_xlfn.XLOOKUP(A15,CFR20252026_BenchMarkDataReport!$B:$B,CFR20252026_BenchMarkDataReport!Q:Q),0)</f>
        <v>83676.98</v>
      </c>
      <c r="BL15" s="89">
        <f t="shared" si="1"/>
        <v>2656.0000000014115</v>
      </c>
      <c r="BM15" s="91">
        <f>SUMIFS(PP!I:I,PP!E:E,A15)</f>
        <v>410</v>
      </c>
      <c r="BN15" s="90">
        <f t="shared" si="21"/>
        <v>2489234.9499999997</v>
      </c>
      <c r="BO15" t="s">
        <v>173</v>
      </c>
      <c r="BP15" s="92">
        <f t="shared" si="22"/>
        <v>0.86273784998892211</v>
      </c>
      <c r="BQ15" s="93">
        <f t="shared" si="23"/>
        <v>5964.5525609756096</v>
      </c>
      <c r="BR15" s="94">
        <f t="shared" si="24"/>
        <v>0</v>
      </c>
      <c r="BS15" s="95">
        <f t="shared" si="25"/>
        <v>0</v>
      </c>
      <c r="BT15" s="92">
        <f t="shared" si="26"/>
        <v>1.5441084366275688E-2</v>
      </c>
      <c r="BU15" s="93">
        <f t="shared" si="27"/>
        <v>106.75219512195122</v>
      </c>
      <c r="BV15" s="94">
        <f t="shared" si="28"/>
        <v>0</v>
      </c>
      <c r="BW15" s="95">
        <f t="shared" si="29"/>
        <v>0</v>
      </c>
      <c r="BX15" s="92">
        <f t="shared" si="30"/>
        <v>5.1287476841142864E-3</v>
      </c>
      <c r="BY15" s="93">
        <f t="shared" si="31"/>
        <v>35.457682926829264</v>
      </c>
      <c r="BZ15" s="94">
        <f t="shared" si="32"/>
        <v>3.3040630417784704E-2</v>
      </c>
      <c r="CA15" s="95">
        <f t="shared" si="33"/>
        <v>228.4269512195122</v>
      </c>
      <c r="CB15" s="92">
        <f t="shared" si="34"/>
        <v>8.1484515455347711E-2</v>
      </c>
      <c r="CC15" s="93">
        <f t="shared" si="35"/>
        <v>563.34456097560974</v>
      </c>
      <c r="CD15" s="94">
        <f t="shared" si="36"/>
        <v>0</v>
      </c>
      <c r="CE15" s="96">
        <f t="shared" si="37"/>
        <v>0</v>
      </c>
      <c r="CF15" s="97">
        <f t="shared" si="38"/>
        <v>2.167172087555624E-3</v>
      </c>
      <c r="CG15" s="98">
        <f t="shared" si="39"/>
        <v>14.982780487804877</v>
      </c>
      <c r="CH15" s="94">
        <f t="shared" si="40"/>
        <v>0</v>
      </c>
      <c r="CI15" s="95">
        <f t="shared" si="41"/>
        <v>0</v>
      </c>
      <c r="CJ15" s="99">
        <f t="shared" si="42"/>
        <v>0.72764612275751639</v>
      </c>
      <c r="CK15" s="97">
        <f t="shared" si="43"/>
        <v>0.63900349667088718</v>
      </c>
      <c r="CL15" s="97">
        <f t="shared" si="44"/>
        <v>0.6212461399048429</v>
      </c>
      <c r="CM15" s="98">
        <f t="shared" si="45"/>
        <v>4417.7613658536584</v>
      </c>
      <c r="CN15" s="94">
        <f t="shared" si="46"/>
        <v>7.2712272499628861E-2</v>
      </c>
      <c r="CO15" s="100">
        <f t="shared" si="47"/>
        <v>6.3854385978268827E-2</v>
      </c>
      <c r="CP15" s="100">
        <f t="shared" si="48"/>
        <v>6.2079927592985827E-2</v>
      </c>
      <c r="CQ15" s="101">
        <f t="shared" si="49"/>
        <v>441.45836585365851</v>
      </c>
      <c r="CR15" s="99">
        <f t="shared" si="50"/>
        <v>3.0151689779223133E-2</v>
      </c>
      <c r="CS15" s="97">
        <f t="shared" si="51"/>
        <v>2.647857879932668E-2</v>
      </c>
      <c r="CT15" s="97">
        <f t="shared" si="52"/>
        <v>2.5742761901849473E-2</v>
      </c>
      <c r="CU15" s="98">
        <f t="shared" si="53"/>
        <v>183.06009756097561</v>
      </c>
      <c r="CV15" s="94">
        <f t="shared" si="54"/>
        <v>5.413965845208786E-2</v>
      </c>
      <c r="CW15" s="100">
        <f t="shared" si="55"/>
        <v>4.7544307565808894E-2</v>
      </c>
      <c r="CX15" s="100">
        <f t="shared" si="56"/>
        <v>4.6223092210902261E-2</v>
      </c>
      <c r="CY15" s="95">
        <f t="shared" si="57"/>
        <v>328.69836585365852</v>
      </c>
      <c r="CZ15" s="99">
        <f t="shared" si="58"/>
        <v>0.89688160613364354</v>
      </c>
      <c r="DA15" s="97">
        <f t="shared" si="59"/>
        <v>0.7876225331172213</v>
      </c>
      <c r="DB15" s="97">
        <f t="shared" si="60"/>
        <v>0.76573518134152141</v>
      </c>
      <c r="DC15" s="98">
        <f t="shared" si="61"/>
        <v>5445.241560975609</v>
      </c>
      <c r="DD15" s="94">
        <f t="shared" si="62"/>
        <v>8.7040357520289519E-3</v>
      </c>
      <c r="DE15" s="100">
        <f t="shared" si="63"/>
        <v>7.4312889788374498E-3</v>
      </c>
      <c r="DF15" s="95">
        <f t="shared" si="64"/>
        <v>52.844853658536586</v>
      </c>
      <c r="DG15" s="99">
        <f t="shared" si="65"/>
        <v>1.5542556441692072E-3</v>
      </c>
      <c r="DH15" s="98">
        <f t="shared" si="66"/>
        <v>11.052512195121951</v>
      </c>
      <c r="DI15" s="94">
        <f t="shared" si="67"/>
        <v>1.5426145290142261E-2</v>
      </c>
      <c r="DJ15" s="100">
        <f t="shared" si="68"/>
        <v>1.3170458709783813E-2</v>
      </c>
      <c r="DK15" s="95">
        <f t="shared" si="69"/>
        <v>93.656829268292697</v>
      </c>
      <c r="DL15" s="99">
        <f t="shared" si="70"/>
        <v>9.1732039998875959E-3</v>
      </c>
      <c r="DM15" s="97">
        <f t="shared" si="71"/>
        <v>7.831853145720576E-3</v>
      </c>
      <c r="DN15" s="102">
        <f t="shared" si="72"/>
        <v>55.693317073170725</v>
      </c>
      <c r="DO15" s="94">
        <f t="shared" si="73"/>
        <v>4.505428063349344E-2</v>
      </c>
      <c r="DP15" s="100">
        <f t="shared" si="74"/>
        <v>3.9565720154861296E-2</v>
      </c>
      <c r="DQ15" s="100">
        <f t="shared" si="75"/>
        <v>3.8466222871738918E-2</v>
      </c>
      <c r="DR15" s="95">
        <f t="shared" si="76"/>
        <v>273.53826829268291</v>
      </c>
      <c r="DS15" s="99">
        <f t="shared" si="77"/>
        <v>1.3365608577848388E-2</v>
      </c>
      <c r="DT15" s="97">
        <f t="shared" si="78"/>
        <v>1.1411223775921091E-2</v>
      </c>
      <c r="DU15" s="98">
        <f t="shared" si="87"/>
        <v>81.146682926829271</v>
      </c>
      <c r="DV15" s="94">
        <f t="shared" si="79"/>
        <v>1.5201260933605326E-2</v>
      </c>
      <c r="DW15" s="100">
        <f t="shared" si="80"/>
        <v>1.2978458046200105E-2</v>
      </c>
      <c r="DX15" s="95">
        <f t="shared" si="81"/>
        <v>92.291487804878059</v>
      </c>
      <c r="DY15" s="99">
        <f t="shared" si="82"/>
        <v>1.2152387701580126E-2</v>
      </c>
      <c r="DZ15" s="98">
        <f t="shared" si="83"/>
        <v>86.417195121951224</v>
      </c>
      <c r="EA15" s="94">
        <f t="shared" si="14"/>
        <v>3.0152006601922552E-2</v>
      </c>
      <c r="EB15" s="95">
        <f t="shared" si="84"/>
        <v>214.41480487804878</v>
      </c>
      <c r="EC15" s="103">
        <f>IFERROR(VLOOKUP(A15,PP!$E$3:$S$130,14,0),0)</f>
        <v>7</v>
      </c>
    </row>
    <row r="16" spans="1:227">
      <c r="A16" s="26">
        <v>3524</v>
      </c>
      <c r="B16" s="125">
        <v>11278</v>
      </c>
      <c r="C16" t="s">
        <v>294</v>
      </c>
      <c r="D16" s="88">
        <f>IFERROR(_xlfn.XLOOKUP($A16,CFR20252026_BenchMarkDataReport!$B:$B,CFR20252026_BenchMarkDataReport!S:S),0)</f>
        <v>1350343.94</v>
      </c>
      <c r="E16" s="88">
        <f>IFERROR(_xlfn.XLOOKUP($A16,CFR20252026_BenchMarkDataReport!$B:$B,CFR20252026_BenchMarkDataReport!T:T),0)</f>
        <v>0</v>
      </c>
      <c r="F16" s="88">
        <f>IFERROR(_xlfn.XLOOKUP($A16,CFR20252026_BenchMarkDataReport!$B:$B,CFR20252026_BenchMarkDataReport!U:U),0)</f>
        <v>139468.79</v>
      </c>
      <c r="G16" s="88">
        <f>IFERROR(_xlfn.XLOOKUP($A16,CFR20252026_BenchMarkDataReport!$B:$B,CFR20252026_BenchMarkDataReport!V:V),0)</f>
        <v>0</v>
      </c>
      <c r="H16" s="88">
        <f>IFERROR(_xlfn.XLOOKUP($A16,CFR20252026_BenchMarkDataReport!$B:$B,CFR20252026_BenchMarkDataReport!W:W),0)</f>
        <v>15150</v>
      </c>
      <c r="I16" s="88">
        <f>IFERROR(_xlfn.XLOOKUP($A16,CFR20252026_BenchMarkDataReport!$B:$B,CFR20252026_BenchMarkDataReport!X:X),0)</f>
        <v>108743.54</v>
      </c>
      <c r="J16" s="88">
        <f>IFERROR(_xlfn.XLOOKUP($A16,CFR20252026_BenchMarkDataReport!$B:$B,CFR20252026_BenchMarkDataReport!Y:Y),0)</f>
        <v>83215.490000000005</v>
      </c>
      <c r="K16" s="88">
        <f>IFERROR(_xlfn.XLOOKUP($A16,CFR20252026_BenchMarkDataReport!$B:$B,CFR20252026_BenchMarkDataReport!Z:Z),0)</f>
        <v>0</v>
      </c>
      <c r="L16" s="88">
        <f>IFERROR(_xlfn.XLOOKUP($A16,CFR20252026_BenchMarkDataReport!$B:$B,CFR20252026_BenchMarkDataReport!AA:AA),0)</f>
        <v>16763.939999999999</v>
      </c>
      <c r="M16" s="88">
        <f>IFERROR(_xlfn.XLOOKUP($A16,CFR20252026_BenchMarkDataReport!$B:$B,CFR20252026_BenchMarkDataReport!AB:AB),0)</f>
        <v>88158.97</v>
      </c>
      <c r="N16" s="88">
        <f>IFERROR(_xlfn.XLOOKUP($A16,CFR20252026_BenchMarkDataReport!$B:$B,CFR20252026_BenchMarkDataReport!AC:AC),0)</f>
        <v>0</v>
      </c>
      <c r="O16" s="88">
        <f>IFERROR(_xlfn.XLOOKUP($A16,CFR20252026_BenchMarkDataReport!$B:$B,CFR20252026_BenchMarkDataReport!AD:AD),0)</f>
        <v>0</v>
      </c>
      <c r="P16" s="88">
        <f>IFERROR(_xlfn.XLOOKUP($A16,CFR20252026_BenchMarkDataReport!$B:$B,CFR20252026_BenchMarkDataReport!AE:AE),0)</f>
        <v>100001.25</v>
      </c>
      <c r="Q16" s="88">
        <f>IFERROR(_xlfn.XLOOKUP($A16,CFR20252026_BenchMarkDataReport!$B:$B,CFR20252026_BenchMarkDataReport!AF:AF),0)</f>
        <v>453271.03999999998</v>
      </c>
      <c r="R16" s="88">
        <f>IFERROR(_xlfn.XLOOKUP($A16,CFR20252026_BenchMarkDataReport!$B:$B,CFR20252026_BenchMarkDataReport!AG:AG),0)</f>
        <v>0</v>
      </c>
      <c r="S16" s="88">
        <f>IFERROR(_xlfn.XLOOKUP($A16,CFR20252026_BenchMarkDataReport!$B:$B,CFR20252026_BenchMarkDataReport!AH:AH),0)</f>
        <v>0</v>
      </c>
      <c r="T16" s="88">
        <f>IFERROR(_xlfn.XLOOKUP($A16,CFR20252026_BenchMarkDataReport!$B:$B,CFR20252026_BenchMarkDataReport!AI:AI),0)</f>
        <v>0</v>
      </c>
      <c r="U16" s="88">
        <f>IFERROR(_xlfn.XLOOKUP($A16,CFR20252026_BenchMarkDataReport!$B:$B,CFR20252026_BenchMarkDataReport!AJ:AJ),0)</f>
        <v>1183943.8799999999</v>
      </c>
      <c r="V16" s="88">
        <f>IFERROR(_xlfn.XLOOKUP($A16,CFR20252026_BenchMarkDataReport!$B:$B,CFR20252026_BenchMarkDataReport!AK:AK),0)</f>
        <v>0</v>
      </c>
      <c r="W16" s="88">
        <f>IFERROR(_xlfn.XLOOKUP($A16,CFR20252026_BenchMarkDataReport!$B:$B,CFR20252026_BenchMarkDataReport!AL:AL),0)</f>
        <v>407271.94</v>
      </c>
      <c r="X16" s="88">
        <f>IFERROR(_xlfn.XLOOKUP($A16,CFR20252026_BenchMarkDataReport!$B:$B,CFR20252026_BenchMarkDataReport!AM:AM),0)</f>
        <v>42050.7</v>
      </c>
      <c r="Y16" s="88">
        <f>IFERROR(_xlfn.XLOOKUP($A16,CFR20252026_BenchMarkDataReport!$B:$B,CFR20252026_BenchMarkDataReport!AN:AN),0)</f>
        <v>134670.16</v>
      </c>
      <c r="Z16" s="88">
        <f>IFERROR(_xlfn.XLOOKUP($A16,CFR20252026_BenchMarkDataReport!$B:$B,CFR20252026_BenchMarkDataReport!AO:AO),0)</f>
        <v>0</v>
      </c>
      <c r="AA16" s="88">
        <f>IFERROR(_xlfn.XLOOKUP($A16,CFR20252026_BenchMarkDataReport!$B:$B,CFR20252026_BenchMarkDataReport!AP:AP),0)</f>
        <v>3536.63</v>
      </c>
      <c r="AB16" s="88">
        <f>IFERROR(_xlfn.XLOOKUP($A16,CFR20252026_BenchMarkDataReport!$B:$B,CFR20252026_BenchMarkDataReport!AQ:AQ),0)</f>
        <v>6316.22</v>
      </c>
      <c r="AC16" s="88">
        <f>IFERROR(_xlfn.XLOOKUP($A16,CFR20252026_BenchMarkDataReport!$B:$B,CFR20252026_BenchMarkDataReport!AR:AR),0)</f>
        <v>4188.82</v>
      </c>
      <c r="AD16" s="88">
        <f>IFERROR(_xlfn.XLOOKUP($A16,CFR20252026_BenchMarkDataReport!$B:$B,CFR20252026_BenchMarkDataReport!AS:AS),0)</f>
        <v>348.84</v>
      </c>
      <c r="AE16" s="88">
        <f>IFERROR(_xlfn.XLOOKUP($A16,CFR20252026_BenchMarkDataReport!$B:$B,CFR20252026_BenchMarkDataReport!AT:AT),0)</f>
        <v>0</v>
      </c>
      <c r="AF16" s="88">
        <f>IFERROR(_xlfn.XLOOKUP($A16,CFR20252026_BenchMarkDataReport!$B:$B,CFR20252026_BenchMarkDataReport!AU:AU),0)</f>
        <v>53152.14</v>
      </c>
      <c r="AG16" s="88">
        <f>IFERROR(_xlfn.XLOOKUP($A16,CFR20252026_BenchMarkDataReport!$B:$B,CFR20252026_BenchMarkDataReport!AV:AV),0)</f>
        <v>7516.58</v>
      </c>
      <c r="AH16" s="88">
        <f>IFERROR(_xlfn.XLOOKUP($A16,CFR20252026_BenchMarkDataReport!$B:$B,CFR20252026_BenchMarkDataReport!AW:AW),0)</f>
        <v>45767.29</v>
      </c>
      <c r="AI16" s="88">
        <f>IFERROR(_xlfn.XLOOKUP($A16,CFR20252026_BenchMarkDataReport!$B:$B,CFR20252026_BenchMarkDataReport!AX:AX),0)</f>
        <v>7586.19</v>
      </c>
      <c r="AJ16" s="88">
        <f>IFERROR(_xlfn.XLOOKUP($A16,CFR20252026_BenchMarkDataReport!$B:$B,CFR20252026_BenchMarkDataReport!AY:AY),0)</f>
        <v>32203.95</v>
      </c>
      <c r="AK16" s="88">
        <f>IFERROR(_xlfn.XLOOKUP($A16,CFR20252026_BenchMarkDataReport!$B:$B,CFR20252026_BenchMarkDataReport!AZ:AZ),0)</f>
        <v>10762.76</v>
      </c>
      <c r="AL16" s="88">
        <f>IFERROR(_xlfn.XLOOKUP($A16,CFR20252026_BenchMarkDataReport!$B:$B,CFR20252026_BenchMarkDataReport!BA:BA),0)</f>
        <v>73567.820000000007</v>
      </c>
      <c r="AM16" s="88">
        <f>IFERROR(_xlfn.XLOOKUP($A16,CFR20252026_BenchMarkDataReport!$B:$B,CFR20252026_BenchMarkDataReport!BB:BB),0)</f>
        <v>89671.039999999994</v>
      </c>
      <c r="AN16" s="88">
        <f>IFERROR(_xlfn.XLOOKUP($A16,CFR20252026_BenchMarkDataReport!$B:$B,CFR20252026_BenchMarkDataReport!BC:BC),0)</f>
        <v>28003.26</v>
      </c>
      <c r="AO16" s="88">
        <f>IFERROR(_xlfn.XLOOKUP($A16,CFR20252026_BenchMarkDataReport!$B:$B,CFR20252026_BenchMarkDataReport!BD:BD),0)</f>
        <v>0</v>
      </c>
      <c r="AP16" s="88">
        <f>IFERROR(_xlfn.XLOOKUP($A16,CFR20252026_BenchMarkDataReport!$B:$B,CFR20252026_BenchMarkDataReport!BE:BE),0)</f>
        <v>0</v>
      </c>
      <c r="AQ16" s="88">
        <f>IFERROR(_xlfn.XLOOKUP($A16,CFR20252026_BenchMarkDataReport!$B:$B,CFR20252026_BenchMarkDataReport!BF:BF),0)</f>
        <v>0</v>
      </c>
      <c r="AR16" s="88">
        <f>IFERROR(_xlfn.XLOOKUP($A16,CFR20252026_BenchMarkDataReport!$B:$B,CFR20252026_BenchMarkDataReport!BG:BG),0)</f>
        <v>0</v>
      </c>
      <c r="AS16" s="88">
        <f>IFERROR(_xlfn.XLOOKUP($A16,CFR20252026_BenchMarkDataReport!$B:$B,CFR20252026_BenchMarkDataReport!BH:BH),0)</f>
        <v>0</v>
      </c>
      <c r="AT16" s="88">
        <f>IFERROR(_xlfn.XLOOKUP($A16,CFR20252026_BenchMarkDataReport!$B:$B,CFR20252026_BenchMarkDataReport!BI:BI),0)</f>
        <v>0</v>
      </c>
      <c r="AU16" s="88">
        <f>IFERROR(_xlfn.XLOOKUP($A16,CFR20252026_BenchMarkDataReport!$B:$B,CFR20252026_BenchMarkDataReport!BJ:BJ),0)</f>
        <v>0</v>
      </c>
      <c r="AV16" s="88">
        <f>IFERROR(_xlfn.XLOOKUP($A16,CFR20252026_BenchMarkDataReport!$B:$B,CFR20252026_BenchMarkDataReport!BK:BK),0)</f>
        <v>25198.06</v>
      </c>
      <c r="AW16" s="88">
        <f>IFERROR(_xlfn.XLOOKUP($A16,CFR20252026_BenchMarkDataReport!$B:$B,CFR20252026_BenchMarkDataReport!BL:BL),0)</f>
        <v>10003.120000000001</v>
      </c>
      <c r="AX16" s="88">
        <f>IFERROR(_xlfn.XLOOKUP($A16,CFR20252026_BenchMarkDataReport!$B:$B,CFR20252026_BenchMarkDataReport!BM:BM),0)</f>
        <v>0</v>
      </c>
      <c r="AY16" s="88">
        <f>IFERROR(_xlfn.XLOOKUP($A16,CFR20252026_BenchMarkDataReport!$B:$B,CFR20252026_BenchMarkDataReport!BN:BN),0)</f>
        <v>187856.93</v>
      </c>
      <c r="AZ16" s="88">
        <f>IFERROR(_xlfn.XLOOKUP($A16,CFR20252026_BenchMarkDataReport!$B:$B,CFR20252026_BenchMarkDataReport!BO:BO),0)</f>
        <v>5495</v>
      </c>
      <c r="BA16" s="88">
        <f>IFERROR(_xlfn.XLOOKUP($A16,CFR20252026_BenchMarkDataReport!$B:$B,CFR20252026_BenchMarkDataReport!BP:BP),0)</f>
        <v>44686.92</v>
      </c>
      <c r="BB16" s="88">
        <f>IFERROR(_xlfn.XLOOKUP($A16,CFR20252026_BenchMarkDataReport!$B:$B,CFR20252026_BenchMarkDataReport!BQ:BQ),0)</f>
        <v>21750.26</v>
      </c>
      <c r="BC16" s="88">
        <f>IFERROR(_xlfn.XLOOKUP($A16,CFR20252026_BenchMarkDataReport!$B:$B,CFR20252026_BenchMarkDataReport!BR:BR),0)</f>
        <v>14955.1</v>
      </c>
      <c r="BD16" s="88">
        <f>IFERROR(_xlfn.XLOOKUP($A16,CFR20252026_BenchMarkDataReport!$B:$B,CFR20252026_BenchMarkDataReport!BS:BS),0)</f>
        <v>0</v>
      </c>
      <c r="BE16" s="88">
        <f>IFERROR(_xlfn.XLOOKUP($A16,CFR20252026_BenchMarkDataReport!$B:$B,CFR20252026_BenchMarkDataReport!BT:BT),0)</f>
        <v>0</v>
      </c>
      <c r="BF16" s="88">
        <f>IFERROR(_xlfn.XLOOKUP($A16,CFR20252026_BenchMarkDataReport!$B:$B,CFR20252026_BenchMarkDataReport!BU:BU),0)</f>
        <v>0</v>
      </c>
      <c r="BG16" s="88">
        <f>IFERROR(_xlfn.XLOOKUP($A16,CFR20252026_BenchMarkDataReport!$B:$B,CFR20252026_BenchMarkDataReport!BV:BV),0)</f>
        <v>0</v>
      </c>
      <c r="BH16" s="89">
        <f t="shared" si="0"/>
        <v>2355116.96</v>
      </c>
      <c r="BI16" s="90">
        <f t="shared" si="85"/>
        <v>2440503.6099999994</v>
      </c>
      <c r="BJ16" s="126">
        <f t="shared" si="86"/>
        <v>-85386.649999999441</v>
      </c>
      <c r="BK16" s="88">
        <f>IFERROR(_xlfn.XLOOKUP(A16,CFR20252026_BenchMarkDataReport!$B:$B,CFR20252026_BenchMarkDataReport!P:P)+_xlfn.XLOOKUP(A16,CFR20252026_BenchMarkDataReport!$B:$B,CFR20252026_BenchMarkDataReport!Q:Q),0)</f>
        <v>88765</v>
      </c>
      <c r="BL16" s="89">
        <f t="shared" si="1"/>
        <v>3378.3500000005588</v>
      </c>
      <c r="BM16" s="91">
        <f>SUMIFS(PP!I:I,PP!E:E,A16)</f>
        <v>204</v>
      </c>
      <c r="BN16" s="90">
        <f t="shared" si="21"/>
        <v>1489812.73</v>
      </c>
      <c r="BO16" t="s">
        <v>173</v>
      </c>
      <c r="BP16" s="92">
        <f t="shared" si="22"/>
        <v>0.5733659783928523</v>
      </c>
      <c r="BQ16" s="93">
        <f t="shared" si="23"/>
        <v>6619.3330392156859</v>
      </c>
      <c r="BR16" s="94">
        <f t="shared" si="24"/>
        <v>0</v>
      </c>
      <c r="BS16" s="95">
        <f t="shared" si="25"/>
        <v>0</v>
      </c>
      <c r="BT16" s="92">
        <f t="shared" si="26"/>
        <v>5.9219475027686104E-2</v>
      </c>
      <c r="BU16" s="93">
        <f t="shared" si="27"/>
        <v>683.67053921568629</v>
      </c>
      <c r="BV16" s="94">
        <f t="shared" si="28"/>
        <v>0</v>
      </c>
      <c r="BW16" s="95">
        <f t="shared" si="29"/>
        <v>0</v>
      </c>
      <c r="BX16" s="92">
        <f t="shared" si="30"/>
        <v>6.4328015369563641E-3</v>
      </c>
      <c r="BY16" s="93">
        <f t="shared" si="31"/>
        <v>74.264705882352942</v>
      </c>
      <c r="BZ16" s="94">
        <f t="shared" si="32"/>
        <v>4.6173307673008306E-2</v>
      </c>
      <c r="CA16" s="95">
        <f t="shared" si="33"/>
        <v>533.05656862745093</v>
      </c>
      <c r="CB16" s="92">
        <f t="shared" si="34"/>
        <v>3.5333909701028184E-2</v>
      </c>
      <c r="CC16" s="93">
        <f t="shared" si="35"/>
        <v>407.919068627451</v>
      </c>
      <c r="CD16" s="94">
        <f t="shared" si="36"/>
        <v>7.1180923430656283E-3</v>
      </c>
      <c r="CE16" s="96">
        <f t="shared" si="37"/>
        <v>82.176176470588231</v>
      </c>
      <c r="CF16" s="97">
        <f t="shared" si="38"/>
        <v>4.2461266976736474E-2</v>
      </c>
      <c r="CG16" s="98">
        <f t="shared" si="39"/>
        <v>490.20220588235293</v>
      </c>
      <c r="CH16" s="94">
        <f t="shared" si="40"/>
        <v>0.19246222064487192</v>
      </c>
      <c r="CI16" s="95">
        <f t="shared" si="41"/>
        <v>2221.9168627450981</v>
      </c>
      <c r="CJ16" s="99">
        <f t="shared" si="42"/>
        <v>0.79838147174376739</v>
      </c>
      <c r="CK16" s="97">
        <f t="shared" si="43"/>
        <v>0.50504450530558787</v>
      </c>
      <c r="CL16" s="97">
        <f t="shared" si="44"/>
        <v>0.4873743579506527</v>
      </c>
      <c r="CM16" s="98">
        <f t="shared" si="45"/>
        <v>5830.5827450980387</v>
      </c>
      <c r="CN16" s="94">
        <f t="shared" si="46"/>
        <v>0.27337123102713723</v>
      </c>
      <c r="CO16" s="100">
        <f t="shared" si="47"/>
        <v>0.17293066413143235</v>
      </c>
      <c r="CP16" s="100">
        <f t="shared" si="48"/>
        <v>0.16688028582756331</v>
      </c>
      <c r="CQ16" s="101">
        <f t="shared" si="49"/>
        <v>1996.4310784313725</v>
      </c>
      <c r="CR16" s="99">
        <f t="shared" si="50"/>
        <v>2.822549381760216E-2</v>
      </c>
      <c r="CS16" s="97">
        <f t="shared" si="51"/>
        <v>1.7855036804626467E-2</v>
      </c>
      <c r="CT16" s="97">
        <f t="shared" si="52"/>
        <v>1.7230337143406237E-2</v>
      </c>
      <c r="CU16" s="98">
        <f t="shared" si="53"/>
        <v>206.13088235294117</v>
      </c>
      <c r="CV16" s="94">
        <f t="shared" si="54"/>
        <v>9.0394018850946459E-2</v>
      </c>
      <c r="CW16" s="100">
        <f t="shared" si="55"/>
        <v>5.7181941401330663E-2</v>
      </c>
      <c r="CX16" s="100">
        <f t="shared" si="56"/>
        <v>5.518129924011874E-2</v>
      </c>
      <c r="CY16" s="95">
        <f t="shared" si="57"/>
        <v>660.14784313725488</v>
      </c>
      <c r="CZ16" s="99">
        <f t="shared" si="58"/>
        <v>1.1890577079442728</v>
      </c>
      <c r="DA16" s="97">
        <f t="shared" si="59"/>
        <v>0.75218060932311392</v>
      </c>
      <c r="DB16" s="97">
        <f t="shared" si="60"/>
        <v>0.7258638351286848</v>
      </c>
      <c r="DC16" s="98">
        <f t="shared" si="61"/>
        <v>8683.6926960784294</v>
      </c>
      <c r="DD16" s="94">
        <f t="shared" si="62"/>
        <v>3.5677061237085819E-2</v>
      </c>
      <c r="DE16" s="100">
        <f t="shared" si="63"/>
        <v>2.1779168767547947E-2</v>
      </c>
      <c r="DF16" s="95">
        <f t="shared" si="64"/>
        <v>260.54970588235295</v>
      </c>
      <c r="DG16" s="99">
        <f t="shared" si="65"/>
        <v>3.1084526853045716E-3</v>
      </c>
      <c r="DH16" s="98">
        <f t="shared" si="66"/>
        <v>37.187205882352941</v>
      </c>
      <c r="DI16" s="94">
        <f t="shared" si="67"/>
        <v>2.1616106072606858E-2</v>
      </c>
      <c r="DJ16" s="100">
        <f t="shared" si="68"/>
        <v>1.319561662111207E-2</v>
      </c>
      <c r="DK16" s="95">
        <f t="shared" si="69"/>
        <v>157.86250000000001</v>
      </c>
      <c r="DL16" s="99">
        <f t="shared" si="70"/>
        <v>4.9380582215860114E-2</v>
      </c>
      <c r="DM16" s="97">
        <f t="shared" si="71"/>
        <v>3.0144524145981504E-2</v>
      </c>
      <c r="DN16" s="102">
        <f t="shared" si="72"/>
        <v>360.62656862745104</v>
      </c>
      <c r="DO16" s="94">
        <f t="shared" si="73"/>
        <v>6.0189470927664843E-2</v>
      </c>
      <c r="DP16" s="100">
        <f t="shared" si="74"/>
        <v>3.8074983757919179E-2</v>
      </c>
      <c r="DQ16" s="100">
        <f t="shared" si="75"/>
        <v>3.6742842597147406E-2</v>
      </c>
      <c r="DR16" s="95">
        <f t="shared" si="76"/>
        <v>439.56392156862739</v>
      </c>
      <c r="DS16" s="99">
        <f t="shared" si="77"/>
        <v>1.6913575439780275E-2</v>
      </c>
      <c r="DT16" s="97">
        <f t="shared" si="78"/>
        <v>1.0324942727702012E-2</v>
      </c>
      <c r="DU16" s="98">
        <f t="shared" si="87"/>
        <v>123.51990196078432</v>
      </c>
      <c r="DV16" s="94">
        <f t="shared" si="79"/>
        <v>2.9994991383917091E-2</v>
      </c>
      <c r="DW16" s="100">
        <f t="shared" si="80"/>
        <v>1.8310532226584172E-2</v>
      </c>
      <c r="DX16" s="95">
        <f t="shared" si="81"/>
        <v>219.05352941176469</v>
      </c>
      <c r="DY16" s="99">
        <f t="shared" si="82"/>
        <v>7.6974657701899499E-2</v>
      </c>
      <c r="DZ16" s="98">
        <f t="shared" si="83"/>
        <v>920.86730392156858</v>
      </c>
      <c r="EA16" s="94">
        <f t="shared" si="14"/>
        <v>1.8753215448019767E-2</v>
      </c>
      <c r="EB16" s="95">
        <f t="shared" si="84"/>
        <v>224.34946078431372</v>
      </c>
      <c r="EC16" s="103">
        <f>IFERROR(VLOOKUP(A16,PP!$E$3:$S$130,14,0),0)</f>
        <v>10</v>
      </c>
    </row>
    <row r="17" spans="1:133">
      <c r="A17" s="121">
        <v>3511</v>
      </c>
      <c r="B17" s="122">
        <v>10115</v>
      </c>
      <c r="C17" s="121" t="s">
        <v>39</v>
      </c>
      <c r="D17" s="88">
        <f>IFERROR(_xlfn.XLOOKUP($A17,CFR20252026_BenchMarkDataReport!$B:$B,CFR20252026_BenchMarkDataReport!S:S),0)</f>
        <v>2720762.88</v>
      </c>
      <c r="E17" s="88">
        <f>IFERROR(_xlfn.XLOOKUP($A17,CFR20252026_BenchMarkDataReport!$B:$B,CFR20252026_BenchMarkDataReport!T:T),0)</f>
        <v>0</v>
      </c>
      <c r="F17" s="88">
        <f>IFERROR(_xlfn.XLOOKUP($A17,CFR20252026_BenchMarkDataReport!$B:$B,CFR20252026_BenchMarkDataReport!U:U),0)</f>
        <v>166212.98000000001</v>
      </c>
      <c r="G17" s="88">
        <f>IFERROR(_xlfn.XLOOKUP($A17,CFR20252026_BenchMarkDataReport!$B:$B,CFR20252026_BenchMarkDataReport!V:V),0)</f>
        <v>0</v>
      </c>
      <c r="H17" s="88">
        <f>IFERROR(_xlfn.XLOOKUP($A17,CFR20252026_BenchMarkDataReport!$B:$B,CFR20252026_BenchMarkDataReport!W:W),0)</f>
        <v>140685</v>
      </c>
      <c r="I17" s="88">
        <f>IFERROR(_xlfn.XLOOKUP($A17,CFR20252026_BenchMarkDataReport!$B:$B,CFR20252026_BenchMarkDataReport!X:X),0)</f>
        <v>81593.42</v>
      </c>
      <c r="J17" s="88">
        <f>IFERROR(_xlfn.XLOOKUP($A17,CFR20252026_BenchMarkDataReport!$B:$B,CFR20252026_BenchMarkDataReport!Y:Y),0)</f>
        <v>102076</v>
      </c>
      <c r="K17" s="88">
        <f>IFERROR(_xlfn.XLOOKUP($A17,CFR20252026_BenchMarkDataReport!$B:$B,CFR20252026_BenchMarkDataReport!Z:Z),0)</f>
        <v>0</v>
      </c>
      <c r="L17" s="88">
        <f>IFERROR(_xlfn.XLOOKUP($A17,CFR20252026_BenchMarkDataReport!$B:$B,CFR20252026_BenchMarkDataReport!AA:AA),0)</f>
        <v>56957.17</v>
      </c>
      <c r="M17" s="88">
        <f>IFERROR(_xlfn.XLOOKUP($A17,CFR20252026_BenchMarkDataReport!$B:$B,CFR20252026_BenchMarkDataReport!AB:AB),0)</f>
        <v>1479.61</v>
      </c>
      <c r="N17" s="88">
        <f>IFERROR(_xlfn.XLOOKUP($A17,CFR20252026_BenchMarkDataReport!$B:$B,CFR20252026_BenchMarkDataReport!AC:AC),0)</f>
        <v>0</v>
      </c>
      <c r="O17" s="88">
        <f>IFERROR(_xlfn.XLOOKUP($A17,CFR20252026_BenchMarkDataReport!$B:$B,CFR20252026_BenchMarkDataReport!AD:AD),0)</f>
        <v>0</v>
      </c>
      <c r="P17" s="88">
        <f>IFERROR(_xlfn.XLOOKUP($A17,CFR20252026_BenchMarkDataReport!$B:$B,CFR20252026_BenchMarkDataReport!AE:AE),0)</f>
        <v>53813.72</v>
      </c>
      <c r="Q17" s="88">
        <f>IFERROR(_xlfn.XLOOKUP($A17,CFR20252026_BenchMarkDataReport!$B:$B,CFR20252026_BenchMarkDataReport!AF:AF),0)</f>
        <v>35775.54</v>
      </c>
      <c r="R17" s="88">
        <f>IFERROR(_xlfn.XLOOKUP($A17,CFR20252026_BenchMarkDataReport!$B:$B,CFR20252026_BenchMarkDataReport!AG:AG),0)</f>
        <v>0</v>
      </c>
      <c r="S17" s="88">
        <f>IFERROR(_xlfn.XLOOKUP($A17,CFR20252026_BenchMarkDataReport!$B:$B,CFR20252026_BenchMarkDataReport!AH:AH),0)</f>
        <v>0</v>
      </c>
      <c r="T17" s="88">
        <f>IFERROR(_xlfn.XLOOKUP($A17,CFR20252026_BenchMarkDataReport!$B:$B,CFR20252026_BenchMarkDataReport!AI:AI),0)</f>
        <v>0</v>
      </c>
      <c r="U17" s="88">
        <f>IFERROR(_xlfn.XLOOKUP($A17,CFR20252026_BenchMarkDataReport!$B:$B,CFR20252026_BenchMarkDataReport!AJ:AJ),0)</f>
        <v>1394122.31</v>
      </c>
      <c r="V17" s="88">
        <f>IFERROR(_xlfn.XLOOKUP($A17,CFR20252026_BenchMarkDataReport!$B:$B,CFR20252026_BenchMarkDataReport!AK:AK),0)</f>
        <v>0</v>
      </c>
      <c r="W17" s="88">
        <f>IFERROR(_xlfn.XLOOKUP($A17,CFR20252026_BenchMarkDataReport!$B:$B,CFR20252026_BenchMarkDataReport!AL:AL),0)</f>
        <v>604972.28</v>
      </c>
      <c r="X17" s="88">
        <f>IFERROR(_xlfn.XLOOKUP($A17,CFR20252026_BenchMarkDataReport!$B:$B,CFR20252026_BenchMarkDataReport!AM:AM),0)</f>
        <v>52302.98</v>
      </c>
      <c r="Y17" s="88">
        <f>IFERROR(_xlfn.XLOOKUP($A17,CFR20252026_BenchMarkDataReport!$B:$B,CFR20252026_BenchMarkDataReport!AN:AN),0)</f>
        <v>183783.93</v>
      </c>
      <c r="Z17" s="88">
        <f>IFERROR(_xlfn.XLOOKUP($A17,CFR20252026_BenchMarkDataReport!$B:$B,CFR20252026_BenchMarkDataReport!AO:AO),0)</f>
        <v>0</v>
      </c>
      <c r="AA17" s="88">
        <f>IFERROR(_xlfn.XLOOKUP($A17,CFR20252026_BenchMarkDataReport!$B:$B,CFR20252026_BenchMarkDataReport!AP:AP),0)</f>
        <v>14871.86</v>
      </c>
      <c r="AB17" s="88">
        <f>IFERROR(_xlfn.XLOOKUP($A17,CFR20252026_BenchMarkDataReport!$B:$B,CFR20252026_BenchMarkDataReport!AQ:AQ),0)</f>
        <v>3024.02</v>
      </c>
      <c r="AC17" s="88">
        <f>IFERROR(_xlfn.XLOOKUP($A17,CFR20252026_BenchMarkDataReport!$B:$B,CFR20252026_BenchMarkDataReport!AR:AR),0)</f>
        <v>9355.3799999999992</v>
      </c>
      <c r="AD17" s="88">
        <f>IFERROR(_xlfn.XLOOKUP($A17,CFR20252026_BenchMarkDataReport!$B:$B,CFR20252026_BenchMarkDataReport!AS:AS),0)</f>
        <v>11214.8</v>
      </c>
      <c r="AE17" s="88">
        <f>IFERROR(_xlfn.XLOOKUP($A17,CFR20252026_BenchMarkDataReport!$B:$B,CFR20252026_BenchMarkDataReport!AT:AT),0)</f>
        <v>0</v>
      </c>
      <c r="AF17" s="88">
        <f>IFERROR(_xlfn.XLOOKUP($A17,CFR20252026_BenchMarkDataReport!$B:$B,CFR20252026_BenchMarkDataReport!AU:AU),0)</f>
        <v>26853.71</v>
      </c>
      <c r="AG17" s="88">
        <f>IFERROR(_xlfn.XLOOKUP($A17,CFR20252026_BenchMarkDataReport!$B:$B,CFR20252026_BenchMarkDataReport!AV:AV),0)</f>
        <v>13471</v>
      </c>
      <c r="AH17" s="88">
        <f>IFERROR(_xlfn.XLOOKUP($A17,CFR20252026_BenchMarkDataReport!$B:$B,CFR20252026_BenchMarkDataReport!AW:AW),0)</f>
        <v>68315.09</v>
      </c>
      <c r="AI17" s="88">
        <f>IFERROR(_xlfn.XLOOKUP($A17,CFR20252026_BenchMarkDataReport!$B:$B,CFR20252026_BenchMarkDataReport!AX:AX),0)</f>
        <v>7928.47</v>
      </c>
      <c r="AJ17" s="88">
        <f>IFERROR(_xlfn.XLOOKUP($A17,CFR20252026_BenchMarkDataReport!$B:$B,CFR20252026_BenchMarkDataReport!AY:AY),0)</f>
        <v>31197.56</v>
      </c>
      <c r="AK17" s="88">
        <f>IFERROR(_xlfn.XLOOKUP($A17,CFR20252026_BenchMarkDataReport!$B:$B,CFR20252026_BenchMarkDataReport!AZ:AZ),0)</f>
        <v>-4887.75</v>
      </c>
      <c r="AL17" s="88">
        <f>IFERROR(_xlfn.XLOOKUP($A17,CFR20252026_BenchMarkDataReport!$B:$B,CFR20252026_BenchMarkDataReport!BA:BA),0)</f>
        <v>19447.580000000002</v>
      </c>
      <c r="AM17" s="88">
        <f>IFERROR(_xlfn.XLOOKUP($A17,CFR20252026_BenchMarkDataReport!$B:$B,CFR20252026_BenchMarkDataReport!BB:BB),0)</f>
        <v>95357.61</v>
      </c>
      <c r="AN17" s="88">
        <f>IFERROR(_xlfn.XLOOKUP($A17,CFR20252026_BenchMarkDataReport!$B:$B,CFR20252026_BenchMarkDataReport!BC:BC),0)</f>
        <v>9981.18</v>
      </c>
      <c r="AO17" s="88">
        <f>IFERROR(_xlfn.XLOOKUP($A17,CFR20252026_BenchMarkDataReport!$B:$B,CFR20252026_BenchMarkDataReport!BD:BD),0)</f>
        <v>0</v>
      </c>
      <c r="AP17" s="88">
        <f>IFERROR(_xlfn.XLOOKUP($A17,CFR20252026_BenchMarkDataReport!$B:$B,CFR20252026_BenchMarkDataReport!BE:BE),0)</f>
        <v>18727.75</v>
      </c>
      <c r="AQ17" s="88">
        <f>IFERROR(_xlfn.XLOOKUP($A17,CFR20252026_BenchMarkDataReport!$B:$B,CFR20252026_BenchMarkDataReport!BF:BF),0)</f>
        <v>13513.2</v>
      </c>
      <c r="AR17" s="88">
        <f>IFERROR(_xlfn.XLOOKUP($A17,CFR20252026_BenchMarkDataReport!$B:$B,CFR20252026_BenchMarkDataReport!BG:BG),0)</f>
        <v>860</v>
      </c>
      <c r="AS17" s="88">
        <f>IFERROR(_xlfn.XLOOKUP($A17,CFR20252026_BenchMarkDataReport!$B:$B,CFR20252026_BenchMarkDataReport!BH:BH),0)</f>
        <v>3599.31</v>
      </c>
      <c r="AT17" s="88">
        <f>IFERROR(_xlfn.XLOOKUP($A17,CFR20252026_BenchMarkDataReport!$B:$B,CFR20252026_BenchMarkDataReport!BI:BI),0)</f>
        <v>15764.8</v>
      </c>
      <c r="AU17" s="88">
        <f>IFERROR(_xlfn.XLOOKUP($A17,CFR20252026_BenchMarkDataReport!$B:$B,CFR20252026_BenchMarkDataReport!BJ:BJ),0)</f>
        <v>0</v>
      </c>
      <c r="AV17" s="88">
        <f>IFERROR(_xlfn.XLOOKUP($A17,CFR20252026_BenchMarkDataReport!$B:$B,CFR20252026_BenchMarkDataReport!BK:BK),0)</f>
        <v>7593.37</v>
      </c>
      <c r="AW17" s="88">
        <f>IFERROR(_xlfn.XLOOKUP($A17,CFR20252026_BenchMarkDataReport!$B:$B,CFR20252026_BenchMarkDataReport!BL:BL),0)</f>
        <v>18956.34</v>
      </c>
      <c r="AX17" s="88">
        <f>IFERROR(_xlfn.XLOOKUP($A17,CFR20252026_BenchMarkDataReport!$B:$B,CFR20252026_BenchMarkDataReport!BM:BM),0)</f>
        <v>52345.24</v>
      </c>
      <c r="AY17" s="88">
        <f>IFERROR(_xlfn.XLOOKUP($A17,CFR20252026_BenchMarkDataReport!$B:$B,CFR20252026_BenchMarkDataReport!BN:BN),0)</f>
        <v>172809.54</v>
      </c>
      <c r="AZ17" s="88">
        <f>IFERROR(_xlfn.XLOOKUP($A17,CFR20252026_BenchMarkDataReport!$B:$B,CFR20252026_BenchMarkDataReport!BO:BO),0)</f>
        <v>147552.82999999999</v>
      </c>
      <c r="BA17" s="88">
        <f>IFERROR(_xlfn.XLOOKUP($A17,CFR20252026_BenchMarkDataReport!$B:$B,CFR20252026_BenchMarkDataReport!BP:BP),0)</f>
        <v>349842.72</v>
      </c>
      <c r="BB17" s="88">
        <f>IFERROR(_xlfn.XLOOKUP($A17,CFR20252026_BenchMarkDataReport!$B:$B,CFR20252026_BenchMarkDataReport!BQ:BQ),0)</f>
        <v>31956.71</v>
      </c>
      <c r="BC17" s="88">
        <f>IFERROR(_xlfn.XLOOKUP($A17,CFR20252026_BenchMarkDataReport!$B:$B,CFR20252026_BenchMarkDataReport!BR:BR),0)</f>
        <v>0</v>
      </c>
      <c r="BD17" s="88">
        <f>IFERROR(_xlfn.XLOOKUP($A17,CFR20252026_BenchMarkDataReport!$B:$B,CFR20252026_BenchMarkDataReport!BS:BS),0)</f>
        <v>0</v>
      </c>
      <c r="BE17" s="88">
        <f>IFERROR(_xlfn.XLOOKUP($A17,CFR20252026_BenchMarkDataReport!$B:$B,CFR20252026_BenchMarkDataReport!BT:BT),0)</f>
        <v>23698.5</v>
      </c>
      <c r="BF17" s="88">
        <f>IFERROR(_xlfn.XLOOKUP($A17,CFR20252026_BenchMarkDataReport!$B:$B,CFR20252026_BenchMarkDataReport!BU:BU),0)</f>
        <v>0</v>
      </c>
      <c r="BG17" s="88">
        <f>IFERROR(_xlfn.XLOOKUP($A17,CFR20252026_BenchMarkDataReport!$B:$B,CFR20252026_BenchMarkDataReport!BV:BV),0)</f>
        <v>0</v>
      </c>
      <c r="BH17" s="89">
        <f t="shared" si="0"/>
        <v>3359356.32</v>
      </c>
      <c r="BI17" s="90">
        <f t="shared" si="85"/>
        <v>3398532.3200000003</v>
      </c>
      <c r="BJ17" s="124">
        <f t="shared" si="86"/>
        <v>-39176.000000000466</v>
      </c>
      <c r="BK17" s="88">
        <f>IFERROR(_xlfn.XLOOKUP(A17,CFR20252026_BenchMarkDataReport!$B:$B,CFR20252026_BenchMarkDataReport!P:P)+_xlfn.XLOOKUP(A17,CFR20252026_BenchMarkDataReport!$B:$B,CFR20252026_BenchMarkDataReport!Q:Q),0)</f>
        <v>272995</v>
      </c>
      <c r="BL17" s="89">
        <f t="shared" si="1"/>
        <v>233818.99999999953</v>
      </c>
      <c r="BM17" s="91">
        <f>SUMIFS(PP!I:I,PP!E:E,A17)</f>
        <v>418</v>
      </c>
      <c r="BN17" s="90">
        <f t="shared" si="21"/>
        <v>2886975.86</v>
      </c>
      <c r="BO17" t="s">
        <v>173</v>
      </c>
      <c r="BP17" s="92">
        <f t="shared" si="22"/>
        <v>0.80990601199458356</v>
      </c>
      <c r="BQ17" s="93">
        <f t="shared" si="23"/>
        <v>6509.0021052631573</v>
      </c>
      <c r="BR17" s="94">
        <f t="shared" si="24"/>
        <v>0</v>
      </c>
      <c r="BS17" s="95">
        <f t="shared" si="25"/>
        <v>0</v>
      </c>
      <c r="BT17" s="92">
        <f t="shared" si="26"/>
        <v>4.947762730926978E-2</v>
      </c>
      <c r="BU17" s="93">
        <f t="shared" si="27"/>
        <v>397.63870813397131</v>
      </c>
      <c r="BV17" s="94">
        <f t="shared" si="28"/>
        <v>0</v>
      </c>
      <c r="BW17" s="95">
        <f t="shared" si="29"/>
        <v>0</v>
      </c>
      <c r="BX17" s="92">
        <f t="shared" si="30"/>
        <v>4.1878558449554411E-2</v>
      </c>
      <c r="BY17" s="93">
        <f t="shared" si="31"/>
        <v>336.56698564593302</v>
      </c>
      <c r="BZ17" s="94">
        <f t="shared" si="32"/>
        <v>2.428840891757502E-2</v>
      </c>
      <c r="CA17" s="95">
        <f t="shared" si="33"/>
        <v>195.19956937799043</v>
      </c>
      <c r="CB17" s="92">
        <f t="shared" si="34"/>
        <v>3.0385582914288771E-2</v>
      </c>
      <c r="CC17" s="93">
        <f t="shared" si="35"/>
        <v>244.20095693779905</v>
      </c>
      <c r="CD17" s="94">
        <f t="shared" si="36"/>
        <v>1.6954786743193707E-2</v>
      </c>
      <c r="CE17" s="96">
        <f t="shared" si="37"/>
        <v>136.26117224880383</v>
      </c>
      <c r="CF17" s="97">
        <f t="shared" si="38"/>
        <v>1.601905688885066E-2</v>
      </c>
      <c r="CG17" s="98">
        <f t="shared" si="39"/>
        <v>128.74095693779904</v>
      </c>
      <c r="CH17" s="94">
        <f t="shared" si="40"/>
        <v>1.0649522287055279E-2</v>
      </c>
      <c r="CI17" s="95">
        <f t="shared" si="41"/>
        <v>85.587416267942587</v>
      </c>
      <c r="CJ17" s="99">
        <f t="shared" si="42"/>
        <v>0.53401040215140561</v>
      </c>
      <c r="CK17" s="97">
        <f t="shared" si="43"/>
        <v>0.45891980282698924</v>
      </c>
      <c r="CL17" s="97">
        <f t="shared" si="44"/>
        <v>0.45362968329811265</v>
      </c>
      <c r="CM17" s="98">
        <f t="shared" si="45"/>
        <v>3688.2180382775123</v>
      </c>
      <c r="CN17" s="94">
        <f t="shared" si="46"/>
        <v>0.20955224752035165</v>
      </c>
      <c r="CO17" s="100">
        <f t="shared" si="47"/>
        <v>0.18008577309834167</v>
      </c>
      <c r="CP17" s="100">
        <f t="shared" si="48"/>
        <v>0.17800986515261388</v>
      </c>
      <c r="CQ17" s="101">
        <f t="shared" si="49"/>
        <v>1447.302105263158</v>
      </c>
      <c r="CR17" s="99">
        <f t="shared" si="50"/>
        <v>1.8116874728561119E-2</v>
      </c>
      <c r="CS17" s="97">
        <f t="shared" si="51"/>
        <v>1.5569345737042864E-2</v>
      </c>
      <c r="CT17" s="97">
        <f t="shared" si="52"/>
        <v>1.5389872767194987E-2</v>
      </c>
      <c r="CU17" s="98">
        <f t="shared" si="53"/>
        <v>125.12674641148327</v>
      </c>
      <c r="CV17" s="94">
        <f t="shared" si="54"/>
        <v>6.3659669811025027E-2</v>
      </c>
      <c r="CW17" s="100">
        <f t="shared" si="55"/>
        <v>5.470807871908033E-2</v>
      </c>
      <c r="CX17" s="100">
        <f t="shared" si="56"/>
        <v>5.4077440699460515E-2</v>
      </c>
      <c r="CY17" s="95">
        <f t="shared" si="57"/>
        <v>439.67447368421051</v>
      </c>
      <c r="CZ17" s="99">
        <f t="shared" si="58"/>
        <v>0.77938073233490768</v>
      </c>
      <c r="DA17" s="97">
        <f t="shared" si="59"/>
        <v>0.66978705015727535</v>
      </c>
      <c r="DB17" s="97">
        <f t="shared" si="60"/>
        <v>0.66206619450363202</v>
      </c>
      <c r="DC17" s="98">
        <f t="shared" si="61"/>
        <v>5382.9027751196172</v>
      </c>
      <c r="DD17" s="94">
        <f t="shared" si="62"/>
        <v>9.3016745903791529E-3</v>
      </c>
      <c r="DE17" s="100">
        <f t="shared" si="63"/>
        <v>7.9015608714293455E-3</v>
      </c>
      <c r="DF17" s="95">
        <f t="shared" si="64"/>
        <v>64.243325358851678</v>
      </c>
      <c r="DG17" s="99">
        <f t="shared" si="65"/>
        <v>2.3329099898040692E-3</v>
      </c>
      <c r="DH17" s="98">
        <f t="shared" si="66"/>
        <v>18.967631578947369</v>
      </c>
      <c r="DI17" s="94">
        <f t="shared" si="67"/>
        <v>1.0806311348928288E-2</v>
      </c>
      <c r="DJ17" s="100">
        <f t="shared" si="68"/>
        <v>9.1797155543896659E-3</v>
      </c>
      <c r="DK17" s="95">
        <f t="shared" si="69"/>
        <v>74.635311004784697</v>
      </c>
      <c r="DL17" s="99">
        <f t="shared" si="70"/>
        <v>6.7363154190004217E-3</v>
      </c>
      <c r="DM17" s="97">
        <f t="shared" si="71"/>
        <v>5.7223466393281205E-3</v>
      </c>
      <c r="DN17" s="102">
        <f t="shared" si="72"/>
        <v>46.52531100478469</v>
      </c>
      <c r="DO17" s="94">
        <f t="shared" si="73"/>
        <v>3.3030276186652982E-2</v>
      </c>
      <c r="DP17" s="100">
        <f t="shared" si="74"/>
        <v>2.838567895649724E-2</v>
      </c>
      <c r="DQ17" s="100">
        <f t="shared" si="75"/>
        <v>2.8058467897695318E-2</v>
      </c>
      <c r="DR17" s="95">
        <f t="shared" si="76"/>
        <v>228.12825358851674</v>
      </c>
      <c r="DS17" s="99">
        <f t="shared" si="77"/>
        <v>2.6302159658515467E-3</v>
      </c>
      <c r="DT17" s="97">
        <f t="shared" si="78"/>
        <v>2.2343086029559958E-3</v>
      </c>
      <c r="DU17" s="98">
        <f t="shared" si="87"/>
        <v>18.165956937799042</v>
      </c>
      <c r="DV17" s="94">
        <f t="shared" si="79"/>
        <v>0.12117964851981824</v>
      </c>
      <c r="DW17" s="100">
        <f t="shared" si="80"/>
        <v>0.10293935353835326</v>
      </c>
      <c r="DX17" s="95">
        <f t="shared" si="81"/>
        <v>836.94430622009565</v>
      </c>
      <c r="DY17" s="99">
        <f t="shared" si="82"/>
        <v>5.084828500321574E-2</v>
      </c>
      <c r="DZ17" s="98">
        <f t="shared" si="83"/>
        <v>413.41995215311005</v>
      </c>
      <c r="EA17" s="94">
        <f t="shared" si="14"/>
        <v>2.0101350691288995E-2</v>
      </c>
      <c r="EB17" s="95">
        <f t="shared" si="84"/>
        <v>163.43322966507176</v>
      </c>
      <c r="EC17" s="103">
        <f>IFERROR(VLOOKUP(A17,PP!$E$3:$S$130,14,0),0)</f>
        <v>83</v>
      </c>
    </row>
    <row r="18" spans="1:133" ht="12.75" customHeight="1">
      <c r="A18" s="121">
        <v>2008</v>
      </c>
      <c r="B18" s="122">
        <v>10047</v>
      </c>
      <c r="C18" s="121" t="s">
        <v>41</v>
      </c>
      <c r="D18" s="88">
        <f>IFERROR(_xlfn.XLOOKUP($A18,CFR20252026_BenchMarkDataReport!$B:$B,CFR20252026_BenchMarkDataReport!S:S),0)</f>
        <v>1882398.17</v>
      </c>
      <c r="E18" s="88">
        <f>IFERROR(_xlfn.XLOOKUP($A18,CFR20252026_BenchMarkDataReport!$B:$B,CFR20252026_BenchMarkDataReport!T:T),0)</f>
        <v>0</v>
      </c>
      <c r="F18" s="88">
        <f>IFERROR(_xlfn.XLOOKUP($A18,CFR20252026_BenchMarkDataReport!$B:$B,CFR20252026_BenchMarkDataReport!U:U),0)</f>
        <v>126042.51</v>
      </c>
      <c r="G18" s="88">
        <f>IFERROR(_xlfn.XLOOKUP($A18,CFR20252026_BenchMarkDataReport!$B:$B,CFR20252026_BenchMarkDataReport!V:V),0)</f>
        <v>0</v>
      </c>
      <c r="H18" s="88">
        <f>IFERROR(_xlfn.XLOOKUP($A18,CFR20252026_BenchMarkDataReport!$B:$B,CFR20252026_BenchMarkDataReport!W:W),0)</f>
        <v>42420</v>
      </c>
      <c r="I18" s="88">
        <f>IFERROR(_xlfn.XLOOKUP($A18,CFR20252026_BenchMarkDataReport!$B:$B,CFR20252026_BenchMarkDataReport!X:X),0)</f>
        <v>127791</v>
      </c>
      <c r="J18" s="88">
        <f>IFERROR(_xlfn.XLOOKUP($A18,CFR20252026_BenchMarkDataReport!$B:$B,CFR20252026_BenchMarkDataReport!Y:Y),0)</f>
        <v>5817.87</v>
      </c>
      <c r="K18" s="88">
        <f>IFERROR(_xlfn.XLOOKUP($A18,CFR20252026_BenchMarkDataReport!$B:$B,CFR20252026_BenchMarkDataReport!Z:Z),0)</f>
        <v>47436.98</v>
      </c>
      <c r="L18" s="88">
        <f>IFERROR(_xlfn.XLOOKUP($A18,CFR20252026_BenchMarkDataReport!$B:$B,CFR20252026_BenchMarkDataReport!AA:AA),0)</f>
        <v>20303.8</v>
      </c>
      <c r="M18" s="88">
        <f>IFERROR(_xlfn.XLOOKUP($A18,CFR20252026_BenchMarkDataReport!$B:$B,CFR20252026_BenchMarkDataReport!AB:AB),0)</f>
        <v>13611.58</v>
      </c>
      <c r="N18" s="88">
        <f>IFERROR(_xlfn.XLOOKUP($A18,CFR20252026_BenchMarkDataReport!$B:$B,CFR20252026_BenchMarkDataReport!AC:AC),0)</f>
        <v>23352</v>
      </c>
      <c r="O18" s="88">
        <f>IFERROR(_xlfn.XLOOKUP($A18,CFR20252026_BenchMarkDataReport!$B:$B,CFR20252026_BenchMarkDataReport!AD:AD),0)</f>
        <v>5092</v>
      </c>
      <c r="P18" s="88">
        <f>IFERROR(_xlfn.XLOOKUP($A18,CFR20252026_BenchMarkDataReport!$B:$B,CFR20252026_BenchMarkDataReport!AE:AE),0)</f>
        <v>102518.05</v>
      </c>
      <c r="Q18" s="88">
        <f>IFERROR(_xlfn.XLOOKUP($A18,CFR20252026_BenchMarkDataReport!$B:$B,CFR20252026_BenchMarkDataReport!AF:AF),0)</f>
        <v>36779.97</v>
      </c>
      <c r="R18" s="88">
        <f>IFERROR(_xlfn.XLOOKUP($A18,CFR20252026_BenchMarkDataReport!$B:$B,CFR20252026_BenchMarkDataReport!AG:AG),0)</f>
        <v>0</v>
      </c>
      <c r="S18" s="88">
        <f>IFERROR(_xlfn.XLOOKUP($A18,CFR20252026_BenchMarkDataReport!$B:$B,CFR20252026_BenchMarkDataReport!AH:AH),0)</f>
        <v>0</v>
      </c>
      <c r="T18" s="88">
        <f>IFERROR(_xlfn.XLOOKUP($A18,CFR20252026_BenchMarkDataReport!$B:$B,CFR20252026_BenchMarkDataReport!AI:AI),0)</f>
        <v>0</v>
      </c>
      <c r="U18" s="88">
        <f>IFERROR(_xlfn.XLOOKUP($A18,CFR20252026_BenchMarkDataReport!$B:$B,CFR20252026_BenchMarkDataReport!AJ:AJ),0)</f>
        <v>1023869.49</v>
      </c>
      <c r="V18" s="88">
        <f>IFERROR(_xlfn.XLOOKUP($A18,CFR20252026_BenchMarkDataReport!$B:$B,CFR20252026_BenchMarkDataReport!AK:AK),0)</f>
        <v>0</v>
      </c>
      <c r="W18" s="88">
        <f>IFERROR(_xlfn.XLOOKUP($A18,CFR20252026_BenchMarkDataReport!$B:$B,CFR20252026_BenchMarkDataReport!AL:AL),0)</f>
        <v>526685.92000000004</v>
      </c>
      <c r="X18" s="88">
        <f>IFERROR(_xlfn.XLOOKUP($A18,CFR20252026_BenchMarkDataReport!$B:$B,CFR20252026_BenchMarkDataReport!AM:AM),0)</f>
        <v>34727.65</v>
      </c>
      <c r="Y18" s="88">
        <f>IFERROR(_xlfn.XLOOKUP($A18,CFR20252026_BenchMarkDataReport!$B:$B,CFR20252026_BenchMarkDataReport!AN:AN),0)</f>
        <v>72527.960000000006</v>
      </c>
      <c r="Z18" s="88">
        <f>IFERROR(_xlfn.XLOOKUP($A18,CFR20252026_BenchMarkDataReport!$B:$B,CFR20252026_BenchMarkDataReport!AO:AO),0)</f>
        <v>0</v>
      </c>
      <c r="AA18" s="88">
        <f>IFERROR(_xlfn.XLOOKUP($A18,CFR20252026_BenchMarkDataReport!$B:$B,CFR20252026_BenchMarkDataReport!AP:AP),0)</f>
        <v>24553.75</v>
      </c>
      <c r="AB18" s="88">
        <f>IFERROR(_xlfn.XLOOKUP($A18,CFR20252026_BenchMarkDataReport!$B:$B,CFR20252026_BenchMarkDataReport!AQ:AQ),0)</f>
        <v>8706.66</v>
      </c>
      <c r="AC18" s="88">
        <f>IFERROR(_xlfn.XLOOKUP($A18,CFR20252026_BenchMarkDataReport!$B:$B,CFR20252026_BenchMarkDataReport!AR:AR),0)</f>
        <v>3875</v>
      </c>
      <c r="AD18" s="88">
        <f>IFERROR(_xlfn.XLOOKUP($A18,CFR20252026_BenchMarkDataReport!$B:$B,CFR20252026_BenchMarkDataReport!AS:AS),0)</f>
        <v>23364.82</v>
      </c>
      <c r="AE18" s="88">
        <f>IFERROR(_xlfn.XLOOKUP($A18,CFR20252026_BenchMarkDataReport!$B:$B,CFR20252026_BenchMarkDataReport!AT:AT),0)</f>
        <v>0</v>
      </c>
      <c r="AF18" s="88">
        <f>IFERROR(_xlfn.XLOOKUP($A18,CFR20252026_BenchMarkDataReport!$B:$B,CFR20252026_BenchMarkDataReport!AU:AU),0)</f>
        <v>18006.18</v>
      </c>
      <c r="AG18" s="88">
        <f>IFERROR(_xlfn.XLOOKUP($A18,CFR20252026_BenchMarkDataReport!$B:$B,CFR20252026_BenchMarkDataReport!AV:AV),0)</f>
        <v>11227.55</v>
      </c>
      <c r="AH18" s="88">
        <f>IFERROR(_xlfn.XLOOKUP($A18,CFR20252026_BenchMarkDataReport!$B:$B,CFR20252026_BenchMarkDataReport!AW:AW),0)</f>
        <v>46399.96</v>
      </c>
      <c r="AI18" s="88">
        <f>IFERROR(_xlfn.XLOOKUP($A18,CFR20252026_BenchMarkDataReport!$B:$B,CFR20252026_BenchMarkDataReport!AX:AX),0)</f>
        <v>3976.58</v>
      </c>
      <c r="AJ18" s="88">
        <f>IFERROR(_xlfn.XLOOKUP($A18,CFR20252026_BenchMarkDataReport!$B:$B,CFR20252026_BenchMarkDataReport!AY:AY),0)</f>
        <v>28214.78</v>
      </c>
      <c r="AK18" s="88">
        <f>IFERROR(_xlfn.XLOOKUP($A18,CFR20252026_BenchMarkDataReport!$B:$B,CFR20252026_BenchMarkDataReport!AZ:AZ),0)</f>
        <v>44619.94</v>
      </c>
      <c r="AL18" s="88">
        <f>IFERROR(_xlfn.XLOOKUP($A18,CFR20252026_BenchMarkDataReport!$B:$B,CFR20252026_BenchMarkDataReport!BA:BA),0)</f>
        <v>11136.94</v>
      </c>
      <c r="AM18" s="88">
        <f>IFERROR(_xlfn.XLOOKUP($A18,CFR20252026_BenchMarkDataReport!$B:$B,CFR20252026_BenchMarkDataReport!BB:BB),0)</f>
        <v>50280.38</v>
      </c>
      <c r="AN18" s="88">
        <f>IFERROR(_xlfn.XLOOKUP($A18,CFR20252026_BenchMarkDataReport!$B:$B,CFR20252026_BenchMarkDataReport!BC:BC),0)</f>
        <v>5644.73</v>
      </c>
      <c r="AO18" s="88">
        <f>IFERROR(_xlfn.XLOOKUP($A18,CFR20252026_BenchMarkDataReport!$B:$B,CFR20252026_BenchMarkDataReport!BD:BD),0)</f>
        <v>0</v>
      </c>
      <c r="AP18" s="88">
        <f>IFERROR(_xlfn.XLOOKUP($A18,CFR20252026_BenchMarkDataReport!$B:$B,CFR20252026_BenchMarkDataReport!BE:BE),0)</f>
        <v>9430.11</v>
      </c>
      <c r="AQ18" s="88">
        <f>IFERROR(_xlfn.XLOOKUP($A18,CFR20252026_BenchMarkDataReport!$B:$B,CFR20252026_BenchMarkDataReport!BF:BF),0)</f>
        <v>7599.26</v>
      </c>
      <c r="AR18" s="88">
        <f>IFERROR(_xlfn.XLOOKUP($A18,CFR20252026_BenchMarkDataReport!$B:$B,CFR20252026_BenchMarkDataReport!BG:BG),0)</f>
        <v>460</v>
      </c>
      <c r="AS18" s="88">
        <f>IFERROR(_xlfn.XLOOKUP($A18,CFR20252026_BenchMarkDataReport!$B:$B,CFR20252026_BenchMarkDataReport!BH:BH),0)</f>
        <v>401.59</v>
      </c>
      <c r="AT18" s="88">
        <f>IFERROR(_xlfn.XLOOKUP($A18,CFR20252026_BenchMarkDataReport!$B:$B,CFR20252026_BenchMarkDataReport!BI:BI),0)</f>
        <v>9600</v>
      </c>
      <c r="AU18" s="88">
        <f>IFERROR(_xlfn.XLOOKUP($A18,CFR20252026_BenchMarkDataReport!$B:$B,CFR20252026_BenchMarkDataReport!BJ:BJ),0)</f>
        <v>0</v>
      </c>
      <c r="AV18" s="88">
        <f>IFERROR(_xlfn.XLOOKUP($A18,CFR20252026_BenchMarkDataReport!$B:$B,CFR20252026_BenchMarkDataReport!BK:BK),0)</f>
        <v>1268.07</v>
      </c>
      <c r="AW18" s="88">
        <f>IFERROR(_xlfn.XLOOKUP($A18,CFR20252026_BenchMarkDataReport!$B:$B,CFR20252026_BenchMarkDataReport!BL:BL),0)</f>
        <v>12565.08</v>
      </c>
      <c r="AX18" s="88">
        <f>IFERROR(_xlfn.XLOOKUP($A18,CFR20252026_BenchMarkDataReport!$B:$B,CFR20252026_BenchMarkDataReport!BM:BM),0)</f>
        <v>12208.79</v>
      </c>
      <c r="AY18" s="88">
        <f>IFERROR(_xlfn.XLOOKUP($A18,CFR20252026_BenchMarkDataReport!$B:$B,CFR20252026_BenchMarkDataReport!BN:BN),0)</f>
        <v>117889.84</v>
      </c>
      <c r="AZ18" s="88">
        <f>IFERROR(_xlfn.XLOOKUP($A18,CFR20252026_BenchMarkDataReport!$B:$B,CFR20252026_BenchMarkDataReport!BO:BO),0)</f>
        <v>117928.6</v>
      </c>
      <c r="BA18" s="88">
        <f>IFERROR(_xlfn.XLOOKUP($A18,CFR20252026_BenchMarkDataReport!$B:$B,CFR20252026_BenchMarkDataReport!BP:BP),0)</f>
        <v>195272.95999999999</v>
      </c>
      <c r="BB18" s="88">
        <f>IFERROR(_xlfn.XLOOKUP($A18,CFR20252026_BenchMarkDataReport!$B:$B,CFR20252026_BenchMarkDataReport!BQ:BQ),0)</f>
        <v>22604.34</v>
      </c>
      <c r="BC18" s="88">
        <f>IFERROR(_xlfn.XLOOKUP($A18,CFR20252026_BenchMarkDataReport!$B:$B,CFR20252026_BenchMarkDataReport!BR:BR),0)</f>
        <v>0</v>
      </c>
      <c r="BD18" s="88">
        <f>IFERROR(_xlfn.XLOOKUP($A18,CFR20252026_BenchMarkDataReport!$B:$B,CFR20252026_BenchMarkDataReport!BS:BS),0)</f>
        <v>0</v>
      </c>
      <c r="BE18" s="88">
        <f>IFERROR(_xlfn.XLOOKUP($A18,CFR20252026_BenchMarkDataReport!$B:$B,CFR20252026_BenchMarkDataReport!BT:BT),0)</f>
        <v>673</v>
      </c>
      <c r="BF18" s="88">
        <f>IFERROR(_xlfn.XLOOKUP($A18,CFR20252026_BenchMarkDataReport!$B:$B,CFR20252026_BenchMarkDataReport!BU:BU),0)</f>
        <v>0</v>
      </c>
      <c r="BG18" s="88">
        <f>IFERROR(_xlfn.XLOOKUP($A18,CFR20252026_BenchMarkDataReport!$B:$B,CFR20252026_BenchMarkDataReport!BV:BV),0)</f>
        <v>0</v>
      </c>
      <c r="BH18" s="89">
        <f t="shared" si="0"/>
        <v>2433563.9299999997</v>
      </c>
      <c r="BI18" s="90">
        <f t="shared" si="85"/>
        <v>2445719.9300000002</v>
      </c>
      <c r="BJ18" s="124">
        <f t="shared" si="86"/>
        <v>-12156.000000000466</v>
      </c>
      <c r="BK18" s="88">
        <f>IFERROR(_xlfn.XLOOKUP(A18,CFR20252026_BenchMarkDataReport!$B:$B,CFR20252026_BenchMarkDataReport!P:P)+_xlfn.XLOOKUP(A18,CFR20252026_BenchMarkDataReport!$B:$B,CFR20252026_BenchMarkDataReport!Q:Q),0)</f>
        <v>-93162</v>
      </c>
      <c r="BL18" s="89">
        <f t="shared" si="1"/>
        <v>-105318.00000000047</v>
      </c>
      <c r="BM18" s="91">
        <f>SUMIFS(PP!I:I,PP!E:E,A18)</f>
        <v>266</v>
      </c>
      <c r="BN18" s="90">
        <f t="shared" si="21"/>
        <v>2008440.68</v>
      </c>
      <c r="BO18" t="s">
        <v>173</v>
      </c>
      <c r="BP18" s="92">
        <f t="shared" si="22"/>
        <v>0.77351498631063298</v>
      </c>
      <c r="BQ18" s="93">
        <f t="shared" si="23"/>
        <v>7076.68484962406</v>
      </c>
      <c r="BR18" s="94">
        <f t="shared" si="24"/>
        <v>0</v>
      </c>
      <c r="BS18" s="95">
        <f t="shared" si="25"/>
        <v>0</v>
      </c>
      <c r="BT18" s="92">
        <f t="shared" si="26"/>
        <v>5.1793383541808173E-2</v>
      </c>
      <c r="BU18" s="93">
        <f t="shared" si="27"/>
        <v>473.84402255639094</v>
      </c>
      <c r="BV18" s="94">
        <f t="shared" si="28"/>
        <v>0</v>
      </c>
      <c r="BW18" s="95">
        <f t="shared" si="29"/>
        <v>0</v>
      </c>
      <c r="BX18" s="92">
        <f t="shared" si="30"/>
        <v>1.7431224829174717E-2</v>
      </c>
      <c r="BY18" s="93">
        <f t="shared" si="31"/>
        <v>159.47368421052633</v>
      </c>
      <c r="BZ18" s="94">
        <f t="shared" si="32"/>
        <v>5.2511872987861065E-2</v>
      </c>
      <c r="CA18" s="95">
        <f t="shared" si="33"/>
        <v>480.41729323308272</v>
      </c>
      <c r="CB18" s="92">
        <f t="shared" si="34"/>
        <v>2.3906789249625343E-3</v>
      </c>
      <c r="CC18" s="93">
        <f t="shared" si="35"/>
        <v>21.87169172932331</v>
      </c>
      <c r="CD18" s="94">
        <f t="shared" si="36"/>
        <v>2.7836038809138663E-2</v>
      </c>
      <c r="CE18" s="96">
        <f t="shared" si="37"/>
        <v>254.66458646616542</v>
      </c>
      <c r="CF18" s="97">
        <f t="shared" si="38"/>
        <v>4.2126713309725963E-2</v>
      </c>
      <c r="CG18" s="98">
        <f t="shared" si="39"/>
        <v>385.4062030075188</v>
      </c>
      <c r="CH18" s="94">
        <f t="shared" si="40"/>
        <v>1.5113623910426716E-2</v>
      </c>
      <c r="CI18" s="95">
        <f t="shared" si="41"/>
        <v>138.27056390977444</v>
      </c>
      <c r="CJ18" s="99">
        <f t="shared" si="42"/>
        <v>0.56849978262738643</v>
      </c>
      <c r="CK18" s="97">
        <f t="shared" si="43"/>
        <v>0.46918762886167542</v>
      </c>
      <c r="CL18" s="97">
        <f t="shared" si="44"/>
        <v>0.46685561825552119</v>
      </c>
      <c r="CM18" s="98">
        <f t="shared" si="45"/>
        <v>4292.474022556391</v>
      </c>
      <c r="CN18" s="94">
        <f t="shared" si="46"/>
        <v>0.26223623393248541</v>
      </c>
      <c r="CO18" s="100">
        <f t="shared" si="47"/>
        <v>0.21642575874306294</v>
      </c>
      <c r="CP18" s="100">
        <f t="shared" si="48"/>
        <v>0.21535005441117699</v>
      </c>
      <c r="CQ18" s="101">
        <f t="shared" si="49"/>
        <v>1980.0222556390979</v>
      </c>
      <c r="CR18" s="99">
        <f t="shared" si="50"/>
        <v>1.7290851726823219E-2</v>
      </c>
      <c r="CS18" s="97">
        <f t="shared" si="51"/>
        <v>1.4270284652024739E-2</v>
      </c>
      <c r="CT18" s="97">
        <f t="shared" si="52"/>
        <v>1.4199356833143197E-2</v>
      </c>
      <c r="CU18" s="98">
        <f t="shared" si="53"/>
        <v>130.55507518796992</v>
      </c>
      <c r="CV18" s="94">
        <f t="shared" si="54"/>
        <v>3.6111576867682252E-2</v>
      </c>
      <c r="CW18" s="100">
        <f t="shared" si="55"/>
        <v>2.9803186637467959E-2</v>
      </c>
      <c r="CX18" s="100">
        <f t="shared" si="56"/>
        <v>2.9655055393035132E-2</v>
      </c>
      <c r="CY18" s="95">
        <f t="shared" si="57"/>
        <v>272.6615037593985</v>
      </c>
      <c r="CZ18" s="99">
        <f t="shared" si="58"/>
        <v>0.83764722889400944</v>
      </c>
      <c r="DA18" s="97">
        <f t="shared" si="59"/>
        <v>0.69131726898992962</v>
      </c>
      <c r="DB18" s="97">
        <f t="shared" si="60"/>
        <v>0.68788120396107655</v>
      </c>
      <c r="DC18" s="98">
        <f t="shared" si="61"/>
        <v>6324.6795864661653</v>
      </c>
      <c r="DD18" s="94">
        <f t="shared" si="62"/>
        <v>8.965253581699013E-3</v>
      </c>
      <c r="DE18" s="100">
        <f t="shared" si="63"/>
        <v>7.3623229623025555E-3</v>
      </c>
      <c r="DF18" s="95">
        <f t="shared" si="64"/>
        <v>67.692406015037591</v>
      </c>
      <c r="DG18" s="99">
        <f t="shared" si="65"/>
        <v>1.6259343317368313E-3</v>
      </c>
      <c r="DH18" s="98">
        <f t="shared" si="66"/>
        <v>14.949548872180451</v>
      </c>
      <c r="DI18" s="94">
        <f t="shared" si="67"/>
        <v>1.4048102232225251E-2</v>
      </c>
      <c r="DJ18" s="100">
        <f t="shared" si="68"/>
        <v>1.1536390432080258E-2</v>
      </c>
      <c r="DK18" s="95">
        <f t="shared" si="69"/>
        <v>106.07060150375939</v>
      </c>
      <c r="DL18" s="99">
        <f t="shared" si="70"/>
        <v>5.5450679280206576E-3</v>
      </c>
      <c r="DM18" s="97">
        <f t="shared" si="71"/>
        <v>4.55364486480674E-3</v>
      </c>
      <c r="DN18" s="102">
        <f t="shared" si="72"/>
        <v>41.86819548872181</v>
      </c>
      <c r="DO18" s="94">
        <f t="shared" si="73"/>
        <v>2.5034535747403802E-2</v>
      </c>
      <c r="DP18" s="100">
        <f t="shared" si="74"/>
        <v>2.0661211887702497E-2</v>
      </c>
      <c r="DQ18" s="100">
        <f t="shared" si="75"/>
        <v>2.0558519143277373E-2</v>
      </c>
      <c r="DR18" s="95">
        <f t="shared" si="76"/>
        <v>189.02398496240602</v>
      </c>
      <c r="DS18" s="99">
        <f t="shared" si="77"/>
        <v>6.3137040223662467E-4</v>
      </c>
      <c r="DT18" s="97">
        <f t="shared" si="78"/>
        <v>5.1848536884597401E-4</v>
      </c>
      <c r="DU18" s="98">
        <f t="shared" si="87"/>
        <v>4.7671804511278193</v>
      </c>
      <c r="DV18" s="94">
        <f t="shared" si="79"/>
        <v>9.7226152579223804E-2</v>
      </c>
      <c r="DW18" s="100">
        <f t="shared" si="80"/>
        <v>7.9842731624630459E-2</v>
      </c>
      <c r="DX18" s="95">
        <f t="shared" si="81"/>
        <v>734.10887218045104</v>
      </c>
      <c r="DY18" s="99">
        <f t="shared" si="82"/>
        <v>4.8202510252267516E-2</v>
      </c>
      <c r="DZ18" s="98">
        <f t="shared" si="83"/>
        <v>443.1948872180451</v>
      </c>
      <c r="EA18" s="94">
        <f t="shared" si="14"/>
        <v>1.8971902477811511E-2</v>
      </c>
      <c r="EB18" s="95">
        <f t="shared" si="84"/>
        <v>174.43593984962405</v>
      </c>
      <c r="EC18" s="103">
        <f>IFERROR(VLOOKUP(A18,PP!$E$3:$S$130,14,0),0)</f>
        <v>28</v>
      </c>
    </row>
    <row r="19" spans="1:133">
      <c r="A19" s="121">
        <v>2007</v>
      </c>
      <c r="B19" s="122">
        <v>10046</v>
      </c>
      <c r="C19" s="121" t="s">
        <v>42</v>
      </c>
      <c r="D19" s="88">
        <f>IFERROR(_xlfn.XLOOKUP($A19,CFR20252026_BenchMarkDataReport!$B:$B,CFR20252026_BenchMarkDataReport!S:S),0)</f>
        <v>2064596.39</v>
      </c>
      <c r="E19" s="88">
        <f>IFERROR(_xlfn.XLOOKUP($A19,CFR20252026_BenchMarkDataReport!$B:$B,CFR20252026_BenchMarkDataReport!T:T),0)</f>
        <v>0</v>
      </c>
      <c r="F19" s="88">
        <f>IFERROR(_xlfn.XLOOKUP($A19,CFR20252026_BenchMarkDataReport!$B:$B,CFR20252026_BenchMarkDataReport!U:U),0)</f>
        <v>179607</v>
      </c>
      <c r="G19" s="88">
        <f>IFERROR(_xlfn.XLOOKUP($A19,CFR20252026_BenchMarkDataReport!$B:$B,CFR20252026_BenchMarkDataReport!V:V),0)</f>
        <v>0</v>
      </c>
      <c r="H19" s="88">
        <f>IFERROR(_xlfn.XLOOKUP($A19,CFR20252026_BenchMarkDataReport!$B:$B,CFR20252026_BenchMarkDataReport!W:W),0)</f>
        <v>97675</v>
      </c>
      <c r="I19" s="88">
        <f>IFERROR(_xlfn.XLOOKUP($A19,CFR20252026_BenchMarkDataReport!$B:$B,CFR20252026_BenchMarkDataReport!X:X),0)</f>
        <v>23381.42</v>
      </c>
      <c r="J19" s="88">
        <f>IFERROR(_xlfn.XLOOKUP($A19,CFR20252026_BenchMarkDataReport!$B:$B,CFR20252026_BenchMarkDataReport!Y:Y),0)</f>
        <v>158083.94</v>
      </c>
      <c r="K19" s="88">
        <f>IFERROR(_xlfn.XLOOKUP($A19,CFR20252026_BenchMarkDataReport!$B:$B,CFR20252026_BenchMarkDataReport!Z:Z),0)</f>
        <v>47724.2</v>
      </c>
      <c r="L19" s="88">
        <f>IFERROR(_xlfn.XLOOKUP($A19,CFR20252026_BenchMarkDataReport!$B:$B,CFR20252026_BenchMarkDataReport!AA:AA),0)</f>
        <v>44858.8</v>
      </c>
      <c r="M19" s="88">
        <f>IFERROR(_xlfn.XLOOKUP($A19,CFR20252026_BenchMarkDataReport!$B:$B,CFR20252026_BenchMarkDataReport!AB:AB),0)</f>
        <v>890.74</v>
      </c>
      <c r="N19" s="88">
        <f>IFERROR(_xlfn.XLOOKUP($A19,CFR20252026_BenchMarkDataReport!$B:$B,CFR20252026_BenchMarkDataReport!AC:AC),0)</f>
        <v>5272.5</v>
      </c>
      <c r="O19" s="88">
        <f>IFERROR(_xlfn.XLOOKUP($A19,CFR20252026_BenchMarkDataReport!$B:$B,CFR20252026_BenchMarkDataReport!AD:AD),0)</f>
        <v>11570</v>
      </c>
      <c r="P19" s="88">
        <f>IFERROR(_xlfn.XLOOKUP($A19,CFR20252026_BenchMarkDataReport!$B:$B,CFR20252026_BenchMarkDataReport!AE:AE),0)</f>
        <v>50533.47</v>
      </c>
      <c r="Q19" s="88">
        <f>IFERROR(_xlfn.XLOOKUP($A19,CFR20252026_BenchMarkDataReport!$B:$B,CFR20252026_BenchMarkDataReport!AF:AF),0)</f>
        <v>31849.54</v>
      </c>
      <c r="R19" s="88">
        <f>IFERROR(_xlfn.XLOOKUP($A19,CFR20252026_BenchMarkDataReport!$B:$B,CFR20252026_BenchMarkDataReport!AG:AG),0)</f>
        <v>0</v>
      </c>
      <c r="S19" s="88">
        <f>IFERROR(_xlfn.XLOOKUP($A19,CFR20252026_BenchMarkDataReport!$B:$B,CFR20252026_BenchMarkDataReport!AH:AH),0)</f>
        <v>0</v>
      </c>
      <c r="T19" s="88">
        <f>IFERROR(_xlfn.XLOOKUP($A19,CFR20252026_BenchMarkDataReport!$B:$B,CFR20252026_BenchMarkDataReport!AI:AI),0)</f>
        <v>0</v>
      </c>
      <c r="U19" s="88">
        <f>IFERROR(_xlfn.XLOOKUP($A19,CFR20252026_BenchMarkDataReport!$B:$B,CFR20252026_BenchMarkDataReport!AJ:AJ),0)</f>
        <v>1277049.92</v>
      </c>
      <c r="V19" s="88">
        <f>IFERROR(_xlfn.XLOOKUP($A19,CFR20252026_BenchMarkDataReport!$B:$B,CFR20252026_BenchMarkDataReport!AK:AK),0)</f>
        <v>0</v>
      </c>
      <c r="W19" s="88">
        <f>IFERROR(_xlfn.XLOOKUP($A19,CFR20252026_BenchMarkDataReport!$B:$B,CFR20252026_BenchMarkDataReport!AL:AL),0)</f>
        <v>468470.25</v>
      </c>
      <c r="X19" s="88">
        <f>IFERROR(_xlfn.XLOOKUP($A19,CFR20252026_BenchMarkDataReport!$B:$B,CFR20252026_BenchMarkDataReport!AM:AM),0)</f>
        <v>39623.94</v>
      </c>
      <c r="Y19" s="88">
        <f>IFERROR(_xlfn.XLOOKUP($A19,CFR20252026_BenchMarkDataReport!$B:$B,CFR20252026_BenchMarkDataReport!AN:AN),0)</f>
        <v>128454.93</v>
      </c>
      <c r="Z19" s="88">
        <f>IFERROR(_xlfn.XLOOKUP($A19,CFR20252026_BenchMarkDataReport!$B:$B,CFR20252026_BenchMarkDataReport!AO:AO),0)</f>
        <v>0</v>
      </c>
      <c r="AA19" s="88">
        <f>IFERROR(_xlfn.XLOOKUP($A19,CFR20252026_BenchMarkDataReport!$B:$B,CFR20252026_BenchMarkDataReport!AP:AP),0)</f>
        <v>69883.66</v>
      </c>
      <c r="AB19" s="88">
        <f>IFERROR(_xlfn.XLOOKUP($A19,CFR20252026_BenchMarkDataReport!$B:$B,CFR20252026_BenchMarkDataReport!AQ:AQ),0)</f>
        <v>8528.39</v>
      </c>
      <c r="AC19" s="88">
        <f>IFERROR(_xlfn.XLOOKUP($A19,CFR20252026_BenchMarkDataReport!$B:$B,CFR20252026_BenchMarkDataReport!AR:AR),0)</f>
        <v>4160.5</v>
      </c>
      <c r="AD19" s="88">
        <f>IFERROR(_xlfn.XLOOKUP($A19,CFR20252026_BenchMarkDataReport!$B:$B,CFR20252026_BenchMarkDataReport!AS:AS),0)</f>
        <v>610.47</v>
      </c>
      <c r="AE19" s="88">
        <f>IFERROR(_xlfn.XLOOKUP($A19,CFR20252026_BenchMarkDataReport!$B:$B,CFR20252026_BenchMarkDataReport!AT:AT),0)</f>
        <v>0</v>
      </c>
      <c r="AF19" s="88">
        <f>IFERROR(_xlfn.XLOOKUP($A19,CFR20252026_BenchMarkDataReport!$B:$B,CFR20252026_BenchMarkDataReport!AU:AU),0)</f>
        <v>43633.25</v>
      </c>
      <c r="AG19" s="88">
        <f>IFERROR(_xlfn.XLOOKUP($A19,CFR20252026_BenchMarkDataReport!$B:$B,CFR20252026_BenchMarkDataReport!AV:AV),0)</f>
        <v>11468.62</v>
      </c>
      <c r="AH19" s="88">
        <f>IFERROR(_xlfn.XLOOKUP($A19,CFR20252026_BenchMarkDataReport!$B:$B,CFR20252026_BenchMarkDataReport!AW:AW),0)</f>
        <v>52946.44</v>
      </c>
      <c r="AI19" s="88">
        <f>IFERROR(_xlfn.XLOOKUP($A19,CFR20252026_BenchMarkDataReport!$B:$B,CFR20252026_BenchMarkDataReport!AX:AX),0)</f>
        <v>11058.07</v>
      </c>
      <c r="AJ19" s="88">
        <f>IFERROR(_xlfn.XLOOKUP($A19,CFR20252026_BenchMarkDataReport!$B:$B,CFR20252026_BenchMarkDataReport!AY:AY),0)</f>
        <v>54663.55</v>
      </c>
      <c r="AK19" s="88">
        <f>IFERROR(_xlfn.XLOOKUP($A19,CFR20252026_BenchMarkDataReport!$B:$B,CFR20252026_BenchMarkDataReport!AZ:AZ),0)</f>
        <v>24536.94</v>
      </c>
      <c r="AL19" s="88">
        <f>IFERROR(_xlfn.XLOOKUP($A19,CFR20252026_BenchMarkDataReport!$B:$B,CFR20252026_BenchMarkDataReport!BA:BA),0)</f>
        <v>11385.97</v>
      </c>
      <c r="AM19" s="88">
        <f>IFERROR(_xlfn.XLOOKUP($A19,CFR20252026_BenchMarkDataReport!$B:$B,CFR20252026_BenchMarkDataReport!BB:BB),0)</f>
        <v>44133.62</v>
      </c>
      <c r="AN19" s="88">
        <f>IFERROR(_xlfn.XLOOKUP($A19,CFR20252026_BenchMarkDataReport!$B:$B,CFR20252026_BenchMarkDataReport!BC:BC),0)</f>
        <v>6364.93</v>
      </c>
      <c r="AO19" s="88">
        <f>IFERROR(_xlfn.XLOOKUP($A19,CFR20252026_BenchMarkDataReport!$B:$B,CFR20252026_BenchMarkDataReport!BD:BD),0)</f>
        <v>0</v>
      </c>
      <c r="AP19" s="88">
        <f>IFERROR(_xlfn.XLOOKUP($A19,CFR20252026_BenchMarkDataReport!$B:$B,CFR20252026_BenchMarkDataReport!BE:BE),0)</f>
        <v>9276.2199999999993</v>
      </c>
      <c r="AQ19" s="88">
        <f>IFERROR(_xlfn.XLOOKUP($A19,CFR20252026_BenchMarkDataReport!$B:$B,CFR20252026_BenchMarkDataReport!BF:BF),0)</f>
        <v>8415.6</v>
      </c>
      <c r="AR19" s="88">
        <f>IFERROR(_xlfn.XLOOKUP($A19,CFR20252026_BenchMarkDataReport!$B:$B,CFR20252026_BenchMarkDataReport!BG:BG),0)</f>
        <v>0</v>
      </c>
      <c r="AS19" s="88">
        <f>IFERROR(_xlfn.XLOOKUP($A19,CFR20252026_BenchMarkDataReport!$B:$B,CFR20252026_BenchMarkDataReport!BH:BH),0)</f>
        <v>266.02999999999997</v>
      </c>
      <c r="AT19" s="88">
        <f>IFERROR(_xlfn.XLOOKUP($A19,CFR20252026_BenchMarkDataReport!$B:$B,CFR20252026_BenchMarkDataReport!BI:BI),0)</f>
        <v>6462</v>
      </c>
      <c r="AU19" s="88">
        <f>IFERROR(_xlfn.XLOOKUP($A19,CFR20252026_BenchMarkDataReport!$B:$B,CFR20252026_BenchMarkDataReport!BJ:BJ),0)</f>
        <v>0</v>
      </c>
      <c r="AV19" s="88">
        <f>IFERROR(_xlfn.XLOOKUP($A19,CFR20252026_BenchMarkDataReport!$B:$B,CFR20252026_BenchMarkDataReport!BK:BK),0)</f>
        <v>10208.67</v>
      </c>
      <c r="AW19" s="88">
        <f>IFERROR(_xlfn.XLOOKUP($A19,CFR20252026_BenchMarkDataReport!$B:$B,CFR20252026_BenchMarkDataReport!BL:BL),0)</f>
        <v>15171.66</v>
      </c>
      <c r="AX19" s="88">
        <f>IFERROR(_xlfn.XLOOKUP($A19,CFR20252026_BenchMarkDataReport!$B:$B,CFR20252026_BenchMarkDataReport!BM:BM),0)</f>
        <v>7004.21</v>
      </c>
      <c r="AY19" s="88">
        <f>IFERROR(_xlfn.XLOOKUP($A19,CFR20252026_BenchMarkDataReport!$B:$B,CFR20252026_BenchMarkDataReport!BN:BN),0)</f>
        <v>143659.16</v>
      </c>
      <c r="AZ19" s="88">
        <f>IFERROR(_xlfn.XLOOKUP($A19,CFR20252026_BenchMarkDataReport!$B:$B,CFR20252026_BenchMarkDataReport!BO:BO),0)</f>
        <v>34158</v>
      </c>
      <c r="BA19" s="88">
        <f>IFERROR(_xlfn.XLOOKUP($A19,CFR20252026_BenchMarkDataReport!$B:$B,CFR20252026_BenchMarkDataReport!BP:BP),0)</f>
        <v>163159.23000000001</v>
      </c>
      <c r="BB19" s="88">
        <f>IFERROR(_xlfn.XLOOKUP($A19,CFR20252026_BenchMarkDataReport!$B:$B,CFR20252026_BenchMarkDataReport!BQ:BQ),0)</f>
        <v>13716.77</v>
      </c>
      <c r="BC19" s="88">
        <f>IFERROR(_xlfn.XLOOKUP($A19,CFR20252026_BenchMarkDataReport!$B:$B,CFR20252026_BenchMarkDataReport!BR:BR),0)</f>
        <v>0</v>
      </c>
      <c r="BD19" s="88">
        <f>IFERROR(_xlfn.XLOOKUP($A19,CFR20252026_BenchMarkDataReport!$B:$B,CFR20252026_BenchMarkDataReport!BS:BS),0)</f>
        <v>0</v>
      </c>
      <c r="BE19" s="88">
        <f>IFERROR(_xlfn.XLOOKUP($A19,CFR20252026_BenchMarkDataReport!$B:$B,CFR20252026_BenchMarkDataReport!BT:BT),0)</f>
        <v>0</v>
      </c>
      <c r="BF19" s="88">
        <f>IFERROR(_xlfn.XLOOKUP($A19,CFR20252026_BenchMarkDataReport!$B:$B,CFR20252026_BenchMarkDataReport!BU:BU),0)</f>
        <v>0</v>
      </c>
      <c r="BG19" s="88">
        <f>IFERROR(_xlfn.XLOOKUP($A19,CFR20252026_BenchMarkDataReport!$B:$B,CFR20252026_BenchMarkDataReport!BV:BV),0)</f>
        <v>0</v>
      </c>
      <c r="BH19" s="89">
        <f t="shared" si="0"/>
        <v>2716043</v>
      </c>
      <c r="BI19" s="90">
        <f t="shared" si="85"/>
        <v>2668471</v>
      </c>
      <c r="BJ19" s="124">
        <f t="shared" si="86"/>
        <v>47572</v>
      </c>
      <c r="BK19" s="88">
        <f>IFERROR(_xlfn.XLOOKUP(A19,CFR20252026_BenchMarkDataReport!$B:$B,CFR20252026_BenchMarkDataReport!P:P)+_xlfn.XLOOKUP(A19,CFR20252026_BenchMarkDataReport!$B:$B,CFR20252026_BenchMarkDataReport!Q:Q),0)</f>
        <v>46395</v>
      </c>
      <c r="BL19" s="89">
        <f t="shared" si="1"/>
        <v>93967</v>
      </c>
      <c r="BM19" s="91">
        <f>SUMIFS(PP!I:I,PP!E:E,A19)</f>
        <v>357</v>
      </c>
      <c r="BN19" s="90">
        <f t="shared" si="21"/>
        <v>2244203.3899999997</v>
      </c>
      <c r="BO19" t="s">
        <v>173</v>
      </c>
      <c r="BP19" s="92">
        <f t="shared" si="22"/>
        <v>0.76014863903111984</v>
      </c>
      <c r="BQ19" s="93">
        <f t="shared" si="23"/>
        <v>5783.1831652661058</v>
      </c>
      <c r="BR19" s="94">
        <f t="shared" si="24"/>
        <v>0</v>
      </c>
      <c r="BS19" s="95">
        <f t="shared" si="25"/>
        <v>0</v>
      </c>
      <c r="BT19" s="92">
        <f t="shared" si="26"/>
        <v>6.6128187219421777E-2</v>
      </c>
      <c r="BU19" s="93">
        <f t="shared" si="27"/>
        <v>503.10084033613447</v>
      </c>
      <c r="BV19" s="94">
        <f t="shared" si="28"/>
        <v>0</v>
      </c>
      <c r="BW19" s="95">
        <f t="shared" si="29"/>
        <v>0</v>
      </c>
      <c r="BX19" s="92">
        <f t="shared" si="30"/>
        <v>3.5962243602181559E-2</v>
      </c>
      <c r="BY19" s="93">
        <f t="shared" si="31"/>
        <v>273.59943977591035</v>
      </c>
      <c r="BZ19" s="94">
        <f t="shared" si="32"/>
        <v>8.6086339575625268E-3</v>
      </c>
      <c r="CA19" s="95">
        <f t="shared" si="33"/>
        <v>65.494173669467784</v>
      </c>
      <c r="CB19" s="92">
        <f t="shared" si="34"/>
        <v>5.8203769233403153E-2</v>
      </c>
      <c r="CC19" s="93">
        <f t="shared" si="35"/>
        <v>442.8121568627451</v>
      </c>
      <c r="CD19" s="94">
        <f t="shared" si="36"/>
        <v>3.4087457378252112E-2</v>
      </c>
      <c r="CE19" s="96">
        <f t="shared" si="37"/>
        <v>259.33613445378154</v>
      </c>
      <c r="CF19" s="97">
        <f t="shared" si="38"/>
        <v>1.8605548586675544E-2</v>
      </c>
      <c r="CG19" s="98">
        <f t="shared" si="39"/>
        <v>141.55033613445377</v>
      </c>
      <c r="CH19" s="94">
        <f t="shared" si="40"/>
        <v>1.1726449102609936E-2</v>
      </c>
      <c r="CI19" s="95">
        <f t="shared" si="41"/>
        <v>89.214397759103647</v>
      </c>
      <c r="CJ19" s="99">
        <f t="shared" si="42"/>
        <v>0.58426429878978137</v>
      </c>
      <c r="CK19" s="97">
        <f t="shared" si="43"/>
        <v>0.48276405049551863</v>
      </c>
      <c r="CL19" s="97">
        <f t="shared" si="44"/>
        <v>0.49137049643784769</v>
      </c>
      <c r="CM19" s="98">
        <f t="shared" si="45"/>
        <v>3672.8513165266104</v>
      </c>
      <c r="CN19" s="94">
        <f t="shared" si="46"/>
        <v>0.20874678832028681</v>
      </c>
      <c r="CO19" s="100">
        <f t="shared" si="47"/>
        <v>0.17248263374328021</v>
      </c>
      <c r="CP19" s="100">
        <f t="shared" si="48"/>
        <v>0.1755575571179151</v>
      </c>
      <c r="CQ19" s="101">
        <f t="shared" si="49"/>
        <v>1312.2415966386554</v>
      </c>
      <c r="CR19" s="99">
        <f t="shared" si="50"/>
        <v>1.7656126969846531E-2</v>
      </c>
      <c r="CS19" s="97">
        <f t="shared" si="51"/>
        <v>1.4588848556521381E-2</v>
      </c>
      <c r="CT19" s="97">
        <f t="shared" si="52"/>
        <v>1.4848930342507002E-2</v>
      </c>
      <c r="CU19" s="98">
        <f t="shared" si="53"/>
        <v>110.99142857142857</v>
      </c>
      <c r="CV19" s="94">
        <f t="shared" si="54"/>
        <v>5.7238542002202401E-2</v>
      </c>
      <c r="CW19" s="100">
        <f t="shared" si="55"/>
        <v>4.7294880824788117E-2</v>
      </c>
      <c r="CX19" s="100">
        <f t="shared" si="56"/>
        <v>4.8138027357239405E-2</v>
      </c>
      <c r="CY19" s="95">
        <f t="shared" si="57"/>
        <v>359.81773109243693</v>
      </c>
      <c r="CZ19" s="99">
        <f t="shared" si="58"/>
        <v>0.88382483906683695</v>
      </c>
      <c r="DA19" s="97">
        <f t="shared" si="59"/>
        <v>0.73028398298554176</v>
      </c>
      <c r="DB19" s="97">
        <f t="shared" si="60"/>
        <v>0.74330307505683957</v>
      </c>
      <c r="DC19" s="98">
        <f t="shared" si="61"/>
        <v>5555.9739495798312</v>
      </c>
      <c r="DD19" s="94">
        <f t="shared" si="62"/>
        <v>1.9442645080399779E-2</v>
      </c>
      <c r="DE19" s="100">
        <f t="shared" si="63"/>
        <v>1.6351404980604996E-2</v>
      </c>
      <c r="DF19" s="95">
        <f t="shared" si="64"/>
        <v>122.2219887955182</v>
      </c>
      <c r="DG19" s="99">
        <f t="shared" si="65"/>
        <v>4.1439723347190208E-3</v>
      </c>
      <c r="DH19" s="98">
        <f t="shared" si="66"/>
        <v>30.974985994397759</v>
      </c>
      <c r="DI19" s="94">
        <f t="shared" si="67"/>
        <v>2.4357663054773306E-2</v>
      </c>
      <c r="DJ19" s="100">
        <f t="shared" si="68"/>
        <v>2.04849706067632E-2</v>
      </c>
      <c r="DK19" s="95">
        <f t="shared" si="69"/>
        <v>153.11918767507004</v>
      </c>
      <c r="DL19" s="99">
        <f t="shared" si="70"/>
        <v>5.0735018273009563E-3</v>
      </c>
      <c r="DM19" s="97">
        <f t="shared" si="71"/>
        <v>4.2668516914742558E-3</v>
      </c>
      <c r="DN19" s="102">
        <f t="shared" si="72"/>
        <v>31.893473389355741</v>
      </c>
      <c r="DO19" s="94">
        <f t="shared" si="73"/>
        <v>1.9665606155242467E-2</v>
      </c>
      <c r="DP19" s="100">
        <f t="shared" si="74"/>
        <v>1.624923464024686E-2</v>
      </c>
      <c r="DQ19" s="100">
        <f t="shared" si="75"/>
        <v>1.6538916855382727E-2</v>
      </c>
      <c r="DR19" s="95">
        <f t="shared" si="76"/>
        <v>123.62358543417368</v>
      </c>
      <c r="DS19" s="99">
        <f t="shared" si="77"/>
        <v>4.548905881476278E-3</v>
      </c>
      <c r="DT19" s="97">
        <f t="shared" si="78"/>
        <v>3.8256627109681911E-3</v>
      </c>
      <c r="DU19" s="98">
        <f t="shared" si="87"/>
        <v>28.595714285714287</v>
      </c>
      <c r="DV19" s="94">
        <f t="shared" si="79"/>
        <v>7.270251472171603E-2</v>
      </c>
      <c r="DW19" s="100">
        <f t="shared" si="80"/>
        <v>6.1143340137479484E-2</v>
      </c>
      <c r="DX19" s="95">
        <f t="shared" si="81"/>
        <v>457.02865546218493</v>
      </c>
      <c r="DY19" s="99">
        <f t="shared" si="82"/>
        <v>5.3835758379986144E-2</v>
      </c>
      <c r="DZ19" s="98">
        <f t="shared" si="83"/>
        <v>402.40661064425774</v>
      </c>
      <c r="EA19" s="94">
        <f t="shared" si="14"/>
        <v>1.9841489751996556E-2</v>
      </c>
      <c r="EB19" s="95">
        <f t="shared" si="84"/>
        <v>148.30935574229693</v>
      </c>
      <c r="EC19" s="103">
        <f>IFERROR(VLOOKUP(A19,PP!$E$3:$S$130,14,0),0)</f>
        <v>61</v>
      </c>
    </row>
    <row r="20" spans="1:133">
      <c r="A20" s="121">
        <v>2009</v>
      </c>
      <c r="B20" s="122">
        <v>10048</v>
      </c>
      <c r="C20" s="121" t="s">
        <v>43</v>
      </c>
      <c r="D20" s="88">
        <f>IFERROR(_xlfn.XLOOKUP($A20,CFR20252026_BenchMarkDataReport!$B:$B,CFR20252026_BenchMarkDataReport!S:S),0)</f>
        <v>2616380.9900000002</v>
      </c>
      <c r="E20" s="88">
        <f>IFERROR(_xlfn.XLOOKUP($A20,CFR20252026_BenchMarkDataReport!$B:$B,CFR20252026_BenchMarkDataReport!T:T),0)</f>
        <v>0</v>
      </c>
      <c r="F20" s="88">
        <f>IFERROR(_xlfn.XLOOKUP($A20,CFR20252026_BenchMarkDataReport!$B:$B,CFR20252026_BenchMarkDataReport!U:U),0)</f>
        <v>280447.71000000002</v>
      </c>
      <c r="G20" s="88">
        <f>IFERROR(_xlfn.XLOOKUP($A20,CFR20252026_BenchMarkDataReport!$B:$B,CFR20252026_BenchMarkDataReport!V:V),0)</f>
        <v>0</v>
      </c>
      <c r="H20" s="88">
        <f>IFERROR(_xlfn.XLOOKUP($A20,CFR20252026_BenchMarkDataReport!$B:$B,CFR20252026_BenchMarkDataReport!W:W),0)</f>
        <v>123707</v>
      </c>
      <c r="I20" s="88">
        <f>IFERROR(_xlfn.XLOOKUP($A20,CFR20252026_BenchMarkDataReport!$B:$B,CFR20252026_BenchMarkDataReport!X:X),0)</f>
        <v>71416.5</v>
      </c>
      <c r="J20" s="88">
        <f>IFERROR(_xlfn.XLOOKUP($A20,CFR20252026_BenchMarkDataReport!$B:$B,CFR20252026_BenchMarkDataReport!Y:Y),0)</f>
        <v>98035.83</v>
      </c>
      <c r="K20" s="88">
        <f>IFERROR(_xlfn.XLOOKUP($A20,CFR20252026_BenchMarkDataReport!$B:$B,CFR20252026_BenchMarkDataReport!Z:Z),0)</f>
        <v>12123.85</v>
      </c>
      <c r="L20" s="88">
        <f>IFERROR(_xlfn.XLOOKUP($A20,CFR20252026_BenchMarkDataReport!$B:$B,CFR20252026_BenchMarkDataReport!AA:AA),0)</f>
        <v>252406.99</v>
      </c>
      <c r="M20" s="88">
        <f>IFERROR(_xlfn.XLOOKUP($A20,CFR20252026_BenchMarkDataReport!$B:$B,CFR20252026_BenchMarkDataReport!AB:AB),0)</f>
        <v>3458.45</v>
      </c>
      <c r="N20" s="88">
        <f>IFERROR(_xlfn.XLOOKUP($A20,CFR20252026_BenchMarkDataReport!$B:$B,CFR20252026_BenchMarkDataReport!AC:AC),0)</f>
        <v>0</v>
      </c>
      <c r="O20" s="88">
        <f>IFERROR(_xlfn.XLOOKUP($A20,CFR20252026_BenchMarkDataReport!$B:$B,CFR20252026_BenchMarkDataReport!AD:AD),0)</f>
        <v>99976</v>
      </c>
      <c r="P20" s="88">
        <f>IFERROR(_xlfn.XLOOKUP($A20,CFR20252026_BenchMarkDataReport!$B:$B,CFR20252026_BenchMarkDataReport!AE:AE),0)</f>
        <v>76300.61</v>
      </c>
      <c r="Q20" s="88">
        <f>IFERROR(_xlfn.XLOOKUP($A20,CFR20252026_BenchMarkDataReport!$B:$B,CFR20252026_BenchMarkDataReport!AF:AF),0)</f>
        <v>17939.13</v>
      </c>
      <c r="R20" s="88">
        <f>IFERROR(_xlfn.XLOOKUP($A20,CFR20252026_BenchMarkDataReport!$B:$B,CFR20252026_BenchMarkDataReport!AG:AG),0)</f>
        <v>0</v>
      </c>
      <c r="S20" s="88">
        <f>IFERROR(_xlfn.XLOOKUP($A20,CFR20252026_BenchMarkDataReport!$B:$B,CFR20252026_BenchMarkDataReport!AH:AH),0)</f>
        <v>0</v>
      </c>
      <c r="T20" s="88">
        <f>IFERROR(_xlfn.XLOOKUP($A20,CFR20252026_BenchMarkDataReport!$B:$B,CFR20252026_BenchMarkDataReport!AI:AI),0)</f>
        <v>0</v>
      </c>
      <c r="U20" s="88">
        <f>IFERROR(_xlfn.XLOOKUP($A20,CFR20252026_BenchMarkDataReport!$B:$B,CFR20252026_BenchMarkDataReport!AJ:AJ),0)</f>
        <v>1853796.97</v>
      </c>
      <c r="V20" s="88">
        <f>IFERROR(_xlfn.XLOOKUP($A20,CFR20252026_BenchMarkDataReport!$B:$B,CFR20252026_BenchMarkDataReport!AK:AK),0)</f>
        <v>0</v>
      </c>
      <c r="W20" s="88">
        <f>IFERROR(_xlfn.XLOOKUP($A20,CFR20252026_BenchMarkDataReport!$B:$B,CFR20252026_BenchMarkDataReport!AL:AL),0)</f>
        <v>684974.53</v>
      </c>
      <c r="X20" s="88">
        <f>IFERROR(_xlfn.XLOOKUP($A20,CFR20252026_BenchMarkDataReport!$B:$B,CFR20252026_BenchMarkDataReport!AM:AM),0)</f>
        <v>32834.29</v>
      </c>
      <c r="Y20" s="88">
        <f>IFERROR(_xlfn.XLOOKUP($A20,CFR20252026_BenchMarkDataReport!$B:$B,CFR20252026_BenchMarkDataReport!AN:AN),0)</f>
        <v>133718.25</v>
      </c>
      <c r="Z20" s="88">
        <f>IFERROR(_xlfn.XLOOKUP($A20,CFR20252026_BenchMarkDataReport!$B:$B,CFR20252026_BenchMarkDataReport!AO:AO),0)</f>
        <v>0</v>
      </c>
      <c r="AA20" s="88">
        <f>IFERROR(_xlfn.XLOOKUP($A20,CFR20252026_BenchMarkDataReport!$B:$B,CFR20252026_BenchMarkDataReport!AP:AP),0)</f>
        <v>129315.49</v>
      </c>
      <c r="AB20" s="88">
        <f>IFERROR(_xlfn.XLOOKUP($A20,CFR20252026_BenchMarkDataReport!$B:$B,CFR20252026_BenchMarkDataReport!AQ:AQ),0)</f>
        <v>13443.45</v>
      </c>
      <c r="AC20" s="88">
        <f>IFERROR(_xlfn.XLOOKUP($A20,CFR20252026_BenchMarkDataReport!$B:$B,CFR20252026_BenchMarkDataReport!AR:AR),0)</f>
        <v>2844.89</v>
      </c>
      <c r="AD20" s="88">
        <f>IFERROR(_xlfn.XLOOKUP($A20,CFR20252026_BenchMarkDataReport!$B:$B,CFR20252026_BenchMarkDataReport!AS:AS),0)</f>
        <v>711.36</v>
      </c>
      <c r="AE20" s="88">
        <f>IFERROR(_xlfn.XLOOKUP($A20,CFR20252026_BenchMarkDataReport!$B:$B,CFR20252026_BenchMarkDataReport!AT:AT),0)</f>
        <v>0</v>
      </c>
      <c r="AF20" s="88">
        <f>IFERROR(_xlfn.XLOOKUP($A20,CFR20252026_BenchMarkDataReport!$B:$B,CFR20252026_BenchMarkDataReport!AU:AU),0)</f>
        <v>128931.11</v>
      </c>
      <c r="AG20" s="88">
        <f>IFERROR(_xlfn.XLOOKUP($A20,CFR20252026_BenchMarkDataReport!$B:$B,CFR20252026_BenchMarkDataReport!AV:AV),0)</f>
        <v>5031.5</v>
      </c>
      <c r="AH20" s="88">
        <f>IFERROR(_xlfn.XLOOKUP($A20,CFR20252026_BenchMarkDataReport!$B:$B,CFR20252026_BenchMarkDataReport!AW:AW),0)</f>
        <v>58791.85</v>
      </c>
      <c r="AI20" s="88">
        <f>IFERROR(_xlfn.XLOOKUP($A20,CFR20252026_BenchMarkDataReport!$B:$B,CFR20252026_BenchMarkDataReport!AX:AX),0)</f>
        <v>9607.75</v>
      </c>
      <c r="AJ20" s="88">
        <f>IFERROR(_xlfn.XLOOKUP($A20,CFR20252026_BenchMarkDataReport!$B:$B,CFR20252026_BenchMarkDataReport!AY:AY),0)</f>
        <v>36639.65</v>
      </c>
      <c r="AK20" s="88">
        <f>IFERROR(_xlfn.XLOOKUP($A20,CFR20252026_BenchMarkDataReport!$B:$B,CFR20252026_BenchMarkDataReport!AZ:AZ),0)</f>
        <v>49222.38</v>
      </c>
      <c r="AL20" s="88">
        <f>IFERROR(_xlfn.XLOOKUP($A20,CFR20252026_BenchMarkDataReport!$B:$B,CFR20252026_BenchMarkDataReport!BA:BA),0)</f>
        <v>72994.41</v>
      </c>
      <c r="AM20" s="88">
        <f>IFERROR(_xlfn.XLOOKUP($A20,CFR20252026_BenchMarkDataReport!$B:$B,CFR20252026_BenchMarkDataReport!BB:BB),0)</f>
        <v>110128.56</v>
      </c>
      <c r="AN20" s="88">
        <f>IFERROR(_xlfn.XLOOKUP($A20,CFR20252026_BenchMarkDataReport!$B:$B,CFR20252026_BenchMarkDataReport!BC:BC),0)</f>
        <v>11458.2</v>
      </c>
      <c r="AO20" s="88">
        <f>IFERROR(_xlfn.XLOOKUP($A20,CFR20252026_BenchMarkDataReport!$B:$B,CFR20252026_BenchMarkDataReport!BD:BD),0)</f>
        <v>495</v>
      </c>
      <c r="AP20" s="88">
        <f>IFERROR(_xlfn.XLOOKUP($A20,CFR20252026_BenchMarkDataReport!$B:$B,CFR20252026_BenchMarkDataReport!BE:BE),0)</f>
        <v>10132.75</v>
      </c>
      <c r="AQ20" s="88">
        <f>IFERROR(_xlfn.XLOOKUP($A20,CFR20252026_BenchMarkDataReport!$B:$B,CFR20252026_BenchMarkDataReport!BF:BF),0)</f>
        <v>15876.89</v>
      </c>
      <c r="AR20" s="88">
        <f>IFERROR(_xlfn.XLOOKUP($A20,CFR20252026_BenchMarkDataReport!$B:$B,CFR20252026_BenchMarkDataReport!BG:BG),0)</f>
        <v>2040</v>
      </c>
      <c r="AS20" s="88">
        <f>IFERROR(_xlfn.XLOOKUP($A20,CFR20252026_BenchMarkDataReport!$B:$B,CFR20252026_BenchMarkDataReport!BH:BH),0)</f>
        <v>204.8</v>
      </c>
      <c r="AT20" s="88">
        <f>IFERROR(_xlfn.XLOOKUP($A20,CFR20252026_BenchMarkDataReport!$B:$B,CFR20252026_BenchMarkDataReport!BI:BI),0)</f>
        <v>11188.14</v>
      </c>
      <c r="AU20" s="88">
        <f>IFERROR(_xlfn.XLOOKUP($A20,CFR20252026_BenchMarkDataReport!$B:$B,CFR20252026_BenchMarkDataReport!BJ:BJ),0)</f>
        <v>0</v>
      </c>
      <c r="AV20" s="88">
        <f>IFERROR(_xlfn.XLOOKUP($A20,CFR20252026_BenchMarkDataReport!$B:$B,CFR20252026_BenchMarkDataReport!BK:BK),0)</f>
        <v>10019.1</v>
      </c>
      <c r="AW20" s="88">
        <f>IFERROR(_xlfn.XLOOKUP($A20,CFR20252026_BenchMarkDataReport!$B:$B,CFR20252026_BenchMarkDataReport!BL:BL),0)</f>
        <v>21876.14</v>
      </c>
      <c r="AX20" s="88">
        <f>IFERROR(_xlfn.XLOOKUP($A20,CFR20252026_BenchMarkDataReport!$B:$B,CFR20252026_BenchMarkDataReport!BM:BM),0)</f>
        <v>53096.79</v>
      </c>
      <c r="AY20" s="88">
        <f>IFERROR(_xlfn.XLOOKUP($A20,CFR20252026_BenchMarkDataReport!$B:$B,CFR20252026_BenchMarkDataReport!BN:BN),0)</f>
        <v>160893.35</v>
      </c>
      <c r="AZ20" s="88">
        <f>IFERROR(_xlfn.XLOOKUP($A20,CFR20252026_BenchMarkDataReport!$B:$B,CFR20252026_BenchMarkDataReport!BO:BO),0)</f>
        <v>25012.85</v>
      </c>
      <c r="BA20" s="88">
        <f>IFERROR(_xlfn.XLOOKUP($A20,CFR20252026_BenchMarkDataReport!$B:$B,CFR20252026_BenchMarkDataReport!BP:BP),0)</f>
        <v>320950.77</v>
      </c>
      <c r="BB20" s="88">
        <f>IFERROR(_xlfn.XLOOKUP($A20,CFR20252026_BenchMarkDataReport!$B:$B,CFR20252026_BenchMarkDataReport!BQ:BQ),0)</f>
        <v>28035.84</v>
      </c>
      <c r="BC20" s="88">
        <f>IFERROR(_xlfn.XLOOKUP($A20,CFR20252026_BenchMarkDataReport!$B:$B,CFR20252026_BenchMarkDataReport!BR:BR),0)</f>
        <v>0</v>
      </c>
      <c r="BD20" s="88">
        <f>IFERROR(_xlfn.XLOOKUP($A20,CFR20252026_BenchMarkDataReport!$B:$B,CFR20252026_BenchMarkDataReport!BS:BS),0)</f>
        <v>0</v>
      </c>
      <c r="BE20" s="88">
        <f>IFERROR(_xlfn.XLOOKUP($A20,CFR20252026_BenchMarkDataReport!$B:$B,CFR20252026_BenchMarkDataReport!BT:BT),0)</f>
        <v>4838</v>
      </c>
      <c r="BF20" s="88">
        <f>IFERROR(_xlfn.XLOOKUP($A20,CFR20252026_BenchMarkDataReport!$B:$B,CFR20252026_BenchMarkDataReport!BU:BU),0)</f>
        <v>0</v>
      </c>
      <c r="BG20" s="88">
        <f>IFERROR(_xlfn.XLOOKUP($A20,CFR20252026_BenchMarkDataReport!$B:$B,CFR20252026_BenchMarkDataReport!BV:BV),0)</f>
        <v>0</v>
      </c>
      <c r="BH20" s="89">
        <f t="shared" si="0"/>
        <v>3652193.06</v>
      </c>
      <c r="BI20" s="90">
        <f t="shared" si="85"/>
        <v>3999105.060000001</v>
      </c>
      <c r="BJ20" s="124">
        <f t="shared" si="86"/>
        <v>-346912.00000000093</v>
      </c>
      <c r="BK20" s="88">
        <f>IFERROR(_xlfn.XLOOKUP(A20,CFR20252026_BenchMarkDataReport!$B:$B,CFR20252026_BenchMarkDataReport!P:P)+_xlfn.XLOOKUP(A20,CFR20252026_BenchMarkDataReport!$B:$B,CFR20252026_BenchMarkDataReport!Q:Q),0)</f>
        <v>-121402</v>
      </c>
      <c r="BL20" s="89">
        <f t="shared" si="1"/>
        <v>-468314.00000000093</v>
      </c>
      <c r="BM20" s="91">
        <f>SUMIFS(PP!I:I,PP!E:E,A20)</f>
        <v>416</v>
      </c>
      <c r="BN20" s="90">
        <f t="shared" si="21"/>
        <v>2896828.7</v>
      </c>
      <c r="BO20" t="s">
        <v>173</v>
      </c>
      <c r="BP20" s="92">
        <f t="shared" si="22"/>
        <v>0.71638627723584802</v>
      </c>
      <c r="BQ20" s="93">
        <f t="shared" si="23"/>
        <v>6289.3773798076927</v>
      </c>
      <c r="BR20" s="94">
        <f t="shared" si="24"/>
        <v>0</v>
      </c>
      <c r="BS20" s="95">
        <f t="shared" si="25"/>
        <v>0</v>
      </c>
      <c r="BT20" s="92">
        <f t="shared" si="26"/>
        <v>7.6788851353876683E-2</v>
      </c>
      <c r="BU20" s="93">
        <f t="shared" si="27"/>
        <v>674.15314903846161</v>
      </c>
      <c r="BV20" s="94">
        <f t="shared" si="28"/>
        <v>0</v>
      </c>
      <c r="BW20" s="95">
        <f t="shared" si="29"/>
        <v>0</v>
      </c>
      <c r="BX20" s="92">
        <f t="shared" si="30"/>
        <v>3.3871977184031996E-2</v>
      </c>
      <c r="BY20" s="93">
        <f t="shared" si="31"/>
        <v>297.37259615384613</v>
      </c>
      <c r="BZ20" s="94">
        <f t="shared" si="32"/>
        <v>1.9554415340792525E-2</v>
      </c>
      <c r="CA20" s="95">
        <f t="shared" si="33"/>
        <v>171.67427884615384</v>
      </c>
      <c r="CB20" s="92">
        <f t="shared" si="34"/>
        <v>2.6843003200931553E-2</v>
      </c>
      <c r="CC20" s="93">
        <f t="shared" si="35"/>
        <v>235.66305288461538</v>
      </c>
      <c r="CD20" s="94">
        <f t="shared" si="36"/>
        <v>7.2430683606851815E-2</v>
      </c>
      <c r="CE20" s="96">
        <f t="shared" si="37"/>
        <v>635.89144230769227</v>
      </c>
      <c r="CF20" s="97">
        <f t="shared" si="38"/>
        <v>2.0891724163125156E-2</v>
      </c>
      <c r="CG20" s="98">
        <f t="shared" si="39"/>
        <v>183.41492788461539</v>
      </c>
      <c r="CH20" s="94">
        <f t="shared" si="40"/>
        <v>4.9118788917473059E-3</v>
      </c>
      <c r="CI20" s="95">
        <f t="shared" si="41"/>
        <v>43.122908653846153</v>
      </c>
      <c r="CJ20" s="99">
        <f t="shared" si="42"/>
        <v>0.64857470515947313</v>
      </c>
      <c r="CK20" s="97">
        <f t="shared" si="43"/>
        <v>0.51443332516490792</v>
      </c>
      <c r="CL20" s="97">
        <f t="shared" si="44"/>
        <v>0.46980756739609125</v>
      </c>
      <c r="CM20" s="98">
        <f t="shared" si="45"/>
        <v>4516.3697596153852</v>
      </c>
      <c r="CN20" s="94">
        <f t="shared" si="46"/>
        <v>0.23645669141568501</v>
      </c>
      <c r="CO20" s="100">
        <f t="shared" si="47"/>
        <v>0.18755156661953681</v>
      </c>
      <c r="CP20" s="100">
        <f t="shared" si="48"/>
        <v>0.17128195426803813</v>
      </c>
      <c r="CQ20" s="101">
        <f t="shared" si="49"/>
        <v>1646.5733894230771</v>
      </c>
      <c r="CR20" s="99">
        <f t="shared" si="50"/>
        <v>1.1334563897409606E-2</v>
      </c>
      <c r="CS20" s="97">
        <f t="shared" si="51"/>
        <v>8.9902941768363141E-3</v>
      </c>
      <c r="CT20" s="97">
        <f t="shared" si="52"/>
        <v>8.2104094559596278E-3</v>
      </c>
      <c r="CU20" s="98">
        <f t="shared" si="53"/>
        <v>78.928581730769238</v>
      </c>
      <c r="CV20" s="94">
        <f t="shared" si="54"/>
        <v>4.6160219967442323E-2</v>
      </c>
      <c r="CW20" s="100">
        <f t="shared" si="55"/>
        <v>3.6613138408406042E-2</v>
      </c>
      <c r="CX20" s="100">
        <f t="shared" si="56"/>
        <v>3.3437043536935725E-2</v>
      </c>
      <c r="CY20" s="95">
        <f t="shared" si="57"/>
        <v>321.43810096153845</v>
      </c>
      <c r="CZ20" s="99">
        <f t="shared" si="58"/>
        <v>0.97853198223284654</v>
      </c>
      <c r="DA20" s="97">
        <f t="shared" si="59"/>
        <v>0.77614723083669634</v>
      </c>
      <c r="DB20" s="97">
        <f t="shared" si="60"/>
        <v>0.70881847000038545</v>
      </c>
      <c r="DC20" s="98">
        <f t="shared" si="61"/>
        <v>6814.0373317307694</v>
      </c>
      <c r="DD20" s="94">
        <f t="shared" si="62"/>
        <v>4.4507674892892354E-2</v>
      </c>
      <c r="DE20" s="100">
        <f t="shared" si="63"/>
        <v>3.2239990714322458E-2</v>
      </c>
      <c r="DF20" s="95">
        <f t="shared" si="64"/>
        <v>309.93055288461539</v>
      </c>
      <c r="DG20" s="99">
        <f t="shared" si="65"/>
        <v>2.4024750177480954E-3</v>
      </c>
      <c r="DH20" s="98">
        <f t="shared" si="66"/>
        <v>23.095552884615383</v>
      </c>
      <c r="DI20" s="94">
        <f t="shared" si="67"/>
        <v>1.2648193522799604E-2</v>
      </c>
      <c r="DJ20" s="100">
        <f t="shared" si="68"/>
        <v>9.1619623516467439E-3</v>
      </c>
      <c r="DK20" s="95">
        <f t="shared" si="69"/>
        <v>88.076081730769232</v>
      </c>
      <c r="DL20" s="99">
        <f t="shared" si="70"/>
        <v>2.5198041568698901E-2</v>
      </c>
      <c r="DM20" s="97">
        <f t="shared" si="71"/>
        <v>1.8252686264761443E-2</v>
      </c>
      <c r="DN20" s="102">
        <f t="shared" si="72"/>
        <v>175.46733173076925</v>
      </c>
      <c r="DO20" s="94">
        <f t="shared" si="73"/>
        <v>3.8016939006438315E-2</v>
      </c>
      <c r="DP20" s="100">
        <f t="shared" si="74"/>
        <v>3.0154090485019429E-2</v>
      </c>
      <c r="DQ20" s="100">
        <f t="shared" si="75"/>
        <v>2.7538301281837284E-2</v>
      </c>
      <c r="DR20" s="95">
        <f t="shared" si="76"/>
        <v>264.73211538461538</v>
      </c>
      <c r="DS20" s="99">
        <f t="shared" si="77"/>
        <v>3.4586442753760343E-3</v>
      </c>
      <c r="DT20" s="97">
        <f t="shared" si="78"/>
        <v>2.5053355312450827E-3</v>
      </c>
      <c r="DU20" s="98">
        <f t="shared" si="87"/>
        <v>24.084375000000001</v>
      </c>
      <c r="DV20" s="94">
        <f t="shared" si="79"/>
        <v>0.11079383810302625</v>
      </c>
      <c r="DW20" s="100">
        <f t="shared" si="80"/>
        <v>8.0255648497516582E-2</v>
      </c>
      <c r="DX20" s="95">
        <f t="shared" si="81"/>
        <v>771.51627403846157</v>
      </c>
      <c r="DY20" s="99">
        <f t="shared" si="82"/>
        <v>4.0232338882339833E-2</v>
      </c>
      <c r="DZ20" s="98">
        <f t="shared" si="83"/>
        <v>386.76286057692312</v>
      </c>
      <c r="EA20" s="94">
        <f t="shared" si="14"/>
        <v>1.4701251684545637E-2</v>
      </c>
      <c r="EB20" s="95">
        <f t="shared" si="84"/>
        <v>141.32656249999999</v>
      </c>
      <c r="EC20" s="103">
        <f>IFERROR(VLOOKUP(A20,PP!$E$3:$S$130,14,0),0)</f>
        <v>76</v>
      </c>
    </row>
    <row r="21" spans="1:133">
      <c r="A21" s="121">
        <v>2067</v>
      </c>
      <c r="B21" s="122">
        <v>10118</v>
      </c>
      <c r="C21" s="121" t="s">
        <v>44</v>
      </c>
      <c r="D21" s="88">
        <f>IFERROR(_xlfn.XLOOKUP($A21,CFR20252026_BenchMarkDataReport!$B:$B,CFR20252026_BenchMarkDataReport!S:S),0)</f>
        <v>1482218.71</v>
      </c>
      <c r="E21" s="88">
        <f>IFERROR(_xlfn.XLOOKUP($A21,CFR20252026_BenchMarkDataReport!$B:$B,CFR20252026_BenchMarkDataReport!T:T),0)</f>
        <v>0</v>
      </c>
      <c r="F21" s="88">
        <f>IFERROR(_xlfn.XLOOKUP($A21,CFR20252026_BenchMarkDataReport!$B:$B,CFR20252026_BenchMarkDataReport!U:U),0)</f>
        <v>442861.83</v>
      </c>
      <c r="G21" s="88">
        <f>IFERROR(_xlfn.XLOOKUP($A21,CFR20252026_BenchMarkDataReport!$B:$B,CFR20252026_BenchMarkDataReport!V:V),0)</f>
        <v>0</v>
      </c>
      <c r="H21" s="88">
        <f>IFERROR(_xlfn.XLOOKUP($A21,CFR20252026_BenchMarkDataReport!$B:$B,CFR20252026_BenchMarkDataReport!W:W),0)</f>
        <v>65145</v>
      </c>
      <c r="I21" s="88">
        <f>IFERROR(_xlfn.XLOOKUP($A21,CFR20252026_BenchMarkDataReport!$B:$B,CFR20252026_BenchMarkDataReport!X:X),0)</f>
        <v>56235.03</v>
      </c>
      <c r="J21" s="88">
        <f>IFERROR(_xlfn.XLOOKUP($A21,CFR20252026_BenchMarkDataReport!$B:$B,CFR20252026_BenchMarkDataReport!Y:Y),0)</f>
        <v>52673.17</v>
      </c>
      <c r="K21" s="88">
        <f>IFERROR(_xlfn.XLOOKUP($A21,CFR20252026_BenchMarkDataReport!$B:$B,CFR20252026_BenchMarkDataReport!Z:Z),0)</f>
        <v>24650</v>
      </c>
      <c r="L21" s="88">
        <f>IFERROR(_xlfn.XLOOKUP($A21,CFR20252026_BenchMarkDataReport!$B:$B,CFR20252026_BenchMarkDataReport!AA:AA),0)</f>
        <v>31457.42</v>
      </c>
      <c r="M21" s="88">
        <f>IFERROR(_xlfn.XLOOKUP($A21,CFR20252026_BenchMarkDataReport!$B:$B,CFR20252026_BenchMarkDataReport!AB:AB),0)</f>
        <v>304.86</v>
      </c>
      <c r="N21" s="88">
        <f>IFERROR(_xlfn.XLOOKUP($A21,CFR20252026_BenchMarkDataReport!$B:$B,CFR20252026_BenchMarkDataReport!AC:AC),0)</f>
        <v>0</v>
      </c>
      <c r="O21" s="88">
        <f>IFERROR(_xlfn.XLOOKUP($A21,CFR20252026_BenchMarkDataReport!$B:$B,CFR20252026_BenchMarkDataReport!AD:AD),0)</f>
        <v>0</v>
      </c>
      <c r="P21" s="88">
        <f>IFERROR(_xlfn.XLOOKUP($A21,CFR20252026_BenchMarkDataReport!$B:$B,CFR20252026_BenchMarkDataReport!AE:AE),0)</f>
        <v>19898.349999999999</v>
      </c>
      <c r="Q21" s="88">
        <f>IFERROR(_xlfn.XLOOKUP($A21,CFR20252026_BenchMarkDataReport!$B:$B,CFR20252026_BenchMarkDataReport!AF:AF),0)</f>
        <v>15516.85</v>
      </c>
      <c r="R21" s="88">
        <f>IFERROR(_xlfn.XLOOKUP($A21,CFR20252026_BenchMarkDataReport!$B:$B,CFR20252026_BenchMarkDataReport!AG:AG),0)</f>
        <v>0</v>
      </c>
      <c r="S21" s="88">
        <f>IFERROR(_xlfn.XLOOKUP($A21,CFR20252026_BenchMarkDataReport!$B:$B,CFR20252026_BenchMarkDataReport!AH:AH),0)</f>
        <v>0</v>
      </c>
      <c r="T21" s="88">
        <f>IFERROR(_xlfn.XLOOKUP($A21,CFR20252026_BenchMarkDataReport!$B:$B,CFR20252026_BenchMarkDataReport!AI:AI),0)</f>
        <v>0</v>
      </c>
      <c r="U21" s="88">
        <f>IFERROR(_xlfn.XLOOKUP($A21,CFR20252026_BenchMarkDataReport!$B:$B,CFR20252026_BenchMarkDataReport!AJ:AJ),0)</f>
        <v>975606.99</v>
      </c>
      <c r="V21" s="88">
        <f>IFERROR(_xlfn.XLOOKUP($A21,CFR20252026_BenchMarkDataReport!$B:$B,CFR20252026_BenchMarkDataReport!AK:AK),0)</f>
        <v>0</v>
      </c>
      <c r="W21" s="88">
        <f>IFERROR(_xlfn.XLOOKUP($A21,CFR20252026_BenchMarkDataReport!$B:$B,CFR20252026_BenchMarkDataReport!AL:AL),0)</f>
        <v>455443.69</v>
      </c>
      <c r="X21" s="88">
        <f>IFERROR(_xlfn.XLOOKUP($A21,CFR20252026_BenchMarkDataReport!$B:$B,CFR20252026_BenchMarkDataReport!AM:AM),0)</f>
        <v>35615.519999999997</v>
      </c>
      <c r="Y21" s="88">
        <f>IFERROR(_xlfn.XLOOKUP($A21,CFR20252026_BenchMarkDataReport!$B:$B,CFR20252026_BenchMarkDataReport!AN:AN),0)</f>
        <v>90351.58</v>
      </c>
      <c r="Z21" s="88">
        <f>IFERROR(_xlfn.XLOOKUP($A21,CFR20252026_BenchMarkDataReport!$B:$B,CFR20252026_BenchMarkDataReport!AO:AO),0)</f>
        <v>0</v>
      </c>
      <c r="AA21" s="88">
        <f>IFERROR(_xlfn.XLOOKUP($A21,CFR20252026_BenchMarkDataReport!$B:$B,CFR20252026_BenchMarkDataReport!AP:AP),0)</f>
        <v>10744.18</v>
      </c>
      <c r="AB21" s="88">
        <f>IFERROR(_xlfn.XLOOKUP($A21,CFR20252026_BenchMarkDataReport!$B:$B,CFR20252026_BenchMarkDataReport!AQ:AQ),0)</f>
        <v>18227.63</v>
      </c>
      <c r="AC21" s="88">
        <f>IFERROR(_xlfn.XLOOKUP($A21,CFR20252026_BenchMarkDataReport!$B:$B,CFR20252026_BenchMarkDataReport!AR:AR),0)</f>
        <v>978.5</v>
      </c>
      <c r="AD21" s="88">
        <f>IFERROR(_xlfn.XLOOKUP($A21,CFR20252026_BenchMarkDataReport!$B:$B,CFR20252026_BenchMarkDataReport!AS:AS),0)</f>
        <v>377.91</v>
      </c>
      <c r="AE21" s="88">
        <f>IFERROR(_xlfn.XLOOKUP($A21,CFR20252026_BenchMarkDataReport!$B:$B,CFR20252026_BenchMarkDataReport!AT:AT),0)</f>
        <v>0</v>
      </c>
      <c r="AF21" s="88">
        <f>IFERROR(_xlfn.XLOOKUP($A21,CFR20252026_BenchMarkDataReport!$B:$B,CFR20252026_BenchMarkDataReport!AU:AU),0)</f>
        <v>27672.79</v>
      </c>
      <c r="AG21" s="88">
        <f>IFERROR(_xlfn.XLOOKUP($A21,CFR20252026_BenchMarkDataReport!$B:$B,CFR20252026_BenchMarkDataReport!AV:AV),0)</f>
        <v>7030.61</v>
      </c>
      <c r="AH21" s="88">
        <f>IFERROR(_xlfn.XLOOKUP($A21,CFR20252026_BenchMarkDataReport!$B:$B,CFR20252026_BenchMarkDataReport!AW:AW),0)</f>
        <v>40594.68</v>
      </c>
      <c r="AI21" s="88">
        <f>IFERROR(_xlfn.XLOOKUP($A21,CFR20252026_BenchMarkDataReport!$B:$B,CFR20252026_BenchMarkDataReport!AX:AX),0)</f>
        <v>4662.45</v>
      </c>
      <c r="AJ21" s="88">
        <f>IFERROR(_xlfn.XLOOKUP($A21,CFR20252026_BenchMarkDataReport!$B:$B,CFR20252026_BenchMarkDataReport!AY:AY),0)</f>
        <v>25570.35</v>
      </c>
      <c r="AK21" s="88">
        <f>IFERROR(_xlfn.XLOOKUP($A21,CFR20252026_BenchMarkDataReport!$B:$B,CFR20252026_BenchMarkDataReport!AZ:AZ),0)</f>
        <v>31941</v>
      </c>
      <c r="AL21" s="88">
        <f>IFERROR(_xlfn.XLOOKUP($A21,CFR20252026_BenchMarkDataReport!$B:$B,CFR20252026_BenchMarkDataReport!BA:BA),0)</f>
        <v>12880.01</v>
      </c>
      <c r="AM21" s="88">
        <f>IFERROR(_xlfn.XLOOKUP($A21,CFR20252026_BenchMarkDataReport!$B:$B,CFR20252026_BenchMarkDataReport!BB:BB),0)</f>
        <v>48460.35</v>
      </c>
      <c r="AN21" s="88">
        <f>IFERROR(_xlfn.XLOOKUP($A21,CFR20252026_BenchMarkDataReport!$B:$B,CFR20252026_BenchMarkDataReport!BC:BC),0)</f>
        <v>10992.2</v>
      </c>
      <c r="AO21" s="88">
        <f>IFERROR(_xlfn.XLOOKUP($A21,CFR20252026_BenchMarkDataReport!$B:$B,CFR20252026_BenchMarkDataReport!BD:BD),0)</f>
        <v>38.5</v>
      </c>
      <c r="AP21" s="88">
        <f>IFERROR(_xlfn.XLOOKUP($A21,CFR20252026_BenchMarkDataReport!$B:$B,CFR20252026_BenchMarkDataReport!BE:BE),0)</f>
        <v>12255.38</v>
      </c>
      <c r="AQ21" s="88">
        <f>IFERROR(_xlfn.XLOOKUP($A21,CFR20252026_BenchMarkDataReport!$B:$B,CFR20252026_BenchMarkDataReport!BF:BF),0)</f>
        <v>720.25</v>
      </c>
      <c r="AR21" s="88">
        <f>IFERROR(_xlfn.XLOOKUP($A21,CFR20252026_BenchMarkDataReport!$B:$B,CFR20252026_BenchMarkDataReport!BG:BG),0)</f>
        <v>0</v>
      </c>
      <c r="AS21" s="88">
        <f>IFERROR(_xlfn.XLOOKUP($A21,CFR20252026_BenchMarkDataReport!$B:$B,CFR20252026_BenchMarkDataReport!BH:BH),0)</f>
        <v>0</v>
      </c>
      <c r="AT21" s="88">
        <f>IFERROR(_xlfn.XLOOKUP($A21,CFR20252026_BenchMarkDataReport!$B:$B,CFR20252026_BenchMarkDataReport!BI:BI),0)</f>
        <v>3283.2</v>
      </c>
      <c r="AU21" s="88">
        <f>IFERROR(_xlfn.XLOOKUP($A21,CFR20252026_BenchMarkDataReport!$B:$B,CFR20252026_BenchMarkDataReport!BJ:BJ),0)</f>
        <v>0</v>
      </c>
      <c r="AV21" s="88">
        <f>IFERROR(_xlfn.XLOOKUP($A21,CFR20252026_BenchMarkDataReport!$B:$B,CFR20252026_BenchMarkDataReport!BK:BK),0)</f>
        <v>3805.53</v>
      </c>
      <c r="AW21" s="88">
        <f>IFERROR(_xlfn.XLOOKUP($A21,CFR20252026_BenchMarkDataReport!$B:$B,CFR20252026_BenchMarkDataReport!BL:BL),0)</f>
        <v>9586.98</v>
      </c>
      <c r="AX21" s="88">
        <f>IFERROR(_xlfn.XLOOKUP($A21,CFR20252026_BenchMarkDataReport!$B:$B,CFR20252026_BenchMarkDataReport!BM:BM),0)</f>
        <v>7700.2</v>
      </c>
      <c r="AY21" s="88">
        <f>IFERROR(_xlfn.XLOOKUP($A21,CFR20252026_BenchMarkDataReport!$B:$B,CFR20252026_BenchMarkDataReport!BN:BN),0)</f>
        <v>88273.11</v>
      </c>
      <c r="AZ21" s="88">
        <f>IFERROR(_xlfn.XLOOKUP($A21,CFR20252026_BenchMarkDataReport!$B:$B,CFR20252026_BenchMarkDataReport!BO:BO),0)</f>
        <v>68011.12</v>
      </c>
      <c r="BA21" s="88">
        <f>IFERROR(_xlfn.XLOOKUP($A21,CFR20252026_BenchMarkDataReport!$B:$B,CFR20252026_BenchMarkDataReport!BP:BP),0)</f>
        <v>116140.87</v>
      </c>
      <c r="BB21" s="88">
        <f>IFERROR(_xlfn.XLOOKUP($A21,CFR20252026_BenchMarkDataReport!$B:$B,CFR20252026_BenchMarkDataReport!BQ:BQ),0)</f>
        <v>24696.639999999999</v>
      </c>
      <c r="BC21" s="88">
        <f>IFERROR(_xlfn.XLOOKUP($A21,CFR20252026_BenchMarkDataReport!$B:$B,CFR20252026_BenchMarkDataReport!BR:BR),0)</f>
        <v>0</v>
      </c>
      <c r="BD21" s="88">
        <f>IFERROR(_xlfn.XLOOKUP($A21,CFR20252026_BenchMarkDataReport!$B:$B,CFR20252026_BenchMarkDataReport!BS:BS),0)</f>
        <v>0</v>
      </c>
      <c r="BE21" s="88">
        <f>IFERROR(_xlfn.XLOOKUP($A21,CFR20252026_BenchMarkDataReport!$B:$B,CFR20252026_BenchMarkDataReport!BT:BT),0)</f>
        <v>2240</v>
      </c>
      <c r="BF21" s="88">
        <f>IFERROR(_xlfn.XLOOKUP($A21,CFR20252026_BenchMarkDataReport!$B:$B,CFR20252026_BenchMarkDataReport!BU:BU),0)</f>
        <v>0</v>
      </c>
      <c r="BG21" s="88">
        <f>IFERROR(_xlfn.XLOOKUP($A21,CFR20252026_BenchMarkDataReport!$B:$B,CFR20252026_BenchMarkDataReport!BV:BV),0)</f>
        <v>0</v>
      </c>
      <c r="BH21" s="89">
        <f t="shared" si="0"/>
        <v>2190961.2200000002</v>
      </c>
      <c r="BI21" s="90">
        <f t="shared" si="85"/>
        <v>2133902.2200000002</v>
      </c>
      <c r="BJ21" s="124">
        <f t="shared" si="86"/>
        <v>57059</v>
      </c>
      <c r="BK21" s="88">
        <f>IFERROR(_xlfn.XLOOKUP(A21,CFR20252026_BenchMarkDataReport!$B:$B,CFR20252026_BenchMarkDataReport!P:P)+_xlfn.XLOOKUP(A21,CFR20252026_BenchMarkDataReport!$B:$B,CFR20252026_BenchMarkDataReport!Q:Q),0)</f>
        <v>-53354</v>
      </c>
      <c r="BL21" s="89">
        <f t="shared" si="1"/>
        <v>3705</v>
      </c>
      <c r="BM21" s="91">
        <f>SUMIFS(PP!I:I,PP!E:E,A21)</f>
        <v>221</v>
      </c>
      <c r="BN21" s="90">
        <f t="shared" si="21"/>
        <v>1925080.54</v>
      </c>
      <c r="BO21" t="s">
        <v>173</v>
      </c>
      <c r="BP21" s="92">
        <f t="shared" si="22"/>
        <v>0.67651526483887281</v>
      </c>
      <c r="BQ21" s="93">
        <f t="shared" si="23"/>
        <v>6706.8719909502261</v>
      </c>
      <c r="BR21" s="94">
        <f t="shared" si="24"/>
        <v>0</v>
      </c>
      <c r="BS21" s="95">
        <f t="shared" si="25"/>
        <v>0</v>
      </c>
      <c r="BT21" s="92">
        <f t="shared" si="26"/>
        <v>0.20213129559636842</v>
      </c>
      <c r="BU21" s="93">
        <f t="shared" si="27"/>
        <v>2003.8996832579187</v>
      </c>
      <c r="BV21" s="94">
        <f t="shared" si="28"/>
        <v>0</v>
      </c>
      <c r="BW21" s="95">
        <f t="shared" si="29"/>
        <v>0</v>
      </c>
      <c r="BX21" s="92">
        <f t="shared" si="30"/>
        <v>2.9733524904653488E-2</v>
      </c>
      <c r="BY21" s="93">
        <f t="shared" si="31"/>
        <v>294.77375565610862</v>
      </c>
      <c r="BZ21" s="94">
        <f t="shared" si="32"/>
        <v>2.5666830378677351E-2</v>
      </c>
      <c r="CA21" s="95">
        <f t="shared" si="33"/>
        <v>254.45714932126697</v>
      </c>
      <c r="CB21" s="92">
        <f t="shared" si="34"/>
        <v>2.4041123831484334E-2</v>
      </c>
      <c r="CC21" s="93">
        <f t="shared" si="35"/>
        <v>238.34013574660634</v>
      </c>
      <c r="CD21" s="94">
        <f t="shared" si="36"/>
        <v>2.5608586536278351E-2</v>
      </c>
      <c r="CE21" s="96">
        <f t="shared" si="37"/>
        <v>253.87972850678733</v>
      </c>
      <c r="CF21" s="97">
        <f t="shared" si="38"/>
        <v>9.0820183480928955E-3</v>
      </c>
      <c r="CG21" s="98">
        <f t="shared" si="39"/>
        <v>90.037782805429856</v>
      </c>
      <c r="CH21" s="94">
        <f t="shared" si="40"/>
        <v>7.0822111584430501E-3</v>
      </c>
      <c r="CI21" s="95">
        <f t="shared" si="41"/>
        <v>70.211990950226252</v>
      </c>
      <c r="CJ21" s="99">
        <f t="shared" si="42"/>
        <v>0.54211659632692566</v>
      </c>
      <c r="CK21" s="97">
        <f t="shared" si="43"/>
        <v>0.47632888271751334</v>
      </c>
      <c r="CL21" s="97">
        <f t="shared" si="44"/>
        <v>0.48906557208605361</v>
      </c>
      <c r="CM21" s="98">
        <f t="shared" si="45"/>
        <v>4722.2538914027145</v>
      </c>
      <c r="CN21" s="94">
        <f t="shared" si="46"/>
        <v>0.23658422623710071</v>
      </c>
      <c r="CO21" s="100">
        <f t="shared" si="47"/>
        <v>0.20787391663646149</v>
      </c>
      <c r="CP21" s="100">
        <f t="shared" si="48"/>
        <v>0.21343231462592507</v>
      </c>
      <c r="CQ21" s="101">
        <f t="shared" si="49"/>
        <v>2060.8311764705882</v>
      </c>
      <c r="CR21" s="99">
        <f t="shared" si="50"/>
        <v>1.850079477713696E-2</v>
      </c>
      <c r="CS21" s="97">
        <f t="shared" si="51"/>
        <v>1.6255659696249664E-2</v>
      </c>
      <c r="CT21" s="97">
        <f t="shared" si="52"/>
        <v>1.6690324264248619E-2</v>
      </c>
      <c r="CU21" s="98">
        <f t="shared" si="53"/>
        <v>161.1561990950226</v>
      </c>
      <c r="CV21" s="94">
        <f t="shared" si="54"/>
        <v>4.6933922047749752E-2</v>
      </c>
      <c r="CW21" s="100">
        <f t="shared" si="55"/>
        <v>4.1238329174991054E-2</v>
      </c>
      <c r="CX21" s="100">
        <f t="shared" si="56"/>
        <v>4.2341012232509884E-2</v>
      </c>
      <c r="CY21" s="95">
        <f t="shared" si="57"/>
        <v>408.83067873303168</v>
      </c>
      <c r="CZ21" s="99">
        <f t="shared" si="58"/>
        <v>0.81438772426633121</v>
      </c>
      <c r="DA21" s="97">
        <f t="shared" si="59"/>
        <v>0.71555897278729552</v>
      </c>
      <c r="DB21" s="97">
        <f t="shared" si="60"/>
        <v>0.73469250151490062</v>
      </c>
      <c r="DC21" s="98">
        <f t="shared" si="61"/>
        <v>7093.9455203619909</v>
      </c>
      <c r="DD21" s="94">
        <f t="shared" si="62"/>
        <v>1.4374873894886496E-2</v>
      </c>
      <c r="DE21" s="100">
        <f t="shared" si="63"/>
        <v>1.2968162149435318E-2</v>
      </c>
      <c r="DF21" s="95">
        <f t="shared" si="64"/>
        <v>125.2162443438914</v>
      </c>
      <c r="DG21" s="99">
        <f t="shared" si="65"/>
        <v>2.1849407888989399E-3</v>
      </c>
      <c r="DH21" s="98">
        <f t="shared" si="66"/>
        <v>21.097058823529412</v>
      </c>
      <c r="DI21" s="94">
        <f t="shared" si="67"/>
        <v>1.3282742965133291E-2</v>
      </c>
      <c r="DJ21" s="100">
        <f t="shared" si="68"/>
        <v>1.1982906133346632E-2</v>
      </c>
      <c r="DK21" s="95">
        <f t="shared" si="69"/>
        <v>115.70294117647059</v>
      </c>
      <c r="DL21" s="99">
        <f t="shared" si="70"/>
        <v>6.6906343565241175E-3</v>
      </c>
      <c r="DM21" s="97">
        <f t="shared" si="71"/>
        <v>6.0358951217549224E-3</v>
      </c>
      <c r="DN21" s="102">
        <f t="shared" si="72"/>
        <v>58.280588235294118</v>
      </c>
      <c r="DO21" s="94">
        <f t="shared" si="73"/>
        <v>2.5173154573574358E-2</v>
      </c>
      <c r="DP21" s="100">
        <f t="shared" si="74"/>
        <v>2.2118305681375773E-2</v>
      </c>
      <c r="DQ21" s="100">
        <f t="shared" si="75"/>
        <v>2.2709733157314019E-2</v>
      </c>
      <c r="DR21" s="95">
        <f t="shared" si="76"/>
        <v>219.27760180995475</v>
      </c>
      <c r="DS21" s="99">
        <f t="shared" si="77"/>
        <v>1.9768159933713737E-3</v>
      </c>
      <c r="DT21" s="97">
        <f t="shared" si="78"/>
        <v>1.7833666249243603E-3</v>
      </c>
      <c r="DU21" s="98">
        <f t="shared" si="87"/>
        <v>17.219592760180998</v>
      </c>
      <c r="DV21" s="94">
        <f t="shared" si="79"/>
        <v>6.0330395319460238E-2</v>
      </c>
      <c r="DW21" s="100">
        <f t="shared" si="80"/>
        <v>5.4426519130759417E-2</v>
      </c>
      <c r="DX21" s="95">
        <f t="shared" si="81"/>
        <v>525.52429864253395</v>
      </c>
      <c r="DY21" s="99">
        <f t="shared" si="82"/>
        <v>4.1366989158481679E-2</v>
      </c>
      <c r="DZ21" s="98">
        <f t="shared" si="83"/>
        <v>399.4258371040724</v>
      </c>
      <c r="EA21" s="94">
        <f t="shared" si="14"/>
        <v>1.9023683287606306E-2</v>
      </c>
      <c r="EB21" s="95">
        <f t="shared" si="84"/>
        <v>183.68633484162896</v>
      </c>
      <c r="EC21" s="103">
        <f>IFERROR(VLOOKUP(A21,PP!$E$3:$S$130,14,0),0)</f>
        <v>43</v>
      </c>
    </row>
    <row r="22" spans="1:133">
      <c r="A22" s="121">
        <v>3302</v>
      </c>
      <c r="B22" s="122">
        <v>10050</v>
      </c>
      <c r="C22" s="121" t="s">
        <v>45</v>
      </c>
      <c r="D22" s="88">
        <f>IFERROR(_xlfn.XLOOKUP($A22,CFR20252026_BenchMarkDataReport!$B:$B,CFR20252026_BenchMarkDataReport!S:S),0)</f>
        <v>1237316.22</v>
      </c>
      <c r="E22" s="88">
        <f>IFERROR(_xlfn.XLOOKUP($A22,CFR20252026_BenchMarkDataReport!$B:$B,CFR20252026_BenchMarkDataReport!T:T),0)</f>
        <v>0</v>
      </c>
      <c r="F22" s="88">
        <f>IFERROR(_xlfn.XLOOKUP($A22,CFR20252026_BenchMarkDataReport!$B:$B,CFR20252026_BenchMarkDataReport!U:U),0)</f>
        <v>134155.65</v>
      </c>
      <c r="G22" s="88">
        <f>IFERROR(_xlfn.XLOOKUP($A22,CFR20252026_BenchMarkDataReport!$B:$B,CFR20252026_BenchMarkDataReport!V:V),0)</f>
        <v>0</v>
      </c>
      <c r="H22" s="88">
        <f>IFERROR(_xlfn.XLOOKUP($A22,CFR20252026_BenchMarkDataReport!$B:$B,CFR20252026_BenchMarkDataReport!W:W),0)</f>
        <v>35560</v>
      </c>
      <c r="I22" s="88">
        <f>IFERROR(_xlfn.XLOOKUP($A22,CFR20252026_BenchMarkDataReport!$B:$B,CFR20252026_BenchMarkDataReport!X:X),0)</f>
        <v>45094</v>
      </c>
      <c r="J22" s="88">
        <f>IFERROR(_xlfn.XLOOKUP($A22,CFR20252026_BenchMarkDataReport!$B:$B,CFR20252026_BenchMarkDataReport!Y:Y),0)</f>
        <v>53847.97</v>
      </c>
      <c r="K22" s="88">
        <f>IFERROR(_xlfn.XLOOKUP($A22,CFR20252026_BenchMarkDataReport!$B:$B,CFR20252026_BenchMarkDataReport!Z:Z),0)</f>
        <v>8090.01</v>
      </c>
      <c r="L22" s="88">
        <f>IFERROR(_xlfn.XLOOKUP($A22,CFR20252026_BenchMarkDataReport!$B:$B,CFR20252026_BenchMarkDataReport!AA:AA),0)</f>
        <v>49593.71</v>
      </c>
      <c r="M22" s="88">
        <f>IFERROR(_xlfn.XLOOKUP($A22,CFR20252026_BenchMarkDataReport!$B:$B,CFR20252026_BenchMarkDataReport!AB:AB),0)</f>
        <v>3630.22</v>
      </c>
      <c r="N22" s="88">
        <f>IFERROR(_xlfn.XLOOKUP($A22,CFR20252026_BenchMarkDataReport!$B:$B,CFR20252026_BenchMarkDataReport!AC:AC),0)</f>
        <v>0</v>
      </c>
      <c r="O22" s="88">
        <f>IFERROR(_xlfn.XLOOKUP($A22,CFR20252026_BenchMarkDataReport!$B:$B,CFR20252026_BenchMarkDataReport!AD:AD),0)</f>
        <v>4320</v>
      </c>
      <c r="P22" s="88">
        <f>IFERROR(_xlfn.XLOOKUP($A22,CFR20252026_BenchMarkDataReport!$B:$B,CFR20252026_BenchMarkDataReport!AE:AE),0)</f>
        <v>45670.43</v>
      </c>
      <c r="Q22" s="88">
        <f>IFERROR(_xlfn.XLOOKUP($A22,CFR20252026_BenchMarkDataReport!$B:$B,CFR20252026_BenchMarkDataReport!AF:AF),0)</f>
        <v>8047.76</v>
      </c>
      <c r="R22" s="88">
        <f>IFERROR(_xlfn.XLOOKUP($A22,CFR20252026_BenchMarkDataReport!$B:$B,CFR20252026_BenchMarkDataReport!AG:AG),0)</f>
        <v>0</v>
      </c>
      <c r="S22" s="88">
        <f>IFERROR(_xlfn.XLOOKUP($A22,CFR20252026_BenchMarkDataReport!$B:$B,CFR20252026_BenchMarkDataReport!AH:AH),0)</f>
        <v>0</v>
      </c>
      <c r="T22" s="88">
        <f>IFERROR(_xlfn.XLOOKUP($A22,CFR20252026_BenchMarkDataReport!$B:$B,CFR20252026_BenchMarkDataReport!AI:AI),0)</f>
        <v>0</v>
      </c>
      <c r="U22" s="88">
        <f>IFERROR(_xlfn.XLOOKUP($A22,CFR20252026_BenchMarkDataReport!$B:$B,CFR20252026_BenchMarkDataReport!AJ:AJ),0)</f>
        <v>880057.19</v>
      </c>
      <c r="V22" s="88">
        <f>IFERROR(_xlfn.XLOOKUP($A22,CFR20252026_BenchMarkDataReport!$B:$B,CFR20252026_BenchMarkDataReport!AK:AK),0)</f>
        <v>0</v>
      </c>
      <c r="W22" s="88">
        <f>IFERROR(_xlfn.XLOOKUP($A22,CFR20252026_BenchMarkDataReport!$B:$B,CFR20252026_BenchMarkDataReport!AL:AL),0)</f>
        <v>387695.72</v>
      </c>
      <c r="X22" s="88">
        <f>IFERROR(_xlfn.XLOOKUP($A22,CFR20252026_BenchMarkDataReport!$B:$B,CFR20252026_BenchMarkDataReport!AM:AM),0)</f>
        <v>46806.38</v>
      </c>
      <c r="Y22" s="88">
        <f>IFERROR(_xlfn.XLOOKUP($A22,CFR20252026_BenchMarkDataReport!$B:$B,CFR20252026_BenchMarkDataReport!AN:AN),0)</f>
        <v>64259.86</v>
      </c>
      <c r="Z22" s="88">
        <f>IFERROR(_xlfn.XLOOKUP($A22,CFR20252026_BenchMarkDataReport!$B:$B,CFR20252026_BenchMarkDataReport!AO:AO),0)</f>
        <v>0</v>
      </c>
      <c r="AA22" s="88">
        <f>IFERROR(_xlfn.XLOOKUP($A22,CFR20252026_BenchMarkDataReport!$B:$B,CFR20252026_BenchMarkDataReport!AP:AP),0)</f>
        <v>46272.12</v>
      </c>
      <c r="AB22" s="88">
        <f>IFERROR(_xlfn.XLOOKUP($A22,CFR20252026_BenchMarkDataReport!$B:$B,CFR20252026_BenchMarkDataReport!AQ:AQ),0)</f>
        <v>3129.75</v>
      </c>
      <c r="AC22" s="88">
        <f>IFERROR(_xlfn.XLOOKUP($A22,CFR20252026_BenchMarkDataReport!$B:$B,CFR20252026_BenchMarkDataReport!AR:AR),0)</f>
        <v>2700.18</v>
      </c>
      <c r="AD22" s="88">
        <f>IFERROR(_xlfn.XLOOKUP($A22,CFR20252026_BenchMarkDataReport!$B:$B,CFR20252026_BenchMarkDataReport!AS:AS),0)</f>
        <v>8497.07</v>
      </c>
      <c r="AE22" s="88">
        <f>IFERROR(_xlfn.XLOOKUP($A22,CFR20252026_BenchMarkDataReport!$B:$B,CFR20252026_BenchMarkDataReport!AT:AT),0)</f>
        <v>0</v>
      </c>
      <c r="AF22" s="88">
        <f>IFERROR(_xlfn.XLOOKUP($A22,CFR20252026_BenchMarkDataReport!$B:$B,CFR20252026_BenchMarkDataReport!AU:AU),0)</f>
        <v>18558.27</v>
      </c>
      <c r="AG22" s="88">
        <f>IFERROR(_xlfn.XLOOKUP($A22,CFR20252026_BenchMarkDataReport!$B:$B,CFR20252026_BenchMarkDataReport!AV:AV),0)</f>
        <v>0</v>
      </c>
      <c r="AH22" s="88">
        <f>IFERROR(_xlfn.XLOOKUP($A22,CFR20252026_BenchMarkDataReport!$B:$B,CFR20252026_BenchMarkDataReport!AW:AW),0)</f>
        <v>22128.86</v>
      </c>
      <c r="AI22" s="88">
        <f>IFERROR(_xlfn.XLOOKUP($A22,CFR20252026_BenchMarkDataReport!$B:$B,CFR20252026_BenchMarkDataReport!AX:AX),0)</f>
        <v>2397.91</v>
      </c>
      <c r="AJ22" s="88">
        <f>IFERROR(_xlfn.XLOOKUP($A22,CFR20252026_BenchMarkDataReport!$B:$B,CFR20252026_BenchMarkDataReport!AY:AY),0)</f>
        <v>20270.63</v>
      </c>
      <c r="AK22" s="88">
        <f>IFERROR(_xlfn.XLOOKUP($A22,CFR20252026_BenchMarkDataReport!$B:$B,CFR20252026_BenchMarkDataReport!AZ:AZ),0)</f>
        <v>5105.1000000000004</v>
      </c>
      <c r="AL22" s="88">
        <f>IFERROR(_xlfn.XLOOKUP($A22,CFR20252026_BenchMarkDataReport!$B:$B,CFR20252026_BenchMarkDataReport!BA:BA),0)</f>
        <v>4019.7</v>
      </c>
      <c r="AM22" s="88">
        <f>IFERROR(_xlfn.XLOOKUP($A22,CFR20252026_BenchMarkDataReport!$B:$B,CFR20252026_BenchMarkDataReport!BB:BB),0)</f>
        <v>54928.34</v>
      </c>
      <c r="AN22" s="88">
        <f>IFERROR(_xlfn.XLOOKUP($A22,CFR20252026_BenchMarkDataReport!$B:$B,CFR20252026_BenchMarkDataReport!BC:BC),0)</f>
        <v>5356.12</v>
      </c>
      <c r="AO22" s="88">
        <f>IFERROR(_xlfn.XLOOKUP($A22,CFR20252026_BenchMarkDataReport!$B:$B,CFR20252026_BenchMarkDataReport!BD:BD),0)</f>
        <v>0</v>
      </c>
      <c r="AP22" s="88">
        <f>IFERROR(_xlfn.XLOOKUP($A22,CFR20252026_BenchMarkDataReport!$B:$B,CFR20252026_BenchMarkDataReport!BE:BE),0)</f>
        <v>10102.58</v>
      </c>
      <c r="AQ22" s="88">
        <f>IFERROR(_xlfn.XLOOKUP($A22,CFR20252026_BenchMarkDataReport!$B:$B,CFR20252026_BenchMarkDataReport!BF:BF),0)</f>
        <v>7231.3</v>
      </c>
      <c r="AR22" s="88">
        <f>IFERROR(_xlfn.XLOOKUP($A22,CFR20252026_BenchMarkDataReport!$B:$B,CFR20252026_BenchMarkDataReport!BG:BG),0)</f>
        <v>0</v>
      </c>
      <c r="AS22" s="88">
        <f>IFERROR(_xlfn.XLOOKUP($A22,CFR20252026_BenchMarkDataReport!$B:$B,CFR20252026_BenchMarkDataReport!BH:BH),0)</f>
        <v>749.06</v>
      </c>
      <c r="AT22" s="88">
        <f>IFERROR(_xlfn.XLOOKUP($A22,CFR20252026_BenchMarkDataReport!$B:$B,CFR20252026_BenchMarkDataReport!BI:BI),0)</f>
        <v>2840.68</v>
      </c>
      <c r="AU22" s="88">
        <f>IFERROR(_xlfn.XLOOKUP($A22,CFR20252026_BenchMarkDataReport!$B:$B,CFR20252026_BenchMarkDataReport!BJ:BJ),0)</f>
        <v>0</v>
      </c>
      <c r="AV22" s="88">
        <f>IFERROR(_xlfn.XLOOKUP($A22,CFR20252026_BenchMarkDataReport!$B:$B,CFR20252026_BenchMarkDataReport!BK:BK),0)</f>
        <v>2152.2800000000002</v>
      </c>
      <c r="AW22" s="88">
        <f>IFERROR(_xlfn.XLOOKUP($A22,CFR20252026_BenchMarkDataReport!$B:$B,CFR20252026_BenchMarkDataReport!BL:BL),0)</f>
        <v>10640.21</v>
      </c>
      <c r="AX22" s="88">
        <f>IFERROR(_xlfn.XLOOKUP($A22,CFR20252026_BenchMarkDataReport!$B:$B,CFR20252026_BenchMarkDataReport!BM:BM),0)</f>
        <v>6196.21</v>
      </c>
      <c r="AY22" s="88">
        <f>IFERROR(_xlfn.XLOOKUP($A22,CFR20252026_BenchMarkDataReport!$B:$B,CFR20252026_BenchMarkDataReport!BN:BN),0)</f>
        <v>93963.28</v>
      </c>
      <c r="AZ22" s="88">
        <f>IFERROR(_xlfn.XLOOKUP($A22,CFR20252026_BenchMarkDataReport!$B:$B,CFR20252026_BenchMarkDataReport!BO:BO),0)</f>
        <v>142.35</v>
      </c>
      <c r="BA22" s="88">
        <f>IFERROR(_xlfn.XLOOKUP($A22,CFR20252026_BenchMarkDataReport!$B:$B,CFR20252026_BenchMarkDataReport!BP:BP),0)</f>
        <v>20993.98</v>
      </c>
      <c r="BB22" s="88">
        <f>IFERROR(_xlfn.XLOOKUP($A22,CFR20252026_BenchMarkDataReport!$B:$B,CFR20252026_BenchMarkDataReport!BQ:BQ),0)</f>
        <v>22387.84</v>
      </c>
      <c r="BC22" s="88">
        <f>IFERROR(_xlfn.XLOOKUP($A22,CFR20252026_BenchMarkDataReport!$B:$B,CFR20252026_BenchMarkDataReport!BR:BR),0)</f>
        <v>0</v>
      </c>
      <c r="BD22" s="88">
        <f>IFERROR(_xlfn.XLOOKUP($A22,CFR20252026_BenchMarkDataReport!$B:$B,CFR20252026_BenchMarkDataReport!BS:BS),0)</f>
        <v>0</v>
      </c>
      <c r="BE22" s="88">
        <f>IFERROR(_xlfn.XLOOKUP($A22,CFR20252026_BenchMarkDataReport!$B:$B,CFR20252026_BenchMarkDataReport!BT:BT),0)</f>
        <v>0</v>
      </c>
      <c r="BF22" s="88">
        <f>IFERROR(_xlfn.XLOOKUP($A22,CFR20252026_BenchMarkDataReport!$B:$B,CFR20252026_BenchMarkDataReport!BU:BU),0)</f>
        <v>0</v>
      </c>
      <c r="BG22" s="88">
        <f>IFERROR(_xlfn.XLOOKUP($A22,CFR20252026_BenchMarkDataReport!$B:$B,CFR20252026_BenchMarkDataReport!BV:BV),0)</f>
        <v>0</v>
      </c>
      <c r="BH22" s="89">
        <f t="shared" si="0"/>
        <v>1625325.9699999997</v>
      </c>
      <c r="BI22" s="90">
        <f t="shared" si="85"/>
        <v>1749582.9700000004</v>
      </c>
      <c r="BJ22" s="124">
        <f t="shared" si="86"/>
        <v>-124257.0000000007</v>
      </c>
      <c r="BK22" s="88">
        <f>IFERROR(_xlfn.XLOOKUP(A22,CFR20252026_BenchMarkDataReport!$B:$B,CFR20252026_BenchMarkDataReport!P:P)+_xlfn.XLOOKUP(A22,CFR20252026_BenchMarkDataReport!$B:$B,CFR20252026_BenchMarkDataReport!Q:Q),0)</f>
        <v>297452</v>
      </c>
      <c r="BL22" s="89">
        <f t="shared" si="1"/>
        <v>173194.9999999993</v>
      </c>
      <c r="BM22" s="91">
        <f>SUMIFS(PP!I:I,PP!E:E,A22)</f>
        <v>195</v>
      </c>
      <c r="BN22" s="90">
        <f t="shared" si="21"/>
        <v>1371471.8699999999</v>
      </c>
      <c r="BO22" t="s">
        <v>173</v>
      </c>
      <c r="BP22" s="92">
        <f t="shared" si="22"/>
        <v>0.76127265720118908</v>
      </c>
      <c r="BQ22" s="93">
        <f t="shared" si="23"/>
        <v>6345.2113846153843</v>
      </c>
      <c r="BR22" s="94">
        <f t="shared" si="24"/>
        <v>0</v>
      </c>
      <c r="BS22" s="95">
        <f t="shared" si="25"/>
        <v>0</v>
      </c>
      <c r="BT22" s="92">
        <f t="shared" si="26"/>
        <v>8.2540765653304621E-2</v>
      </c>
      <c r="BU22" s="93">
        <f t="shared" si="27"/>
        <v>687.97769230769222</v>
      </c>
      <c r="BV22" s="94">
        <f t="shared" si="28"/>
        <v>0</v>
      </c>
      <c r="BW22" s="95">
        <f t="shared" si="29"/>
        <v>0</v>
      </c>
      <c r="BX22" s="92">
        <f t="shared" si="30"/>
        <v>2.1878688125557981E-2</v>
      </c>
      <c r="BY22" s="93">
        <f t="shared" si="31"/>
        <v>182.35897435897436</v>
      </c>
      <c r="BZ22" s="94">
        <f t="shared" si="32"/>
        <v>2.7744588367095376E-2</v>
      </c>
      <c r="CA22" s="95">
        <f t="shared" si="33"/>
        <v>231.25128205128206</v>
      </c>
      <c r="CB22" s="92">
        <f t="shared" si="34"/>
        <v>3.3130566418009065E-2</v>
      </c>
      <c r="CC22" s="93">
        <f t="shared" si="35"/>
        <v>276.14343589743589</v>
      </c>
      <c r="CD22" s="94">
        <f t="shared" si="36"/>
        <v>3.5490554550112803E-2</v>
      </c>
      <c r="CE22" s="96">
        <f t="shared" si="37"/>
        <v>295.81394871794873</v>
      </c>
      <c r="CF22" s="97">
        <f t="shared" si="38"/>
        <v>2.8099243378237541E-2</v>
      </c>
      <c r="CG22" s="98">
        <f t="shared" si="39"/>
        <v>234.20733333333334</v>
      </c>
      <c r="CH22" s="94">
        <f t="shared" si="40"/>
        <v>4.95147444176998E-3</v>
      </c>
      <c r="CI22" s="95">
        <f t="shared" si="41"/>
        <v>41.270564102564101</v>
      </c>
      <c r="CJ22" s="99">
        <f t="shared" si="42"/>
        <v>0.6417919020096271</v>
      </c>
      <c r="CK22" s="97">
        <f t="shared" si="43"/>
        <v>0.54155262159503925</v>
      </c>
      <c r="CL22" s="97">
        <f t="shared" si="44"/>
        <v>0.50309105374979712</v>
      </c>
      <c r="CM22" s="98">
        <f t="shared" si="45"/>
        <v>4513.8437948717947</v>
      </c>
      <c r="CN22" s="94">
        <f t="shared" si="46"/>
        <v>0.28268587091035269</v>
      </c>
      <c r="CO22" s="100">
        <f t="shared" si="47"/>
        <v>0.23853413232546825</v>
      </c>
      <c r="CP22" s="100">
        <f t="shared" si="48"/>
        <v>0.22159321772547882</v>
      </c>
      <c r="CQ22" s="101">
        <f t="shared" si="49"/>
        <v>1988.1831794871794</v>
      </c>
      <c r="CR22" s="99">
        <f t="shared" si="50"/>
        <v>3.4128574580242758E-2</v>
      </c>
      <c r="CS22" s="97">
        <f t="shared" si="51"/>
        <v>2.8798149333699508E-2</v>
      </c>
      <c r="CT22" s="97">
        <f t="shared" si="52"/>
        <v>2.6752878144441463E-2</v>
      </c>
      <c r="CU22" s="98">
        <f t="shared" si="53"/>
        <v>240.03271794871793</v>
      </c>
      <c r="CV22" s="94">
        <f t="shared" si="54"/>
        <v>4.6854668626925618E-2</v>
      </c>
      <c r="CW22" s="100">
        <f t="shared" si="55"/>
        <v>3.9536598310799163E-2</v>
      </c>
      <c r="CX22" s="100">
        <f t="shared" si="56"/>
        <v>3.6728672547607151E-2</v>
      </c>
      <c r="CY22" s="95">
        <f t="shared" si="57"/>
        <v>329.53774358974357</v>
      </c>
      <c r="CZ22" s="99">
        <f t="shared" si="58"/>
        <v>1.0390962448249121</v>
      </c>
      <c r="DA22" s="97">
        <f t="shared" si="59"/>
        <v>0.87680335902096007</v>
      </c>
      <c r="DB22" s="97">
        <f t="shared" si="60"/>
        <v>0.81453197386803533</v>
      </c>
      <c r="DC22" s="98">
        <f t="shared" si="61"/>
        <v>7308.160358974359</v>
      </c>
      <c r="DD22" s="94">
        <f t="shared" si="62"/>
        <v>1.3531644655606391E-2</v>
      </c>
      <c r="DE22" s="100">
        <f t="shared" si="63"/>
        <v>1.0607253453090021E-2</v>
      </c>
      <c r="DF22" s="95">
        <f t="shared" si="64"/>
        <v>95.170615384615388</v>
      </c>
      <c r="DG22" s="99">
        <f t="shared" si="65"/>
        <v>1.3705608942912832E-3</v>
      </c>
      <c r="DH22" s="98">
        <f t="shared" si="66"/>
        <v>12.296974358974358</v>
      </c>
      <c r="DI22" s="94">
        <f t="shared" si="67"/>
        <v>1.4780201069672689E-2</v>
      </c>
      <c r="DJ22" s="100">
        <f t="shared" si="68"/>
        <v>1.1585978114544631E-2</v>
      </c>
      <c r="DK22" s="95">
        <f t="shared" si="69"/>
        <v>103.95194871794872</v>
      </c>
      <c r="DL22" s="99">
        <f t="shared" si="70"/>
        <v>2.9309387147692647E-3</v>
      </c>
      <c r="DM22" s="97">
        <f t="shared" si="71"/>
        <v>2.2975189338977154E-3</v>
      </c>
      <c r="DN22" s="102">
        <f t="shared" si="72"/>
        <v>20.613846153846154</v>
      </c>
      <c r="DO22" s="94">
        <f t="shared" si="73"/>
        <v>4.0050650109214415E-2</v>
      </c>
      <c r="DP22" s="100">
        <f t="shared" si="74"/>
        <v>3.3795276156203917E-2</v>
      </c>
      <c r="DQ22" s="100">
        <f t="shared" si="75"/>
        <v>3.1395104400221717E-2</v>
      </c>
      <c r="DR22" s="95">
        <f t="shared" si="76"/>
        <v>281.68379487179487</v>
      </c>
      <c r="DS22" s="99">
        <f t="shared" si="77"/>
        <v>1.5693212869178283E-3</v>
      </c>
      <c r="DT22" s="97">
        <f t="shared" si="78"/>
        <v>1.230167438129556E-3</v>
      </c>
      <c r="DU22" s="98">
        <f t="shared" si="87"/>
        <v>11.037333333333335</v>
      </c>
      <c r="DV22" s="94">
        <f t="shared" si="79"/>
        <v>1.5307627126176494E-2</v>
      </c>
      <c r="DW22" s="100">
        <f t="shared" si="80"/>
        <v>1.1999419495949938E-2</v>
      </c>
      <c r="DX22" s="95">
        <f t="shared" si="81"/>
        <v>107.66143589743589</v>
      </c>
      <c r="DY22" s="99">
        <f t="shared" si="82"/>
        <v>5.3706101174498727E-2</v>
      </c>
      <c r="DZ22" s="98">
        <f t="shared" si="83"/>
        <v>481.86297435897433</v>
      </c>
      <c r="EA22" s="94">
        <f t="shared" si="14"/>
        <v>1.2648076930012639E-2</v>
      </c>
      <c r="EB22" s="95">
        <f t="shared" si="84"/>
        <v>113.48133333333334</v>
      </c>
      <c r="EC22" s="103">
        <f>IFERROR(VLOOKUP(A22,PP!$E$3:$S$130,14,0),0)</f>
        <v>20</v>
      </c>
    </row>
    <row r="23" spans="1:133">
      <c r="A23" s="121">
        <v>2011</v>
      </c>
      <c r="B23" s="122">
        <v>10051</v>
      </c>
      <c r="C23" s="121" t="s">
        <v>46</v>
      </c>
      <c r="D23" s="88">
        <f>IFERROR(_xlfn.XLOOKUP($A23,CFR20252026_BenchMarkDataReport!$B:$B,CFR20252026_BenchMarkDataReport!S:S),0)</f>
        <v>1252249.43</v>
      </c>
      <c r="E23" s="88">
        <f>IFERROR(_xlfn.XLOOKUP($A23,CFR20252026_BenchMarkDataReport!$B:$B,CFR20252026_BenchMarkDataReport!T:T),0)</f>
        <v>0</v>
      </c>
      <c r="F23" s="88">
        <f>IFERROR(_xlfn.XLOOKUP($A23,CFR20252026_BenchMarkDataReport!$B:$B,CFR20252026_BenchMarkDataReport!U:U),0)</f>
        <v>171027.74</v>
      </c>
      <c r="G23" s="88">
        <f>IFERROR(_xlfn.XLOOKUP($A23,CFR20252026_BenchMarkDataReport!$B:$B,CFR20252026_BenchMarkDataReport!V:V),0)</f>
        <v>0</v>
      </c>
      <c r="H23" s="88">
        <f>IFERROR(_xlfn.XLOOKUP($A23,CFR20252026_BenchMarkDataReport!$B:$B,CFR20252026_BenchMarkDataReport!W:W),0)</f>
        <v>66770</v>
      </c>
      <c r="I23" s="88">
        <f>IFERROR(_xlfn.XLOOKUP($A23,CFR20252026_BenchMarkDataReport!$B:$B,CFR20252026_BenchMarkDataReport!X:X),0)</f>
        <v>45722.81</v>
      </c>
      <c r="J23" s="88">
        <f>IFERROR(_xlfn.XLOOKUP($A23,CFR20252026_BenchMarkDataReport!$B:$B,CFR20252026_BenchMarkDataReport!Y:Y),0)</f>
        <v>53439.81</v>
      </c>
      <c r="K23" s="88">
        <f>IFERROR(_xlfn.XLOOKUP($A23,CFR20252026_BenchMarkDataReport!$B:$B,CFR20252026_BenchMarkDataReport!Z:Z),0)</f>
        <v>4253.41</v>
      </c>
      <c r="L23" s="88">
        <f>IFERROR(_xlfn.XLOOKUP($A23,CFR20252026_BenchMarkDataReport!$B:$B,CFR20252026_BenchMarkDataReport!AA:AA),0)</f>
        <v>62890.8</v>
      </c>
      <c r="M23" s="88">
        <f>IFERROR(_xlfn.XLOOKUP($A23,CFR20252026_BenchMarkDataReport!$B:$B,CFR20252026_BenchMarkDataReport!AB:AB),0)</f>
        <v>204.6</v>
      </c>
      <c r="N23" s="88">
        <f>IFERROR(_xlfn.XLOOKUP($A23,CFR20252026_BenchMarkDataReport!$B:$B,CFR20252026_BenchMarkDataReport!AC:AC),0)</f>
        <v>0</v>
      </c>
      <c r="O23" s="88">
        <f>IFERROR(_xlfn.XLOOKUP($A23,CFR20252026_BenchMarkDataReport!$B:$B,CFR20252026_BenchMarkDataReport!AD:AD),0)</f>
        <v>88510</v>
      </c>
      <c r="P23" s="88">
        <f>IFERROR(_xlfn.XLOOKUP($A23,CFR20252026_BenchMarkDataReport!$B:$B,CFR20252026_BenchMarkDataReport!AE:AE),0)</f>
        <v>23026.14</v>
      </c>
      <c r="Q23" s="88">
        <f>IFERROR(_xlfn.XLOOKUP($A23,CFR20252026_BenchMarkDataReport!$B:$B,CFR20252026_BenchMarkDataReport!AF:AF),0)</f>
        <v>14637.19</v>
      </c>
      <c r="R23" s="88">
        <f>IFERROR(_xlfn.XLOOKUP($A23,CFR20252026_BenchMarkDataReport!$B:$B,CFR20252026_BenchMarkDataReport!AG:AG),0)</f>
        <v>0</v>
      </c>
      <c r="S23" s="88">
        <f>IFERROR(_xlfn.XLOOKUP($A23,CFR20252026_BenchMarkDataReport!$B:$B,CFR20252026_BenchMarkDataReport!AH:AH),0)</f>
        <v>0</v>
      </c>
      <c r="T23" s="88">
        <f>IFERROR(_xlfn.XLOOKUP($A23,CFR20252026_BenchMarkDataReport!$B:$B,CFR20252026_BenchMarkDataReport!AI:AI),0)</f>
        <v>0</v>
      </c>
      <c r="U23" s="88">
        <f>IFERROR(_xlfn.XLOOKUP($A23,CFR20252026_BenchMarkDataReport!$B:$B,CFR20252026_BenchMarkDataReport!AJ:AJ),0)</f>
        <v>746194.94</v>
      </c>
      <c r="V23" s="88">
        <f>IFERROR(_xlfn.XLOOKUP($A23,CFR20252026_BenchMarkDataReport!$B:$B,CFR20252026_BenchMarkDataReport!AK:AK),0)</f>
        <v>0</v>
      </c>
      <c r="W23" s="88">
        <f>IFERROR(_xlfn.XLOOKUP($A23,CFR20252026_BenchMarkDataReport!$B:$B,CFR20252026_BenchMarkDataReport!AL:AL),0)</f>
        <v>264526.71000000002</v>
      </c>
      <c r="X23" s="88">
        <f>IFERROR(_xlfn.XLOOKUP($A23,CFR20252026_BenchMarkDataReport!$B:$B,CFR20252026_BenchMarkDataReport!AM:AM),0)</f>
        <v>28690.03</v>
      </c>
      <c r="Y23" s="88">
        <f>IFERROR(_xlfn.XLOOKUP($A23,CFR20252026_BenchMarkDataReport!$B:$B,CFR20252026_BenchMarkDataReport!AN:AN),0)</f>
        <v>70672.070000000007</v>
      </c>
      <c r="Z23" s="88">
        <f>IFERROR(_xlfn.XLOOKUP($A23,CFR20252026_BenchMarkDataReport!$B:$B,CFR20252026_BenchMarkDataReport!AO:AO),0)</f>
        <v>0</v>
      </c>
      <c r="AA23" s="88">
        <f>IFERROR(_xlfn.XLOOKUP($A23,CFR20252026_BenchMarkDataReport!$B:$B,CFR20252026_BenchMarkDataReport!AP:AP),0)</f>
        <v>90887.62</v>
      </c>
      <c r="AB23" s="88">
        <f>IFERROR(_xlfn.XLOOKUP($A23,CFR20252026_BenchMarkDataReport!$B:$B,CFR20252026_BenchMarkDataReport!AQ:AQ),0)</f>
        <v>12222.39</v>
      </c>
      <c r="AC23" s="88">
        <f>IFERROR(_xlfn.XLOOKUP($A23,CFR20252026_BenchMarkDataReport!$B:$B,CFR20252026_BenchMarkDataReport!AR:AR),0)</f>
        <v>2579.96</v>
      </c>
      <c r="AD23" s="88">
        <f>IFERROR(_xlfn.XLOOKUP($A23,CFR20252026_BenchMarkDataReport!$B:$B,CFR20252026_BenchMarkDataReport!AS:AS),0)</f>
        <v>348.84</v>
      </c>
      <c r="AE23" s="88">
        <f>IFERROR(_xlfn.XLOOKUP($A23,CFR20252026_BenchMarkDataReport!$B:$B,CFR20252026_BenchMarkDataReport!AT:AT),0)</f>
        <v>0</v>
      </c>
      <c r="AF23" s="88">
        <f>IFERROR(_xlfn.XLOOKUP($A23,CFR20252026_BenchMarkDataReport!$B:$B,CFR20252026_BenchMarkDataReport!AU:AU),0)</f>
        <v>118269.75999999999</v>
      </c>
      <c r="AG23" s="88">
        <f>IFERROR(_xlfn.XLOOKUP($A23,CFR20252026_BenchMarkDataReport!$B:$B,CFR20252026_BenchMarkDataReport!AV:AV),0)</f>
        <v>4345.25</v>
      </c>
      <c r="AH23" s="88">
        <f>IFERROR(_xlfn.XLOOKUP($A23,CFR20252026_BenchMarkDataReport!$B:$B,CFR20252026_BenchMarkDataReport!AW:AW),0)</f>
        <v>30558.19</v>
      </c>
      <c r="AI23" s="88">
        <f>IFERROR(_xlfn.XLOOKUP($A23,CFR20252026_BenchMarkDataReport!$B:$B,CFR20252026_BenchMarkDataReport!AX:AX),0)</f>
        <v>3137.47</v>
      </c>
      <c r="AJ23" s="88">
        <f>IFERROR(_xlfn.XLOOKUP($A23,CFR20252026_BenchMarkDataReport!$B:$B,CFR20252026_BenchMarkDataReport!AY:AY),0)</f>
        <v>30309.42</v>
      </c>
      <c r="AK23" s="88">
        <f>IFERROR(_xlfn.XLOOKUP($A23,CFR20252026_BenchMarkDataReport!$B:$B,CFR20252026_BenchMarkDataReport!AZ:AZ),0)</f>
        <v>26506.27</v>
      </c>
      <c r="AL23" s="88">
        <f>IFERROR(_xlfn.XLOOKUP($A23,CFR20252026_BenchMarkDataReport!$B:$B,CFR20252026_BenchMarkDataReport!BA:BA),0)</f>
        <v>55398.34</v>
      </c>
      <c r="AM23" s="88">
        <f>IFERROR(_xlfn.XLOOKUP($A23,CFR20252026_BenchMarkDataReport!$B:$B,CFR20252026_BenchMarkDataReport!BB:BB),0)</f>
        <v>60114.62</v>
      </c>
      <c r="AN23" s="88">
        <f>IFERROR(_xlfn.XLOOKUP($A23,CFR20252026_BenchMarkDataReport!$B:$B,CFR20252026_BenchMarkDataReport!BC:BC),0)</f>
        <v>7175.31</v>
      </c>
      <c r="AO23" s="88">
        <f>IFERROR(_xlfn.XLOOKUP($A23,CFR20252026_BenchMarkDataReport!$B:$B,CFR20252026_BenchMarkDataReport!BD:BD),0)</f>
        <v>0</v>
      </c>
      <c r="AP23" s="88">
        <f>IFERROR(_xlfn.XLOOKUP($A23,CFR20252026_BenchMarkDataReport!$B:$B,CFR20252026_BenchMarkDataReport!BE:BE),0)</f>
        <v>6415.9</v>
      </c>
      <c r="AQ23" s="88">
        <f>IFERROR(_xlfn.XLOOKUP($A23,CFR20252026_BenchMarkDataReport!$B:$B,CFR20252026_BenchMarkDataReport!BF:BF),0)</f>
        <v>12145.83</v>
      </c>
      <c r="AR23" s="88">
        <f>IFERROR(_xlfn.XLOOKUP($A23,CFR20252026_BenchMarkDataReport!$B:$B,CFR20252026_BenchMarkDataReport!BG:BG),0)</f>
        <v>634.14</v>
      </c>
      <c r="AS23" s="88">
        <f>IFERROR(_xlfn.XLOOKUP($A23,CFR20252026_BenchMarkDataReport!$B:$B,CFR20252026_BenchMarkDataReport!BH:BH),0)</f>
        <v>31.24</v>
      </c>
      <c r="AT23" s="88">
        <f>IFERROR(_xlfn.XLOOKUP($A23,CFR20252026_BenchMarkDataReport!$B:$B,CFR20252026_BenchMarkDataReport!BI:BI),0)</f>
        <v>8168.77</v>
      </c>
      <c r="AU23" s="88">
        <f>IFERROR(_xlfn.XLOOKUP($A23,CFR20252026_BenchMarkDataReport!$B:$B,CFR20252026_BenchMarkDataReport!BJ:BJ),0)</f>
        <v>0</v>
      </c>
      <c r="AV23" s="88">
        <f>IFERROR(_xlfn.XLOOKUP($A23,CFR20252026_BenchMarkDataReport!$B:$B,CFR20252026_BenchMarkDataReport!BK:BK),0)</f>
        <v>1551.03</v>
      </c>
      <c r="AW23" s="88">
        <f>IFERROR(_xlfn.XLOOKUP($A23,CFR20252026_BenchMarkDataReport!$B:$B,CFR20252026_BenchMarkDataReport!BL:BL),0)</f>
        <v>11897.14</v>
      </c>
      <c r="AX23" s="88">
        <f>IFERROR(_xlfn.XLOOKUP($A23,CFR20252026_BenchMarkDataReport!$B:$B,CFR20252026_BenchMarkDataReport!BM:BM),0)</f>
        <v>27844.44</v>
      </c>
      <c r="AY23" s="88">
        <f>IFERROR(_xlfn.XLOOKUP($A23,CFR20252026_BenchMarkDataReport!$B:$B,CFR20252026_BenchMarkDataReport!BN:BN),0)</f>
        <v>70595.95</v>
      </c>
      <c r="AZ23" s="88">
        <f>IFERROR(_xlfn.XLOOKUP($A23,CFR20252026_BenchMarkDataReport!$B:$B,CFR20252026_BenchMarkDataReport!BO:BO),0)</f>
        <v>11354.32</v>
      </c>
      <c r="BA23" s="88">
        <f>IFERROR(_xlfn.XLOOKUP($A23,CFR20252026_BenchMarkDataReport!$B:$B,CFR20252026_BenchMarkDataReport!BP:BP),0)</f>
        <v>143408.44</v>
      </c>
      <c r="BB23" s="88">
        <f>IFERROR(_xlfn.XLOOKUP($A23,CFR20252026_BenchMarkDataReport!$B:$B,CFR20252026_BenchMarkDataReport!BQ:BQ),0)</f>
        <v>22033.54</v>
      </c>
      <c r="BC23" s="88">
        <f>IFERROR(_xlfn.XLOOKUP($A23,CFR20252026_BenchMarkDataReport!$B:$B,CFR20252026_BenchMarkDataReport!BR:BR),0)</f>
        <v>0</v>
      </c>
      <c r="BD23" s="88">
        <f>IFERROR(_xlfn.XLOOKUP($A23,CFR20252026_BenchMarkDataReport!$B:$B,CFR20252026_BenchMarkDataReport!BS:BS),0)</f>
        <v>0</v>
      </c>
      <c r="BE23" s="88">
        <f>IFERROR(_xlfn.XLOOKUP($A23,CFR20252026_BenchMarkDataReport!$B:$B,CFR20252026_BenchMarkDataReport!BT:BT),0)</f>
        <v>0</v>
      </c>
      <c r="BF23" s="88">
        <f>IFERROR(_xlfn.XLOOKUP($A23,CFR20252026_BenchMarkDataReport!$B:$B,CFR20252026_BenchMarkDataReport!BU:BU),0)</f>
        <v>0</v>
      </c>
      <c r="BG23" s="88">
        <f>IFERROR(_xlfn.XLOOKUP($A23,CFR20252026_BenchMarkDataReport!$B:$B,CFR20252026_BenchMarkDataReport!BV:BV),0)</f>
        <v>0</v>
      </c>
      <c r="BH23" s="89">
        <f t="shared" si="0"/>
        <v>1782731.93</v>
      </c>
      <c r="BI23" s="90">
        <f>SUM(U23:BE23)</f>
        <v>1868017.93</v>
      </c>
      <c r="BJ23" s="124">
        <f t="shared" si="86"/>
        <v>-85286</v>
      </c>
      <c r="BK23" s="88">
        <f>IFERROR(_xlfn.XLOOKUP(A23,CFR20252026_BenchMarkDataReport!$B:$B,CFR20252026_BenchMarkDataReport!P:P)+_xlfn.XLOOKUP(A23,CFR20252026_BenchMarkDataReport!$B:$B,CFR20252026_BenchMarkDataReport!Q:Q),0)</f>
        <v>-246468</v>
      </c>
      <c r="BL23" s="89">
        <f t="shared" si="1"/>
        <v>-331754</v>
      </c>
      <c r="BM23" s="91">
        <f>SUMIFS(PP!I:I,PP!E:E,A23)</f>
        <v>204</v>
      </c>
      <c r="BN23" s="90">
        <f t="shared" si="21"/>
        <v>1423277.17</v>
      </c>
      <c r="BO23" t="s">
        <v>173</v>
      </c>
      <c r="BP23" s="92">
        <f t="shared" si="22"/>
        <v>0.70243282735167034</v>
      </c>
      <c r="BQ23" s="93">
        <f t="shared" si="23"/>
        <v>6138.4775980392151</v>
      </c>
      <c r="BR23" s="94">
        <f t="shared" si="24"/>
        <v>0</v>
      </c>
      <c r="BS23" s="95">
        <f t="shared" si="25"/>
        <v>0</v>
      </c>
      <c r="BT23" s="92">
        <f t="shared" si="26"/>
        <v>9.5935758552324807E-2</v>
      </c>
      <c r="BU23" s="93">
        <f t="shared" si="27"/>
        <v>838.37127450980392</v>
      </c>
      <c r="BV23" s="94">
        <f t="shared" si="28"/>
        <v>0</v>
      </c>
      <c r="BW23" s="95">
        <f t="shared" si="29"/>
        <v>0</v>
      </c>
      <c r="BX23" s="92">
        <f t="shared" si="30"/>
        <v>3.745375223071256E-2</v>
      </c>
      <c r="BY23" s="93">
        <f t="shared" si="31"/>
        <v>327.30392156862746</v>
      </c>
      <c r="BZ23" s="94">
        <f t="shared" si="32"/>
        <v>2.5647608162826813E-2</v>
      </c>
      <c r="CA23" s="95">
        <f t="shared" si="33"/>
        <v>224.13142156862745</v>
      </c>
      <c r="CB23" s="92">
        <f t="shared" si="34"/>
        <v>2.9976357690525014E-2</v>
      </c>
      <c r="CC23" s="93">
        <f t="shared" si="35"/>
        <v>261.95985294117645</v>
      </c>
      <c r="CD23" s="94">
        <f t="shared" si="36"/>
        <v>3.7663660402380297E-2</v>
      </c>
      <c r="CE23" s="96">
        <f t="shared" si="37"/>
        <v>329.13828431372553</v>
      </c>
      <c r="CF23" s="97">
        <f t="shared" si="38"/>
        <v>1.2916210010329483E-2</v>
      </c>
      <c r="CG23" s="98">
        <f t="shared" si="39"/>
        <v>112.87323529411765</v>
      </c>
      <c r="CH23" s="94">
        <f t="shared" si="40"/>
        <v>8.2105389787908278E-3</v>
      </c>
      <c r="CI23" s="95">
        <f t="shared" si="41"/>
        <v>71.750931372549019</v>
      </c>
      <c r="CJ23" s="99">
        <f t="shared" si="42"/>
        <v>0.53225701638985745</v>
      </c>
      <c r="CK23" s="97">
        <f t="shared" si="43"/>
        <v>0.42493728151265003</v>
      </c>
      <c r="CL23" s="97">
        <f t="shared" si="44"/>
        <v>0.40553639653769274</v>
      </c>
      <c r="CM23" s="98">
        <f t="shared" si="45"/>
        <v>3713.476764705882</v>
      </c>
      <c r="CN23" s="94">
        <f t="shared" si="46"/>
        <v>0.18585748129438487</v>
      </c>
      <c r="CO23" s="100">
        <f t="shared" si="47"/>
        <v>0.14838277452067627</v>
      </c>
      <c r="CP23" s="100">
        <f t="shared" si="48"/>
        <v>0.14160822856769903</v>
      </c>
      <c r="CQ23" s="101">
        <f t="shared" si="49"/>
        <v>1296.6995588235295</v>
      </c>
      <c r="CR23" s="99">
        <f t="shared" si="50"/>
        <v>2.0157725146395765E-2</v>
      </c>
      <c r="CS23" s="97">
        <f t="shared" si="51"/>
        <v>1.6093294520169391E-2</v>
      </c>
      <c r="CT23" s="97">
        <f t="shared" si="52"/>
        <v>1.5358541017858432E-2</v>
      </c>
      <c r="CU23" s="98">
        <f t="shared" si="53"/>
        <v>140.6374019607843</v>
      </c>
      <c r="CV23" s="94">
        <f t="shared" si="54"/>
        <v>4.9654467513168932E-2</v>
      </c>
      <c r="CW23" s="100">
        <f t="shared" si="55"/>
        <v>3.9642567012304543E-2</v>
      </c>
      <c r="CX23" s="100">
        <f t="shared" si="56"/>
        <v>3.783265078189052E-2</v>
      </c>
      <c r="CY23" s="95">
        <f t="shared" si="57"/>
        <v>346.43171568627457</v>
      </c>
      <c r="CZ23" s="99">
        <f t="shared" si="58"/>
        <v>0.84380709205080562</v>
      </c>
      <c r="DA23" s="97">
        <f t="shared" si="59"/>
        <v>0.67366907485636396</v>
      </c>
      <c r="DB23" s="97">
        <f t="shared" si="60"/>
        <v>0.64291212129853603</v>
      </c>
      <c r="DC23" s="98">
        <f t="shared" si="61"/>
        <v>5887.1145588235304</v>
      </c>
      <c r="DD23" s="94">
        <f t="shared" si="62"/>
        <v>8.3096787114206289E-2</v>
      </c>
      <c r="DE23" s="100">
        <f t="shared" si="63"/>
        <v>6.3312968307536535E-2</v>
      </c>
      <c r="DF23" s="95">
        <f t="shared" si="64"/>
        <v>579.75372549019608</v>
      </c>
      <c r="DG23" s="99">
        <f t="shared" si="65"/>
        <v>1.6795716730620459E-3</v>
      </c>
      <c r="DH23" s="98">
        <f t="shared" si="66"/>
        <v>15.379754901960784</v>
      </c>
      <c r="DI23" s="94">
        <f t="shared" si="67"/>
        <v>2.1295514773134454E-2</v>
      </c>
      <c r="DJ23" s="100">
        <f t="shared" si="68"/>
        <v>1.6225443831794483E-2</v>
      </c>
      <c r="DK23" s="95">
        <f t="shared" si="69"/>
        <v>148.57558823529411</v>
      </c>
      <c r="DL23" s="99">
        <f t="shared" si="70"/>
        <v>3.8923086217985216E-2</v>
      </c>
      <c r="DM23" s="97">
        <f t="shared" si="71"/>
        <v>2.9656214274131724E-2</v>
      </c>
      <c r="DN23" s="102">
        <f t="shared" si="72"/>
        <v>271.56049019607843</v>
      </c>
      <c r="DO23" s="94">
        <f t="shared" si="73"/>
        <v>4.2236762639844778E-2</v>
      </c>
      <c r="DP23" s="100">
        <f t="shared" si="74"/>
        <v>3.3720504461935565E-2</v>
      </c>
      <c r="DQ23" s="100">
        <f t="shared" si="75"/>
        <v>3.2180965200906825E-2</v>
      </c>
      <c r="DR23" s="95">
        <f t="shared" si="76"/>
        <v>294.67950980392158</v>
      </c>
      <c r="DS23" s="99">
        <f t="shared" si="77"/>
        <v>1.0897596284777055E-3</v>
      </c>
      <c r="DT23" s="97">
        <f t="shared" si="78"/>
        <v>8.3030787611337333E-4</v>
      </c>
      <c r="DU23" s="98">
        <f t="shared" si="87"/>
        <v>7.6030882352941171</v>
      </c>
      <c r="DV23" s="94">
        <f t="shared" si="79"/>
        <v>0.10075932012595973</v>
      </c>
      <c r="DW23" s="100">
        <f t="shared" si="80"/>
        <v>7.6770376609821944E-2</v>
      </c>
      <c r="DX23" s="95">
        <f t="shared" si="81"/>
        <v>702.98254901960786</v>
      </c>
      <c r="DY23" s="99">
        <f t="shared" si="82"/>
        <v>3.7791901708352449E-2</v>
      </c>
      <c r="DZ23" s="98">
        <f t="shared" si="83"/>
        <v>346.05857843137255</v>
      </c>
      <c r="EA23" s="94">
        <f t="shared" si="14"/>
        <v>1.6358617071732282E-2</v>
      </c>
      <c r="EB23" s="95">
        <f t="shared" si="84"/>
        <v>149.79504901960783</v>
      </c>
      <c r="EC23" s="103">
        <f>IFERROR(VLOOKUP(A23,PP!$E$3:$S$130,14,0),0)</f>
        <v>37</v>
      </c>
    </row>
    <row r="24" spans="1:133">
      <c r="A24" s="121">
        <v>2014</v>
      </c>
      <c r="B24" s="122">
        <v>10054</v>
      </c>
      <c r="C24" s="121" t="s">
        <v>47</v>
      </c>
      <c r="D24" s="88">
        <f>IFERROR(_xlfn.XLOOKUP($A24,CFR20252026_BenchMarkDataReport!$B:$B,CFR20252026_BenchMarkDataReport!S:S),0)</f>
        <v>4373421.97</v>
      </c>
      <c r="E24" s="88">
        <f>IFERROR(_xlfn.XLOOKUP($A24,CFR20252026_BenchMarkDataReport!$B:$B,CFR20252026_BenchMarkDataReport!T:T),0)</f>
        <v>0</v>
      </c>
      <c r="F24" s="88">
        <f>IFERROR(_xlfn.XLOOKUP($A24,CFR20252026_BenchMarkDataReport!$B:$B,CFR20252026_BenchMarkDataReport!U:U),0)</f>
        <v>458547.5</v>
      </c>
      <c r="G24" s="88">
        <f>IFERROR(_xlfn.XLOOKUP($A24,CFR20252026_BenchMarkDataReport!$B:$B,CFR20252026_BenchMarkDataReport!V:V),0)</f>
        <v>0</v>
      </c>
      <c r="H24" s="88">
        <f>IFERROR(_xlfn.XLOOKUP($A24,CFR20252026_BenchMarkDataReport!$B:$B,CFR20252026_BenchMarkDataReport!W:W),0)</f>
        <v>271270</v>
      </c>
      <c r="I24" s="88">
        <f>IFERROR(_xlfn.XLOOKUP($A24,CFR20252026_BenchMarkDataReport!$B:$B,CFR20252026_BenchMarkDataReport!X:X),0)</f>
        <v>137566.18</v>
      </c>
      <c r="J24" s="88">
        <f>IFERROR(_xlfn.XLOOKUP($A24,CFR20252026_BenchMarkDataReport!$B:$B,CFR20252026_BenchMarkDataReport!Y:Y),0)</f>
        <v>120238.05</v>
      </c>
      <c r="K24" s="88">
        <f>IFERROR(_xlfn.XLOOKUP($A24,CFR20252026_BenchMarkDataReport!$B:$B,CFR20252026_BenchMarkDataReport!Z:Z),0)</f>
        <v>68846.06</v>
      </c>
      <c r="L24" s="88">
        <f>IFERROR(_xlfn.XLOOKUP($A24,CFR20252026_BenchMarkDataReport!$B:$B,CFR20252026_BenchMarkDataReport!AA:AA),0)</f>
        <v>25671.56</v>
      </c>
      <c r="M24" s="88">
        <f>IFERROR(_xlfn.XLOOKUP($A24,CFR20252026_BenchMarkDataReport!$B:$B,CFR20252026_BenchMarkDataReport!AB:AB),0)</f>
        <v>689.5</v>
      </c>
      <c r="N24" s="88">
        <f>IFERROR(_xlfn.XLOOKUP($A24,CFR20252026_BenchMarkDataReport!$B:$B,CFR20252026_BenchMarkDataReport!AC:AC),0)</f>
        <v>0</v>
      </c>
      <c r="O24" s="88">
        <f>IFERROR(_xlfn.XLOOKUP($A24,CFR20252026_BenchMarkDataReport!$B:$B,CFR20252026_BenchMarkDataReport!AD:AD),0)</f>
        <v>0</v>
      </c>
      <c r="P24" s="88">
        <f>IFERROR(_xlfn.XLOOKUP($A24,CFR20252026_BenchMarkDataReport!$B:$B,CFR20252026_BenchMarkDataReport!AE:AE),0)</f>
        <v>73266.86</v>
      </c>
      <c r="Q24" s="88">
        <f>IFERROR(_xlfn.XLOOKUP($A24,CFR20252026_BenchMarkDataReport!$B:$B,CFR20252026_BenchMarkDataReport!AF:AF),0)</f>
        <v>24229.07</v>
      </c>
      <c r="R24" s="88">
        <f>IFERROR(_xlfn.XLOOKUP($A24,CFR20252026_BenchMarkDataReport!$B:$B,CFR20252026_BenchMarkDataReport!AG:AG),0)</f>
        <v>0</v>
      </c>
      <c r="S24" s="88">
        <f>IFERROR(_xlfn.XLOOKUP($A24,CFR20252026_BenchMarkDataReport!$B:$B,CFR20252026_BenchMarkDataReport!AH:AH),0)</f>
        <v>0</v>
      </c>
      <c r="T24" s="88">
        <f>IFERROR(_xlfn.XLOOKUP($A24,CFR20252026_BenchMarkDataReport!$B:$B,CFR20252026_BenchMarkDataReport!AI:AI),0)</f>
        <v>0</v>
      </c>
      <c r="U24" s="88">
        <f>IFERROR(_xlfn.XLOOKUP($A24,CFR20252026_BenchMarkDataReport!$B:$B,CFR20252026_BenchMarkDataReport!AJ:AJ),0)</f>
        <v>2275934.7799999998</v>
      </c>
      <c r="V24" s="88">
        <f>IFERROR(_xlfn.XLOOKUP($A24,CFR20252026_BenchMarkDataReport!$B:$B,CFR20252026_BenchMarkDataReport!AK:AK),0)</f>
        <v>0</v>
      </c>
      <c r="W24" s="88">
        <f>IFERROR(_xlfn.XLOOKUP($A24,CFR20252026_BenchMarkDataReport!$B:$B,CFR20252026_BenchMarkDataReport!AL:AL),0)</f>
        <v>1147937.3999999999</v>
      </c>
      <c r="X24" s="88">
        <f>IFERROR(_xlfn.XLOOKUP($A24,CFR20252026_BenchMarkDataReport!$B:$B,CFR20252026_BenchMarkDataReport!AM:AM),0)</f>
        <v>176131.31</v>
      </c>
      <c r="Y24" s="88">
        <f>IFERROR(_xlfn.XLOOKUP($A24,CFR20252026_BenchMarkDataReport!$B:$B,CFR20252026_BenchMarkDataReport!AN:AN),0)</f>
        <v>186820.53</v>
      </c>
      <c r="Z24" s="88">
        <f>IFERROR(_xlfn.XLOOKUP($A24,CFR20252026_BenchMarkDataReport!$B:$B,CFR20252026_BenchMarkDataReport!AO:AO),0)</f>
        <v>0</v>
      </c>
      <c r="AA24" s="88">
        <f>IFERROR(_xlfn.XLOOKUP($A24,CFR20252026_BenchMarkDataReport!$B:$B,CFR20252026_BenchMarkDataReport!AP:AP),0)</f>
        <v>136142.45000000001</v>
      </c>
      <c r="AB24" s="88">
        <f>IFERROR(_xlfn.XLOOKUP($A24,CFR20252026_BenchMarkDataReport!$B:$B,CFR20252026_BenchMarkDataReport!AQ:AQ),0)</f>
        <v>26036.61</v>
      </c>
      <c r="AC24" s="88">
        <f>IFERROR(_xlfn.XLOOKUP($A24,CFR20252026_BenchMarkDataReport!$B:$B,CFR20252026_BenchMarkDataReport!AR:AR),0)</f>
        <v>6472.41</v>
      </c>
      <c r="AD24" s="88">
        <f>IFERROR(_xlfn.XLOOKUP($A24,CFR20252026_BenchMarkDataReport!$B:$B,CFR20252026_BenchMarkDataReport!AS:AS),0)</f>
        <v>1079.01</v>
      </c>
      <c r="AE24" s="88">
        <f>IFERROR(_xlfn.XLOOKUP($A24,CFR20252026_BenchMarkDataReport!$B:$B,CFR20252026_BenchMarkDataReport!AT:AT),0)</f>
        <v>0</v>
      </c>
      <c r="AF24" s="88">
        <f>IFERROR(_xlfn.XLOOKUP($A24,CFR20252026_BenchMarkDataReport!$B:$B,CFR20252026_BenchMarkDataReport!AU:AU),0)</f>
        <v>183323.31</v>
      </c>
      <c r="AG24" s="88">
        <f>IFERROR(_xlfn.XLOOKUP($A24,CFR20252026_BenchMarkDataReport!$B:$B,CFR20252026_BenchMarkDataReport!AV:AV),0)</f>
        <v>10706.23</v>
      </c>
      <c r="AH24" s="88">
        <f>IFERROR(_xlfn.XLOOKUP($A24,CFR20252026_BenchMarkDataReport!$B:$B,CFR20252026_BenchMarkDataReport!AW:AW),0)</f>
        <v>20878.25</v>
      </c>
      <c r="AI24" s="88">
        <f>IFERROR(_xlfn.XLOOKUP($A24,CFR20252026_BenchMarkDataReport!$B:$B,CFR20252026_BenchMarkDataReport!AX:AX),0)</f>
        <v>22850.05</v>
      </c>
      <c r="AJ24" s="88">
        <f>IFERROR(_xlfn.XLOOKUP($A24,CFR20252026_BenchMarkDataReport!$B:$B,CFR20252026_BenchMarkDataReport!AY:AY),0)</f>
        <v>140787.29</v>
      </c>
      <c r="AK24" s="88">
        <f>IFERROR(_xlfn.XLOOKUP($A24,CFR20252026_BenchMarkDataReport!$B:$B,CFR20252026_BenchMarkDataReport!AZ:AZ),0)</f>
        <v>153667.43</v>
      </c>
      <c r="AL24" s="88">
        <f>IFERROR(_xlfn.XLOOKUP($A24,CFR20252026_BenchMarkDataReport!$B:$B,CFR20252026_BenchMarkDataReport!BA:BA),0)</f>
        <v>54851.81</v>
      </c>
      <c r="AM24" s="88">
        <f>IFERROR(_xlfn.XLOOKUP($A24,CFR20252026_BenchMarkDataReport!$B:$B,CFR20252026_BenchMarkDataReport!BB:BB),0)</f>
        <v>95194.07</v>
      </c>
      <c r="AN24" s="88">
        <f>IFERROR(_xlfn.XLOOKUP($A24,CFR20252026_BenchMarkDataReport!$B:$B,CFR20252026_BenchMarkDataReport!BC:BC),0)</f>
        <v>18007.64</v>
      </c>
      <c r="AO24" s="88">
        <f>IFERROR(_xlfn.XLOOKUP($A24,CFR20252026_BenchMarkDataReport!$B:$B,CFR20252026_BenchMarkDataReport!BD:BD),0)</f>
        <v>0</v>
      </c>
      <c r="AP24" s="88">
        <f>IFERROR(_xlfn.XLOOKUP($A24,CFR20252026_BenchMarkDataReport!$B:$B,CFR20252026_BenchMarkDataReport!BE:BE),0)</f>
        <v>9323.86</v>
      </c>
      <c r="AQ24" s="88">
        <f>IFERROR(_xlfn.XLOOKUP($A24,CFR20252026_BenchMarkDataReport!$B:$B,CFR20252026_BenchMarkDataReport!BF:BF),0)</f>
        <v>15679.28</v>
      </c>
      <c r="AR24" s="88">
        <f>IFERROR(_xlfn.XLOOKUP($A24,CFR20252026_BenchMarkDataReport!$B:$B,CFR20252026_BenchMarkDataReport!BG:BG),0)</f>
        <v>2264.5</v>
      </c>
      <c r="AS24" s="88">
        <f>IFERROR(_xlfn.XLOOKUP($A24,CFR20252026_BenchMarkDataReport!$B:$B,CFR20252026_BenchMarkDataReport!BH:BH),0)</f>
        <v>865.09</v>
      </c>
      <c r="AT24" s="88">
        <f>IFERROR(_xlfn.XLOOKUP($A24,CFR20252026_BenchMarkDataReport!$B:$B,CFR20252026_BenchMarkDataReport!BI:BI),0)</f>
        <v>24465.200000000001</v>
      </c>
      <c r="AU24" s="88">
        <f>IFERROR(_xlfn.XLOOKUP($A24,CFR20252026_BenchMarkDataReport!$B:$B,CFR20252026_BenchMarkDataReport!BJ:BJ),0)</f>
        <v>0</v>
      </c>
      <c r="AV24" s="88">
        <f>IFERROR(_xlfn.XLOOKUP($A24,CFR20252026_BenchMarkDataReport!$B:$B,CFR20252026_BenchMarkDataReport!BK:BK),0)</f>
        <v>19322.64</v>
      </c>
      <c r="AW24" s="88">
        <f>IFERROR(_xlfn.XLOOKUP($A24,CFR20252026_BenchMarkDataReport!$B:$B,CFR20252026_BenchMarkDataReport!BL:BL),0)</f>
        <v>30244.560000000001</v>
      </c>
      <c r="AX24" s="88">
        <f>IFERROR(_xlfn.XLOOKUP($A24,CFR20252026_BenchMarkDataReport!$B:$B,CFR20252026_BenchMarkDataReport!BM:BM),0)</f>
        <v>33781.120000000003</v>
      </c>
      <c r="AY24" s="88">
        <f>IFERROR(_xlfn.XLOOKUP($A24,CFR20252026_BenchMarkDataReport!$B:$B,CFR20252026_BenchMarkDataReport!BN:BN),0)</f>
        <v>257773.16</v>
      </c>
      <c r="AZ24" s="88">
        <f>IFERROR(_xlfn.XLOOKUP($A24,CFR20252026_BenchMarkDataReport!$B:$B,CFR20252026_BenchMarkDataReport!BO:BO),0)</f>
        <v>20833.419999999998</v>
      </c>
      <c r="BA24" s="88">
        <f>IFERROR(_xlfn.XLOOKUP($A24,CFR20252026_BenchMarkDataReport!$B:$B,CFR20252026_BenchMarkDataReport!BP:BP),0)</f>
        <v>375267.6</v>
      </c>
      <c r="BB24" s="88">
        <f>IFERROR(_xlfn.XLOOKUP($A24,CFR20252026_BenchMarkDataReport!$B:$B,CFR20252026_BenchMarkDataReport!BQ:BQ),0)</f>
        <v>52404.959999999999</v>
      </c>
      <c r="BC24" s="88">
        <f>IFERROR(_xlfn.XLOOKUP($A24,CFR20252026_BenchMarkDataReport!$B:$B,CFR20252026_BenchMarkDataReport!BR:BR),0)</f>
        <v>1512</v>
      </c>
      <c r="BD24" s="88">
        <f>IFERROR(_xlfn.XLOOKUP($A24,CFR20252026_BenchMarkDataReport!$B:$B,CFR20252026_BenchMarkDataReport!BS:BS),0)</f>
        <v>0</v>
      </c>
      <c r="BE24" s="88">
        <f>IFERROR(_xlfn.XLOOKUP($A24,CFR20252026_BenchMarkDataReport!$B:$B,CFR20252026_BenchMarkDataReport!BT:BT),0)</f>
        <v>0</v>
      </c>
      <c r="BF24" s="88">
        <f>IFERROR(_xlfn.XLOOKUP($A24,CFR20252026_BenchMarkDataReport!$B:$B,CFR20252026_BenchMarkDataReport!BU:BU),0)</f>
        <v>0</v>
      </c>
      <c r="BG24" s="88">
        <f>IFERROR(_xlfn.XLOOKUP($A24,CFR20252026_BenchMarkDataReport!$B:$B,CFR20252026_BenchMarkDataReport!BV:BV),0)</f>
        <v>0</v>
      </c>
      <c r="BH24" s="89">
        <f t="shared" si="0"/>
        <v>5553746.7499999991</v>
      </c>
      <c r="BI24" s="90">
        <f t="shared" si="85"/>
        <v>5500557.9699999988</v>
      </c>
      <c r="BJ24" s="124">
        <f t="shared" si="86"/>
        <v>53188.780000000261</v>
      </c>
      <c r="BK24" s="88">
        <f>IFERROR(_xlfn.XLOOKUP(A24,CFR20252026_BenchMarkDataReport!$B:$B,CFR20252026_BenchMarkDataReport!P:P)+_xlfn.XLOOKUP(A24,CFR20252026_BenchMarkDataReport!$B:$B,CFR20252026_BenchMarkDataReport!Q:Q),0)</f>
        <v>-103583.78</v>
      </c>
      <c r="BL24" s="89">
        <f t="shared" si="1"/>
        <v>-50394.999999999738</v>
      </c>
      <c r="BM24" s="91">
        <f>SUMIFS(PP!I:I,PP!E:E,A24)</f>
        <v>631</v>
      </c>
      <c r="BN24" s="90">
        <f t="shared" si="21"/>
        <v>4831969.47</v>
      </c>
      <c r="BO24" t="s">
        <v>173</v>
      </c>
      <c r="BP24" s="92">
        <f t="shared" si="22"/>
        <v>0.78747234378305064</v>
      </c>
      <c r="BQ24" s="93">
        <f t="shared" si="23"/>
        <v>6930.9381458003163</v>
      </c>
      <c r="BR24" s="94">
        <f t="shared" si="24"/>
        <v>0</v>
      </c>
      <c r="BS24" s="95">
        <f t="shared" si="25"/>
        <v>0</v>
      </c>
      <c r="BT24" s="92">
        <f t="shared" si="26"/>
        <v>8.256543206619929E-2</v>
      </c>
      <c r="BU24" s="93">
        <f t="shared" si="27"/>
        <v>726.69968304278927</v>
      </c>
      <c r="BV24" s="94">
        <f t="shared" si="28"/>
        <v>0</v>
      </c>
      <c r="BW24" s="95">
        <f t="shared" si="29"/>
        <v>0</v>
      </c>
      <c r="BX24" s="92">
        <f t="shared" si="30"/>
        <v>4.8844503037521476E-2</v>
      </c>
      <c r="BY24" s="93">
        <f t="shared" si="31"/>
        <v>429.90491283676704</v>
      </c>
      <c r="BZ24" s="94">
        <f t="shared" si="32"/>
        <v>2.4769977133004852E-2</v>
      </c>
      <c r="CA24" s="95">
        <f t="shared" si="33"/>
        <v>218.01296354992076</v>
      </c>
      <c r="CB24" s="92">
        <f t="shared" si="34"/>
        <v>2.1649897882001917E-2</v>
      </c>
      <c r="CC24" s="93">
        <f t="shared" si="35"/>
        <v>190.55158478605389</v>
      </c>
      <c r="CD24" s="94">
        <f t="shared" si="36"/>
        <v>1.7018712637554102E-2</v>
      </c>
      <c r="CE24" s="96">
        <f t="shared" si="37"/>
        <v>149.79020602218699</v>
      </c>
      <c r="CF24" s="97">
        <f t="shared" si="38"/>
        <v>1.3192330024771118E-2</v>
      </c>
      <c r="CG24" s="98">
        <f t="shared" si="39"/>
        <v>116.11229793977813</v>
      </c>
      <c r="CH24" s="94">
        <f t="shared" si="40"/>
        <v>4.3626530143816879E-3</v>
      </c>
      <c r="CI24" s="95">
        <f t="shared" si="41"/>
        <v>38.397892234548337</v>
      </c>
      <c r="CJ24" s="99">
        <f t="shared" si="42"/>
        <v>0.47532754796151472</v>
      </c>
      <c r="CK24" s="97">
        <f t="shared" si="43"/>
        <v>0.41355292262831395</v>
      </c>
      <c r="CL24" s="97">
        <f t="shared" si="44"/>
        <v>0.41755185792542426</v>
      </c>
      <c r="CM24" s="98">
        <f t="shared" si="45"/>
        <v>3639.8862123613308</v>
      </c>
      <c r="CN24" s="94">
        <f t="shared" si="46"/>
        <v>0.23757132720459842</v>
      </c>
      <c r="CO24" s="100">
        <f t="shared" si="47"/>
        <v>0.20669602912664323</v>
      </c>
      <c r="CP24" s="100">
        <f t="shared" si="48"/>
        <v>0.20869471901956888</v>
      </c>
      <c r="CQ24" s="101">
        <f t="shared" si="49"/>
        <v>1819.2351822503961</v>
      </c>
      <c r="CR24" s="99">
        <f t="shared" si="50"/>
        <v>3.6451246452101446E-2</v>
      </c>
      <c r="CS24" s="97">
        <f t="shared" si="51"/>
        <v>3.1713961390119207E-2</v>
      </c>
      <c r="CT24" s="97">
        <f t="shared" si="52"/>
        <v>3.2020626082048191E-2</v>
      </c>
      <c r="CU24" s="98">
        <f t="shared" si="53"/>
        <v>279.13044374009507</v>
      </c>
      <c r="CV24" s="94">
        <f t="shared" si="54"/>
        <v>3.8663433442595825E-2</v>
      </c>
      <c r="CW24" s="100">
        <f t="shared" si="55"/>
        <v>3.3638647639091579E-2</v>
      </c>
      <c r="CX24" s="100">
        <f t="shared" si="56"/>
        <v>3.3963923481748169E-2</v>
      </c>
      <c r="CY24" s="95">
        <f t="shared" si="57"/>
        <v>296.07057052297938</v>
      </c>
      <c r="CZ24" s="99">
        <f t="shared" si="58"/>
        <v>0.81187732959744874</v>
      </c>
      <c r="DA24" s="97">
        <f t="shared" si="59"/>
        <v>0.70636394610539277</v>
      </c>
      <c r="DB24" s="97">
        <f t="shared" si="60"/>
        <v>0.71319427799794655</v>
      </c>
      <c r="DC24" s="98">
        <f t="shared" si="61"/>
        <v>6217.0625515055463</v>
      </c>
      <c r="DD24" s="94">
        <f t="shared" si="62"/>
        <v>3.7939666452404139E-2</v>
      </c>
      <c r="DE24" s="100">
        <f t="shared" si="63"/>
        <v>3.3328129800620943E-2</v>
      </c>
      <c r="DF24" s="95">
        <f t="shared" si="64"/>
        <v>290.52822503961966</v>
      </c>
      <c r="DG24" s="99">
        <f t="shared" si="65"/>
        <v>4.1541331124267753E-3</v>
      </c>
      <c r="DH24" s="98">
        <f t="shared" si="66"/>
        <v>36.212440570522979</v>
      </c>
      <c r="DI24" s="94">
        <f t="shared" si="67"/>
        <v>2.9136626560680653E-2</v>
      </c>
      <c r="DJ24" s="100">
        <f t="shared" si="68"/>
        <v>2.5595092492044044E-2</v>
      </c>
      <c r="DK24" s="95">
        <f t="shared" si="69"/>
        <v>223.11773375594296</v>
      </c>
      <c r="DL24" s="99">
        <f t="shared" si="70"/>
        <v>1.1351853595217355E-2</v>
      </c>
      <c r="DM24" s="97">
        <f t="shared" si="71"/>
        <v>9.9720447087661562E-3</v>
      </c>
      <c r="DN24" s="102">
        <f t="shared" si="72"/>
        <v>86.928383518225033</v>
      </c>
      <c r="DO24" s="94">
        <f t="shared" si="73"/>
        <v>1.9700883995858526E-2</v>
      </c>
      <c r="DP24" s="100">
        <f t="shared" si="74"/>
        <v>1.7140513294020839E-2</v>
      </c>
      <c r="DQ24" s="100">
        <f t="shared" si="75"/>
        <v>1.7306257023230687E-2</v>
      </c>
      <c r="DR24" s="95">
        <f t="shared" si="76"/>
        <v>150.86223454833598</v>
      </c>
      <c r="DS24" s="99">
        <f t="shared" si="77"/>
        <v>3.9989159948065648E-3</v>
      </c>
      <c r="DT24" s="97">
        <f t="shared" si="78"/>
        <v>3.5128508971972536E-3</v>
      </c>
      <c r="DU24" s="98">
        <f t="shared" si="87"/>
        <v>30.622250396196513</v>
      </c>
      <c r="DV24" s="94">
        <f t="shared" si="79"/>
        <v>7.7663487389542638E-2</v>
      </c>
      <c r="DW24" s="100">
        <f t="shared" si="80"/>
        <v>6.8223551509993458E-2</v>
      </c>
      <c r="DX24" s="95">
        <f t="shared" si="81"/>
        <v>594.71885895404114</v>
      </c>
      <c r="DY24" s="99">
        <f t="shared" si="82"/>
        <v>4.6863093054539715E-2</v>
      </c>
      <c r="DZ24" s="98">
        <f t="shared" si="83"/>
        <v>408.51530903328052</v>
      </c>
      <c r="EA24" s="94">
        <f t="shared" si="14"/>
        <v>3.7956603882496678E-3</v>
      </c>
      <c r="EB24" s="95">
        <f t="shared" si="84"/>
        <v>33.087559429477018</v>
      </c>
      <c r="EC24" s="103">
        <f>IFERROR(VLOOKUP(A24,PP!$E$3:$S$130,14,0),0)</f>
        <v>176</v>
      </c>
    </row>
    <row r="25" spans="1:133">
      <c r="A25" s="121">
        <v>2015</v>
      </c>
      <c r="B25" s="122">
        <v>10055</v>
      </c>
      <c r="C25" s="121" t="s">
        <v>48</v>
      </c>
      <c r="D25" s="88">
        <f>IFERROR(_xlfn.XLOOKUP($A25,CFR20252026_BenchMarkDataReport!$B:$B,CFR20252026_BenchMarkDataReport!S:S),0)</f>
        <v>1579649.43</v>
      </c>
      <c r="E25" s="88">
        <f>IFERROR(_xlfn.XLOOKUP($A25,CFR20252026_BenchMarkDataReport!$B:$B,CFR20252026_BenchMarkDataReport!T:T),0)</f>
        <v>0</v>
      </c>
      <c r="F25" s="88">
        <f>IFERROR(_xlfn.XLOOKUP($A25,CFR20252026_BenchMarkDataReport!$B:$B,CFR20252026_BenchMarkDataReport!U:U),0)</f>
        <v>366088.4</v>
      </c>
      <c r="G25" s="88">
        <f>IFERROR(_xlfn.XLOOKUP($A25,CFR20252026_BenchMarkDataReport!$B:$B,CFR20252026_BenchMarkDataReport!V:V),0)</f>
        <v>0</v>
      </c>
      <c r="H25" s="88">
        <f>IFERROR(_xlfn.XLOOKUP($A25,CFR20252026_BenchMarkDataReport!$B:$B,CFR20252026_BenchMarkDataReport!W:W),0)</f>
        <v>113225</v>
      </c>
      <c r="I25" s="88">
        <f>IFERROR(_xlfn.XLOOKUP($A25,CFR20252026_BenchMarkDataReport!$B:$B,CFR20252026_BenchMarkDataReport!X:X),0)</f>
        <v>18150.75</v>
      </c>
      <c r="J25" s="88">
        <f>IFERROR(_xlfn.XLOOKUP($A25,CFR20252026_BenchMarkDataReport!$B:$B,CFR20252026_BenchMarkDataReport!Y:Y),0)</f>
        <v>50141.97</v>
      </c>
      <c r="K25" s="88">
        <f>IFERROR(_xlfn.XLOOKUP($A25,CFR20252026_BenchMarkDataReport!$B:$B,CFR20252026_BenchMarkDataReport!Z:Z),0)</f>
        <v>3645.44</v>
      </c>
      <c r="L25" s="88">
        <f>IFERROR(_xlfn.XLOOKUP($A25,CFR20252026_BenchMarkDataReport!$B:$B,CFR20252026_BenchMarkDataReport!AA:AA),0)</f>
        <v>3994.18</v>
      </c>
      <c r="M25" s="88">
        <f>IFERROR(_xlfn.XLOOKUP($A25,CFR20252026_BenchMarkDataReport!$B:$B,CFR20252026_BenchMarkDataReport!AB:AB),0)</f>
        <v>4919.8599999999997</v>
      </c>
      <c r="N25" s="88">
        <f>IFERROR(_xlfn.XLOOKUP($A25,CFR20252026_BenchMarkDataReport!$B:$B,CFR20252026_BenchMarkDataReport!AC:AC),0)</f>
        <v>0</v>
      </c>
      <c r="O25" s="88">
        <f>IFERROR(_xlfn.XLOOKUP($A25,CFR20252026_BenchMarkDataReport!$B:$B,CFR20252026_BenchMarkDataReport!AD:AD),0)</f>
        <v>0</v>
      </c>
      <c r="P25" s="88">
        <f>IFERROR(_xlfn.XLOOKUP($A25,CFR20252026_BenchMarkDataReport!$B:$B,CFR20252026_BenchMarkDataReport!AE:AE),0)</f>
        <v>31347.93</v>
      </c>
      <c r="Q25" s="88">
        <f>IFERROR(_xlfn.XLOOKUP($A25,CFR20252026_BenchMarkDataReport!$B:$B,CFR20252026_BenchMarkDataReport!AF:AF),0)</f>
        <v>4841.33</v>
      </c>
      <c r="R25" s="88">
        <f>IFERROR(_xlfn.XLOOKUP($A25,CFR20252026_BenchMarkDataReport!$B:$B,CFR20252026_BenchMarkDataReport!AG:AG),0)</f>
        <v>0</v>
      </c>
      <c r="S25" s="88">
        <f>IFERROR(_xlfn.XLOOKUP($A25,CFR20252026_BenchMarkDataReport!$B:$B,CFR20252026_BenchMarkDataReport!AH:AH),0)</f>
        <v>216786.9</v>
      </c>
      <c r="T25" s="88">
        <f>IFERROR(_xlfn.XLOOKUP($A25,CFR20252026_BenchMarkDataReport!$B:$B,CFR20252026_BenchMarkDataReport!AI:AI),0)</f>
        <v>0</v>
      </c>
      <c r="U25" s="88">
        <f>IFERROR(_xlfn.XLOOKUP($A25,CFR20252026_BenchMarkDataReport!$B:$B,CFR20252026_BenchMarkDataReport!AJ:AJ),0)</f>
        <v>954702.92</v>
      </c>
      <c r="V25" s="88">
        <f>IFERROR(_xlfn.XLOOKUP($A25,CFR20252026_BenchMarkDataReport!$B:$B,CFR20252026_BenchMarkDataReport!AK:AK),0)</f>
        <v>0</v>
      </c>
      <c r="W25" s="88">
        <f>IFERROR(_xlfn.XLOOKUP($A25,CFR20252026_BenchMarkDataReport!$B:$B,CFR20252026_BenchMarkDataReport!AL:AL),0)</f>
        <v>826786.63</v>
      </c>
      <c r="X25" s="88">
        <f>IFERROR(_xlfn.XLOOKUP($A25,CFR20252026_BenchMarkDataReport!$B:$B,CFR20252026_BenchMarkDataReport!AM:AM),0)</f>
        <v>45007.83</v>
      </c>
      <c r="Y25" s="88">
        <f>IFERROR(_xlfn.XLOOKUP($A25,CFR20252026_BenchMarkDataReport!$B:$B,CFR20252026_BenchMarkDataReport!AN:AN),0)</f>
        <v>100258.33</v>
      </c>
      <c r="Z25" s="88">
        <f>IFERROR(_xlfn.XLOOKUP($A25,CFR20252026_BenchMarkDataReport!$B:$B,CFR20252026_BenchMarkDataReport!AO:AO),0)</f>
        <v>37853.11</v>
      </c>
      <c r="AA25" s="88">
        <f>IFERROR(_xlfn.XLOOKUP($A25,CFR20252026_BenchMarkDataReport!$B:$B,CFR20252026_BenchMarkDataReport!AP:AP),0)</f>
        <v>30295.22</v>
      </c>
      <c r="AB25" s="88">
        <f>IFERROR(_xlfn.XLOOKUP($A25,CFR20252026_BenchMarkDataReport!$B:$B,CFR20252026_BenchMarkDataReport!AQ:AQ),0)</f>
        <v>10879.13</v>
      </c>
      <c r="AC25" s="88">
        <f>IFERROR(_xlfn.XLOOKUP($A25,CFR20252026_BenchMarkDataReport!$B:$B,CFR20252026_BenchMarkDataReport!AR:AR),0)</f>
        <v>8511</v>
      </c>
      <c r="AD25" s="88">
        <f>IFERROR(_xlfn.XLOOKUP($A25,CFR20252026_BenchMarkDataReport!$B:$B,CFR20252026_BenchMarkDataReport!AS:AS),0)</f>
        <v>307.8</v>
      </c>
      <c r="AE25" s="88">
        <f>IFERROR(_xlfn.XLOOKUP($A25,CFR20252026_BenchMarkDataReport!$B:$B,CFR20252026_BenchMarkDataReport!AT:AT),0)</f>
        <v>0</v>
      </c>
      <c r="AF25" s="88">
        <f>IFERROR(_xlfn.XLOOKUP($A25,CFR20252026_BenchMarkDataReport!$B:$B,CFR20252026_BenchMarkDataReport!AU:AU),0)</f>
        <v>20939.54</v>
      </c>
      <c r="AG25" s="88">
        <f>IFERROR(_xlfn.XLOOKUP($A25,CFR20252026_BenchMarkDataReport!$B:$B,CFR20252026_BenchMarkDataReport!AV:AV),0)</f>
        <v>9556.25</v>
      </c>
      <c r="AH25" s="88">
        <f>IFERROR(_xlfn.XLOOKUP($A25,CFR20252026_BenchMarkDataReport!$B:$B,CFR20252026_BenchMarkDataReport!AW:AW),0)</f>
        <v>62301.13</v>
      </c>
      <c r="AI25" s="88">
        <f>IFERROR(_xlfn.XLOOKUP($A25,CFR20252026_BenchMarkDataReport!$B:$B,CFR20252026_BenchMarkDataReport!AX:AX),0)</f>
        <v>22890.34</v>
      </c>
      <c r="AJ25" s="88">
        <f>IFERROR(_xlfn.XLOOKUP($A25,CFR20252026_BenchMarkDataReport!$B:$B,CFR20252026_BenchMarkDataReport!AY:AY),0)</f>
        <v>30375.73</v>
      </c>
      <c r="AK25" s="88">
        <f>IFERROR(_xlfn.XLOOKUP($A25,CFR20252026_BenchMarkDataReport!$B:$B,CFR20252026_BenchMarkDataReport!AZ:AZ),0)</f>
        <v>39858</v>
      </c>
      <c r="AL25" s="88">
        <f>IFERROR(_xlfn.XLOOKUP($A25,CFR20252026_BenchMarkDataReport!$B:$B,CFR20252026_BenchMarkDataReport!BA:BA),0)</f>
        <v>22279.24</v>
      </c>
      <c r="AM25" s="88">
        <f>IFERROR(_xlfn.XLOOKUP($A25,CFR20252026_BenchMarkDataReport!$B:$B,CFR20252026_BenchMarkDataReport!BB:BB),0)</f>
        <v>36385.17</v>
      </c>
      <c r="AN25" s="88">
        <f>IFERROR(_xlfn.XLOOKUP($A25,CFR20252026_BenchMarkDataReport!$B:$B,CFR20252026_BenchMarkDataReport!BC:BC),0)</f>
        <v>4611.63</v>
      </c>
      <c r="AO25" s="88">
        <f>IFERROR(_xlfn.XLOOKUP($A25,CFR20252026_BenchMarkDataReport!$B:$B,CFR20252026_BenchMarkDataReport!BD:BD),0)</f>
        <v>0</v>
      </c>
      <c r="AP25" s="88">
        <f>IFERROR(_xlfn.XLOOKUP($A25,CFR20252026_BenchMarkDataReport!$B:$B,CFR20252026_BenchMarkDataReport!BE:BE),0)</f>
        <v>2774.05</v>
      </c>
      <c r="AQ25" s="88">
        <f>IFERROR(_xlfn.XLOOKUP($A25,CFR20252026_BenchMarkDataReport!$B:$B,CFR20252026_BenchMarkDataReport!BF:BF),0)</f>
        <v>1027.83</v>
      </c>
      <c r="AR25" s="88">
        <f>IFERROR(_xlfn.XLOOKUP($A25,CFR20252026_BenchMarkDataReport!$B:$B,CFR20252026_BenchMarkDataReport!BG:BG),0)</f>
        <v>5648.23</v>
      </c>
      <c r="AS25" s="88">
        <f>IFERROR(_xlfn.XLOOKUP($A25,CFR20252026_BenchMarkDataReport!$B:$B,CFR20252026_BenchMarkDataReport!BH:BH),0)</f>
        <v>902.33</v>
      </c>
      <c r="AT25" s="88">
        <f>IFERROR(_xlfn.XLOOKUP($A25,CFR20252026_BenchMarkDataReport!$B:$B,CFR20252026_BenchMarkDataReport!BI:BI),0)</f>
        <v>0</v>
      </c>
      <c r="AU25" s="88">
        <f>IFERROR(_xlfn.XLOOKUP($A25,CFR20252026_BenchMarkDataReport!$B:$B,CFR20252026_BenchMarkDataReport!BJ:BJ),0)</f>
        <v>0</v>
      </c>
      <c r="AV25" s="88">
        <f>IFERROR(_xlfn.XLOOKUP($A25,CFR20252026_BenchMarkDataReport!$B:$B,CFR20252026_BenchMarkDataReport!BK:BK),0)</f>
        <v>16704.900000000001</v>
      </c>
      <c r="AW25" s="88">
        <f>IFERROR(_xlfn.XLOOKUP($A25,CFR20252026_BenchMarkDataReport!$B:$B,CFR20252026_BenchMarkDataReport!BL:BL),0)</f>
        <v>13078.9</v>
      </c>
      <c r="AX25" s="88">
        <f>IFERROR(_xlfn.XLOOKUP($A25,CFR20252026_BenchMarkDataReport!$B:$B,CFR20252026_BenchMarkDataReport!BM:BM),0)</f>
        <v>3383.16</v>
      </c>
      <c r="AY25" s="88">
        <f>IFERROR(_xlfn.XLOOKUP($A25,CFR20252026_BenchMarkDataReport!$B:$B,CFR20252026_BenchMarkDataReport!BN:BN),0)</f>
        <v>58459.03</v>
      </c>
      <c r="AZ25" s="88">
        <f>IFERROR(_xlfn.XLOOKUP($A25,CFR20252026_BenchMarkDataReport!$B:$B,CFR20252026_BenchMarkDataReport!BO:BO),0)</f>
        <v>122146.48</v>
      </c>
      <c r="BA25" s="88">
        <f>IFERROR(_xlfn.XLOOKUP($A25,CFR20252026_BenchMarkDataReport!$B:$B,CFR20252026_BenchMarkDataReport!BP:BP),0)</f>
        <v>276631.76</v>
      </c>
      <c r="BB25" s="88">
        <f>IFERROR(_xlfn.XLOOKUP($A25,CFR20252026_BenchMarkDataReport!$B:$B,CFR20252026_BenchMarkDataReport!BQ:BQ),0)</f>
        <v>46711.62</v>
      </c>
      <c r="BC25" s="88">
        <f>IFERROR(_xlfn.XLOOKUP($A25,CFR20252026_BenchMarkDataReport!$B:$B,CFR20252026_BenchMarkDataReport!BR:BR),0)</f>
        <v>0</v>
      </c>
      <c r="BD25" s="88">
        <f>IFERROR(_xlfn.XLOOKUP($A25,CFR20252026_BenchMarkDataReport!$B:$B,CFR20252026_BenchMarkDataReport!BS:BS),0)</f>
        <v>0</v>
      </c>
      <c r="BE25" s="88">
        <f>IFERROR(_xlfn.XLOOKUP($A25,CFR20252026_BenchMarkDataReport!$B:$B,CFR20252026_BenchMarkDataReport!BT:BT),0)</f>
        <v>0</v>
      </c>
      <c r="BF25" s="88">
        <f>IFERROR(_xlfn.XLOOKUP($A25,CFR20252026_BenchMarkDataReport!$B:$B,CFR20252026_BenchMarkDataReport!BU:BU),0)</f>
        <v>112871.95</v>
      </c>
      <c r="BG25" s="88">
        <f>IFERROR(_xlfn.XLOOKUP($A25,CFR20252026_BenchMarkDataReport!$B:$B,CFR20252026_BenchMarkDataReport!BV:BV),0)</f>
        <v>3384.95</v>
      </c>
      <c r="BH25" s="89">
        <f t="shared" si="0"/>
        <v>2176004.2900000005</v>
      </c>
      <c r="BI25" s="90">
        <f t="shared" si="85"/>
        <v>2811267.29</v>
      </c>
      <c r="BJ25" s="124">
        <f t="shared" si="86"/>
        <v>-635262.99999999953</v>
      </c>
      <c r="BK25" s="88">
        <f>IFERROR(_xlfn.XLOOKUP(A25,CFR20252026_BenchMarkDataReport!$B:$B,CFR20252026_BenchMarkDataReport!P:P)+_xlfn.XLOOKUP(A25,CFR20252026_BenchMarkDataReport!$B:$B,CFR20252026_BenchMarkDataReport!Q:Q),0)</f>
        <v>-228121</v>
      </c>
      <c r="BL25" s="89">
        <f t="shared" si="1"/>
        <v>-863383.99999999953</v>
      </c>
      <c r="BM25" s="91">
        <f>SUMIFS(PP!I:I,PP!E:E,A25)</f>
        <v>180</v>
      </c>
      <c r="BN25" s="90">
        <f t="shared" si="21"/>
        <v>1945737.83</v>
      </c>
      <c r="BO25" t="s">
        <v>173</v>
      </c>
      <c r="BP25" s="92">
        <f t="shared" si="22"/>
        <v>0.72594040244286451</v>
      </c>
      <c r="BQ25" s="93">
        <f t="shared" si="23"/>
        <v>8775.8301666666666</v>
      </c>
      <c r="BR25" s="94">
        <f t="shared" si="24"/>
        <v>0</v>
      </c>
      <c r="BS25" s="95">
        <f t="shared" si="25"/>
        <v>0</v>
      </c>
      <c r="BT25" s="92">
        <f t="shared" si="26"/>
        <v>0.16823882272768861</v>
      </c>
      <c r="BU25" s="93">
        <f t="shared" si="27"/>
        <v>2033.8244444444447</v>
      </c>
      <c r="BV25" s="94">
        <f t="shared" si="28"/>
        <v>0</v>
      </c>
      <c r="BW25" s="95">
        <f t="shared" si="29"/>
        <v>0</v>
      </c>
      <c r="BX25" s="92">
        <f t="shared" si="30"/>
        <v>5.2033445209797802E-2</v>
      </c>
      <c r="BY25" s="93">
        <f t="shared" si="31"/>
        <v>629.02777777777783</v>
      </c>
      <c r="BZ25" s="94">
        <f t="shared" si="32"/>
        <v>8.3413208712010377E-3</v>
      </c>
      <c r="CA25" s="95">
        <f t="shared" si="33"/>
        <v>100.83750000000001</v>
      </c>
      <c r="CB25" s="92">
        <f t="shared" si="34"/>
        <v>2.3043139312928465E-2</v>
      </c>
      <c r="CC25" s="93">
        <f t="shared" si="35"/>
        <v>278.56650000000002</v>
      </c>
      <c r="CD25" s="94">
        <f t="shared" si="36"/>
        <v>3.5108478577493972E-3</v>
      </c>
      <c r="CE25" s="96">
        <f t="shared" si="37"/>
        <v>42.44233333333333</v>
      </c>
      <c r="CF25" s="97">
        <f t="shared" si="38"/>
        <v>1.4406189428973962E-2</v>
      </c>
      <c r="CG25" s="98">
        <f t="shared" si="39"/>
        <v>174.15516666666667</v>
      </c>
      <c r="CH25" s="94">
        <f t="shared" si="40"/>
        <v>2.2248715327670603E-3</v>
      </c>
      <c r="CI25" s="95">
        <f t="shared" si="41"/>
        <v>26.896277777777776</v>
      </c>
      <c r="CJ25" s="99">
        <f t="shared" si="42"/>
        <v>0.5534401312431696</v>
      </c>
      <c r="CK25" s="97">
        <f t="shared" si="43"/>
        <v>0.49487466773330668</v>
      </c>
      <c r="CL25" s="97">
        <f t="shared" si="44"/>
        <v>0.38304767527103412</v>
      </c>
      <c r="CM25" s="98">
        <f t="shared" si="45"/>
        <v>5982.4966666666678</v>
      </c>
      <c r="CN25" s="94">
        <f t="shared" si="46"/>
        <v>0.42492190738769775</v>
      </c>
      <c r="CO25" s="100">
        <f t="shared" si="47"/>
        <v>0.37995634190592509</v>
      </c>
      <c r="CP25" s="100">
        <f t="shared" si="48"/>
        <v>0.2940974815667563</v>
      </c>
      <c r="CQ25" s="101">
        <f t="shared" si="49"/>
        <v>4593.2590555555553</v>
      </c>
      <c r="CR25" s="99">
        <f t="shared" si="50"/>
        <v>2.3131497628331561E-2</v>
      </c>
      <c r="CS25" s="97">
        <f t="shared" si="51"/>
        <v>2.0683704626336005E-2</v>
      </c>
      <c r="CT25" s="97">
        <f t="shared" si="52"/>
        <v>1.6009801045990188E-2</v>
      </c>
      <c r="CU25" s="98">
        <f t="shared" si="53"/>
        <v>250.04350000000002</v>
      </c>
      <c r="CV25" s="94">
        <f t="shared" si="54"/>
        <v>5.1527152555799358E-2</v>
      </c>
      <c r="CW25" s="100">
        <f t="shared" si="55"/>
        <v>4.6074509347589561E-2</v>
      </c>
      <c r="CX25" s="100">
        <f t="shared" si="56"/>
        <v>3.5663037220484292E-2</v>
      </c>
      <c r="CY25" s="95">
        <f t="shared" si="57"/>
        <v>556.99072222222219</v>
      </c>
      <c r="CZ25" s="99">
        <f t="shared" si="58"/>
        <v>1.025268671473587</v>
      </c>
      <c r="DA25" s="97">
        <f t="shared" si="59"/>
        <v>0.9167739462498945</v>
      </c>
      <c r="DB25" s="97">
        <f t="shared" si="60"/>
        <v>0.7096102341801872</v>
      </c>
      <c r="DC25" s="98">
        <f t="shared" si="61"/>
        <v>11082.800222222224</v>
      </c>
      <c r="DD25" s="94">
        <f t="shared" si="62"/>
        <v>1.0761747896940463E-2</v>
      </c>
      <c r="DE25" s="100">
        <f t="shared" si="63"/>
        <v>7.4484344034038827E-3</v>
      </c>
      <c r="DF25" s="95">
        <f t="shared" si="64"/>
        <v>116.33077777777778</v>
      </c>
      <c r="DG25" s="99">
        <f t="shared" si="65"/>
        <v>8.1423563250010277E-3</v>
      </c>
      <c r="DH25" s="98">
        <f t="shared" si="66"/>
        <v>127.16855555555556</v>
      </c>
      <c r="DI25" s="94">
        <f t="shared" si="67"/>
        <v>1.5611419756381053E-2</v>
      </c>
      <c r="DJ25" s="100">
        <f t="shared" si="68"/>
        <v>1.0804995351402533E-2</v>
      </c>
      <c r="DK25" s="95">
        <f t="shared" si="69"/>
        <v>168.75405555555557</v>
      </c>
      <c r="DL25" s="99">
        <f t="shared" si="70"/>
        <v>1.1450278478678704E-2</v>
      </c>
      <c r="DM25" s="97">
        <f t="shared" si="71"/>
        <v>7.9249810500943152E-3</v>
      </c>
      <c r="DN25" s="102">
        <f t="shared" si="72"/>
        <v>123.77355555555556</v>
      </c>
      <c r="DO25" s="94">
        <f t="shared" si="73"/>
        <v>1.8699934512760127E-2</v>
      </c>
      <c r="DP25" s="100">
        <f t="shared" si="74"/>
        <v>1.6721092953359936E-2</v>
      </c>
      <c r="DQ25" s="100">
        <f t="shared" si="75"/>
        <v>1.2942622044309418E-2</v>
      </c>
      <c r="DR25" s="95">
        <f t="shared" si="76"/>
        <v>202.13983333333331</v>
      </c>
      <c r="DS25" s="99">
        <f t="shared" si="77"/>
        <v>8.5853806933486009E-3</v>
      </c>
      <c r="DT25" s="97">
        <f t="shared" si="78"/>
        <v>5.9421244146443302E-3</v>
      </c>
      <c r="DU25" s="98">
        <f t="shared" si="87"/>
        <v>92.805000000000007</v>
      </c>
      <c r="DV25" s="94">
        <f t="shared" si="79"/>
        <v>0.14217319298355832</v>
      </c>
      <c r="DW25" s="100">
        <f t="shared" si="80"/>
        <v>9.8401088001845605E-2</v>
      </c>
      <c r="DX25" s="95">
        <f t="shared" si="81"/>
        <v>1536.8431111111111</v>
      </c>
      <c r="DY25" s="99">
        <f t="shared" si="82"/>
        <v>2.0794547074177355E-2</v>
      </c>
      <c r="DZ25" s="98">
        <f t="shared" si="83"/>
        <v>324.77238888888888</v>
      </c>
      <c r="EA25" s="94">
        <f t="shared" si="14"/>
        <v>2.2161226085336053E-2</v>
      </c>
      <c r="EB25" s="95">
        <f t="shared" si="84"/>
        <v>346.11738888888885</v>
      </c>
      <c r="EC25" s="103">
        <f>IFERROR(VLOOKUP(A25,PP!$E$3:$S$130,14,0),0)</f>
        <v>73</v>
      </c>
    </row>
    <row r="26" spans="1:133">
      <c r="A26" s="121">
        <v>2016</v>
      </c>
      <c r="B26" s="122">
        <v>10056</v>
      </c>
      <c r="C26" s="121" t="s">
        <v>50</v>
      </c>
      <c r="D26" s="88">
        <f>IFERROR(_xlfn.XLOOKUP($A26,CFR20252026_BenchMarkDataReport!$B:$B,CFR20252026_BenchMarkDataReport!S:S),0)</f>
        <v>1270908.76</v>
      </c>
      <c r="E26" s="88">
        <f>IFERROR(_xlfn.XLOOKUP($A26,CFR20252026_BenchMarkDataReport!$B:$B,CFR20252026_BenchMarkDataReport!T:T),0)</f>
        <v>0</v>
      </c>
      <c r="F26" s="88">
        <f>IFERROR(_xlfn.XLOOKUP($A26,CFR20252026_BenchMarkDataReport!$B:$B,CFR20252026_BenchMarkDataReport!U:U),0)</f>
        <v>124946.33</v>
      </c>
      <c r="G26" s="88">
        <f>IFERROR(_xlfn.XLOOKUP($A26,CFR20252026_BenchMarkDataReport!$B:$B,CFR20252026_BenchMarkDataReport!V:V),0)</f>
        <v>0</v>
      </c>
      <c r="H26" s="88">
        <f>IFERROR(_xlfn.XLOOKUP($A26,CFR20252026_BenchMarkDataReport!$B:$B,CFR20252026_BenchMarkDataReport!W:W),0)</f>
        <v>46765</v>
      </c>
      <c r="I26" s="88">
        <f>IFERROR(_xlfn.XLOOKUP($A26,CFR20252026_BenchMarkDataReport!$B:$B,CFR20252026_BenchMarkDataReport!X:X),0)</f>
        <v>68978</v>
      </c>
      <c r="J26" s="88">
        <f>IFERROR(_xlfn.XLOOKUP($A26,CFR20252026_BenchMarkDataReport!$B:$B,CFR20252026_BenchMarkDataReport!Y:Y),0)</f>
        <v>51370.400000000001</v>
      </c>
      <c r="K26" s="88">
        <f>IFERROR(_xlfn.XLOOKUP($A26,CFR20252026_BenchMarkDataReport!$B:$B,CFR20252026_BenchMarkDataReport!Z:Z),0)</f>
        <v>2285</v>
      </c>
      <c r="L26" s="88">
        <f>IFERROR(_xlfn.XLOOKUP($A26,CFR20252026_BenchMarkDataReport!$B:$B,CFR20252026_BenchMarkDataReport!AA:AA),0)</f>
        <v>3721.61</v>
      </c>
      <c r="M26" s="88">
        <f>IFERROR(_xlfn.XLOOKUP($A26,CFR20252026_BenchMarkDataReport!$B:$B,CFR20252026_BenchMarkDataReport!AB:AB),0)</f>
        <v>105.23</v>
      </c>
      <c r="N26" s="88">
        <f>IFERROR(_xlfn.XLOOKUP($A26,CFR20252026_BenchMarkDataReport!$B:$B,CFR20252026_BenchMarkDataReport!AC:AC),0)</f>
        <v>0</v>
      </c>
      <c r="O26" s="88">
        <f>IFERROR(_xlfn.XLOOKUP($A26,CFR20252026_BenchMarkDataReport!$B:$B,CFR20252026_BenchMarkDataReport!AD:AD),0)</f>
        <v>0</v>
      </c>
      <c r="P26" s="88">
        <f>IFERROR(_xlfn.XLOOKUP($A26,CFR20252026_BenchMarkDataReport!$B:$B,CFR20252026_BenchMarkDataReport!AE:AE),0)</f>
        <v>25947.53</v>
      </c>
      <c r="Q26" s="88">
        <f>IFERROR(_xlfn.XLOOKUP($A26,CFR20252026_BenchMarkDataReport!$B:$B,CFR20252026_BenchMarkDataReport!AF:AF),0)</f>
        <v>28152.43</v>
      </c>
      <c r="R26" s="88">
        <f>IFERROR(_xlfn.XLOOKUP($A26,CFR20252026_BenchMarkDataReport!$B:$B,CFR20252026_BenchMarkDataReport!AG:AG),0)</f>
        <v>0</v>
      </c>
      <c r="S26" s="88">
        <f>IFERROR(_xlfn.XLOOKUP($A26,CFR20252026_BenchMarkDataReport!$B:$B,CFR20252026_BenchMarkDataReport!AH:AH),0)</f>
        <v>0</v>
      </c>
      <c r="T26" s="88">
        <f>IFERROR(_xlfn.XLOOKUP($A26,CFR20252026_BenchMarkDataReport!$B:$B,CFR20252026_BenchMarkDataReport!AI:AI),0)</f>
        <v>0</v>
      </c>
      <c r="U26" s="88">
        <f>IFERROR(_xlfn.XLOOKUP($A26,CFR20252026_BenchMarkDataReport!$B:$B,CFR20252026_BenchMarkDataReport!AJ:AJ),0)</f>
        <v>725387.44</v>
      </c>
      <c r="V26" s="88">
        <f>IFERROR(_xlfn.XLOOKUP($A26,CFR20252026_BenchMarkDataReport!$B:$B,CFR20252026_BenchMarkDataReport!AK:AK),0)</f>
        <v>7889.99</v>
      </c>
      <c r="W26" s="88">
        <f>IFERROR(_xlfn.XLOOKUP($A26,CFR20252026_BenchMarkDataReport!$B:$B,CFR20252026_BenchMarkDataReport!AL:AL),0)</f>
        <v>279559.57</v>
      </c>
      <c r="X26" s="88">
        <f>IFERROR(_xlfn.XLOOKUP($A26,CFR20252026_BenchMarkDataReport!$B:$B,CFR20252026_BenchMarkDataReport!AM:AM),0)</f>
        <v>42888.72</v>
      </c>
      <c r="Y26" s="88">
        <f>IFERROR(_xlfn.XLOOKUP($A26,CFR20252026_BenchMarkDataReport!$B:$B,CFR20252026_BenchMarkDataReport!AN:AN),0)</f>
        <v>74666.52</v>
      </c>
      <c r="Z26" s="88">
        <f>IFERROR(_xlfn.XLOOKUP($A26,CFR20252026_BenchMarkDataReport!$B:$B,CFR20252026_BenchMarkDataReport!AO:AO),0)</f>
        <v>0</v>
      </c>
      <c r="AA26" s="88">
        <f>IFERROR(_xlfn.XLOOKUP($A26,CFR20252026_BenchMarkDataReport!$B:$B,CFR20252026_BenchMarkDataReport!AP:AP),0)</f>
        <v>19231.28</v>
      </c>
      <c r="AB26" s="88">
        <f>IFERROR(_xlfn.XLOOKUP($A26,CFR20252026_BenchMarkDataReport!$B:$B,CFR20252026_BenchMarkDataReport!AQ:AQ),0)</f>
        <v>7065.05</v>
      </c>
      <c r="AC26" s="88">
        <f>IFERROR(_xlfn.XLOOKUP($A26,CFR20252026_BenchMarkDataReport!$B:$B,CFR20252026_BenchMarkDataReport!AR:AR),0)</f>
        <v>8</v>
      </c>
      <c r="AD26" s="88">
        <f>IFERROR(_xlfn.XLOOKUP($A26,CFR20252026_BenchMarkDataReport!$B:$B,CFR20252026_BenchMarkDataReport!AS:AS),0)</f>
        <v>359.1</v>
      </c>
      <c r="AE26" s="88">
        <f>IFERROR(_xlfn.XLOOKUP($A26,CFR20252026_BenchMarkDataReport!$B:$B,CFR20252026_BenchMarkDataReport!AT:AT),0)</f>
        <v>0</v>
      </c>
      <c r="AF26" s="88">
        <f>IFERROR(_xlfn.XLOOKUP($A26,CFR20252026_BenchMarkDataReport!$B:$B,CFR20252026_BenchMarkDataReport!AU:AU),0)</f>
        <v>8170.28</v>
      </c>
      <c r="AG26" s="88">
        <f>IFERROR(_xlfn.XLOOKUP($A26,CFR20252026_BenchMarkDataReport!$B:$B,CFR20252026_BenchMarkDataReport!AV:AV),0)</f>
        <v>4051.83</v>
      </c>
      <c r="AH26" s="88">
        <f>IFERROR(_xlfn.XLOOKUP($A26,CFR20252026_BenchMarkDataReport!$B:$B,CFR20252026_BenchMarkDataReport!AW:AW),0)</f>
        <v>27940.560000000001</v>
      </c>
      <c r="AI26" s="88">
        <f>IFERROR(_xlfn.XLOOKUP($A26,CFR20252026_BenchMarkDataReport!$B:$B,CFR20252026_BenchMarkDataReport!AX:AX),0)</f>
        <v>6363.36</v>
      </c>
      <c r="AJ26" s="88">
        <f>IFERROR(_xlfn.XLOOKUP($A26,CFR20252026_BenchMarkDataReport!$B:$B,CFR20252026_BenchMarkDataReport!AY:AY),0)</f>
        <v>18159.2</v>
      </c>
      <c r="AK26" s="88">
        <f>IFERROR(_xlfn.XLOOKUP($A26,CFR20252026_BenchMarkDataReport!$B:$B,CFR20252026_BenchMarkDataReport!AZ:AZ),0)</f>
        <v>26367.15</v>
      </c>
      <c r="AL26" s="88">
        <f>IFERROR(_xlfn.XLOOKUP($A26,CFR20252026_BenchMarkDataReport!$B:$B,CFR20252026_BenchMarkDataReport!BA:BA),0)</f>
        <v>8264.16</v>
      </c>
      <c r="AM26" s="88">
        <f>IFERROR(_xlfn.XLOOKUP($A26,CFR20252026_BenchMarkDataReport!$B:$B,CFR20252026_BenchMarkDataReport!BB:BB),0)</f>
        <v>58179.01</v>
      </c>
      <c r="AN26" s="88">
        <f>IFERROR(_xlfn.XLOOKUP($A26,CFR20252026_BenchMarkDataReport!$B:$B,CFR20252026_BenchMarkDataReport!BC:BC),0)</f>
        <v>5773.4</v>
      </c>
      <c r="AO26" s="88">
        <f>IFERROR(_xlfn.XLOOKUP($A26,CFR20252026_BenchMarkDataReport!$B:$B,CFR20252026_BenchMarkDataReport!BD:BD),0)</f>
        <v>0</v>
      </c>
      <c r="AP26" s="88">
        <f>IFERROR(_xlfn.XLOOKUP($A26,CFR20252026_BenchMarkDataReport!$B:$B,CFR20252026_BenchMarkDataReport!BE:BE),0)</f>
        <v>1339.85</v>
      </c>
      <c r="AQ26" s="88">
        <f>IFERROR(_xlfn.XLOOKUP($A26,CFR20252026_BenchMarkDataReport!$B:$B,CFR20252026_BenchMarkDataReport!BF:BF),0)</f>
        <v>7942.49</v>
      </c>
      <c r="AR26" s="88">
        <f>IFERROR(_xlfn.XLOOKUP($A26,CFR20252026_BenchMarkDataReport!$B:$B,CFR20252026_BenchMarkDataReport!BG:BG),0)</f>
        <v>0</v>
      </c>
      <c r="AS26" s="88">
        <f>IFERROR(_xlfn.XLOOKUP($A26,CFR20252026_BenchMarkDataReport!$B:$B,CFR20252026_BenchMarkDataReport!BH:BH),0)</f>
        <v>126</v>
      </c>
      <c r="AT26" s="88">
        <f>IFERROR(_xlfn.XLOOKUP($A26,CFR20252026_BenchMarkDataReport!$B:$B,CFR20252026_BenchMarkDataReport!BI:BI),0)</f>
        <v>11735</v>
      </c>
      <c r="AU26" s="88">
        <f>IFERROR(_xlfn.XLOOKUP($A26,CFR20252026_BenchMarkDataReport!$B:$B,CFR20252026_BenchMarkDataReport!BJ:BJ),0)</f>
        <v>0</v>
      </c>
      <c r="AV26" s="88">
        <f>IFERROR(_xlfn.XLOOKUP($A26,CFR20252026_BenchMarkDataReport!$B:$B,CFR20252026_BenchMarkDataReport!BK:BK),0)</f>
        <v>86.69</v>
      </c>
      <c r="AW26" s="88">
        <f>IFERROR(_xlfn.XLOOKUP($A26,CFR20252026_BenchMarkDataReport!$B:$B,CFR20252026_BenchMarkDataReport!BL:BL),0)</f>
        <v>9109.7999999999993</v>
      </c>
      <c r="AX26" s="88">
        <f>IFERROR(_xlfn.XLOOKUP($A26,CFR20252026_BenchMarkDataReport!$B:$B,CFR20252026_BenchMarkDataReport!BM:BM),0)</f>
        <v>1790.85</v>
      </c>
      <c r="AY26" s="88">
        <f>IFERROR(_xlfn.XLOOKUP($A26,CFR20252026_BenchMarkDataReport!$B:$B,CFR20252026_BenchMarkDataReport!BN:BN),0)</f>
        <v>94958.06</v>
      </c>
      <c r="AZ26" s="88">
        <f>IFERROR(_xlfn.XLOOKUP($A26,CFR20252026_BenchMarkDataReport!$B:$B,CFR20252026_BenchMarkDataReport!BO:BO),0)</f>
        <v>27970.54</v>
      </c>
      <c r="BA26" s="88">
        <f>IFERROR(_xlfn.XLOOKUP($A26,CFR20252026_BenchMarkDataReport!$B:$B,CFR20252026_BenchMarkDataReport!BP:BP),0)</f>
        <v>79206.350000000006</v>
      </c>
      <c r="BB26" s="88">
        <f>IFERROR(_xlfn.XLOOKUP($A26,CFR20252026_BenchMarkDataReport!$B:$B,CFR20252026_BenchMarkDataReport!BQ:BQ),0)</f>
        <v>22927.040000000001</v>
      </c>
      <c r="BC26" s="88">
        <f>IFERROR(_xlfn.XLOOKUP($A26,CFR20252026_BenchMarkDataReport!$B:$B,CFR20252026_BenchMarkDataReport!BR:BR),0)</f>
        <v>0</v>
      </c>
      <c r="BD26" s="88">
        <f>IFERROR(_xlfn.XLOOKUP($A26,CFR20252026_BenchMarkDataReport!$B:$B,CFR20252026_BenchMarkDataReport!BS:BS),0)</f>
        <v>0</v>
      </c>
      <c r="BE26" s="88">
        <f>IFERROR(_xlfn.XLOOKUP($A26,CFR20252026_BenchMarkDataReport!$B:$B,CFR20252026_BenchMarkDataReport!BT:BT),0)</f>
        <v>0</v>
      </c>
      <c r="BF26" s="88">
        <f>IFERROR(_xlfn.XLOOKUP($A26,CFR20252026_BenchMarkDataReport!$B:$B,CFR20252026_BenchMarkDataReport!BU:BU),0)</f>
        <v>0</v>
      </c>
      <c r="BG26" s="88">
        <f>IFERROR(_xlfn.XLOOKUP($A26,CFR20252026_BenchMarkDataReport!$B:$B,CFR20252026_BenchMarkDataReport!BV:BV),0)</f>
        <v>0</v>
      </c>
      <c r="BH26" s="89">
        <f t="shared" si="0"/>
        <v>1623180.29</v>
      </c>
      <c r="BI26" s="90">
        <f t="shared" si="85"/>
        <v>1577517.2900000005</v>
      </c>
      <c r="BJ26" s="124">
        <f t="shared" si="86"/>
        <v>45662.999999999534</v>
      </c>
      <c r="BK26" s="88">
        <f>IFERROR(_xlfn.XLOOKUP(A26,CFR20252026_BenchMarkDataReport!$B:$B,CFR20252026_BenchMarkDataReport!P:P)+_xlfn.XLOOKUP(A26,CFR20252026_BenchMarkDataReport!$B:$B,CFR20252026_BenchMarkDataReport!Q:Q),0)</f>
        <v>-3348</v>
      </c>
      <c r="BL26" s="89">
        <f t="shared" si="1"/>
        <v>42314.999999999534</v>
      </c>
      <c r="BM26" s="91">
        <f>SUMIFS(PP!I:I,PP!E:E,A26)</f>
        <v>210</v>
      </c>
      <c r="BN26" s="90">
        <f t="shared" si="21"/>
        <v>1395855.09</v>
      </c>
      <c r="BO26" t="s">
        <v>173</v>
      </c>
      <c r="BP26" s="92">
        <f t="shared" si="22"/>
        <v>0.78297449015968523</v>
      </c>
      <c r="BQ26" s="93">
        <f t="shared" si="23"/>
        <v>6051.9464761904765</v>
      </c>
      <c r="BR26" s="94">
        <f t="shared" si="24"/>
        <v>0</v>
      </c>
      <c r="BS26" s="95">
        <f t="shared" si="25"/>
        <v>0</v>
      </c>
      <c r="BT26" s="92">
        <f t="shared" si="26"/>
        <v>7.6976248892228719E-2</v>
      </c>
      <c r="BU26" s="93">
        <f t="shared" si="27"/>
        <v>594.98252380952385</v>
      </c>
      <c r="BV26" s="94">
        <f t="shared" si="28"/>
        <v>0</v>
      </c>
      <c r="BW26" s="95">
        <f t="shared" si="29"/>
        <v>0</v>
      </c>
      <c r="BX26" s="92">
        <f t="shared" si="30"/>
        <v>2.881072440819251E-2</v>
      </c>
      <c r="BY26" s="93">
        <f t="shared" si="31"/>
        <v>222.6904761904762</v>
      </c>
      <c r="BZ26" s="94">
        <f t="shared" si="32"/>
        <v>4.2495587474143122E-2</v>
      </c>
      <c r="CA26" s="95">
        <f t="shared" si="33"/>
        <v>328.46666666666664</v>
      </c>
      <c r="CB26" s="92">
        <f t="shared" si="34"/>
        <v>3.1647993951429761E-2</v>
      </c>
      <c r="CC26" s="93">
        <f t="shared" si="35"/>
        <v>244.62095238095239</v>
      </c>
      <c r="CD26" s="94">
        <f t="shared" si="36"/>
        <v>3.7005193058375547E-3</v>
      </c>
      <c r="CE26" s="96">
        <f t="shared" si="37"/>
        <v>28.602904761904764</v>
      </c>
      <c r="CF26" s="97">
        <f t="shared" si="38"/>
        <v>1.598561180163172E-2</v>
      </c>
      <c r="CG26" s="98">
        <f t="shared" si="39"/>
        <v>123.55966666666666</v>
      </c>
      <c r="CH26" s="94">
        <f t="shared" si="40"/>
        <v>1.7343994486281003E-2</v>
      </c>
      <c r="CI26" s="95">
        <f t="shared" si="41"/>
        <v>134.05919047619048</v>
      </c>
      <c r="CJ26" s="99">
        <f t="shared" si="42"/>
        <v>0.54536317949737889</v>
      </c>
      <c r="CK26" s="97">
        <f t="shared" si="43"/>
        <v>0.46898546926047258</v>
      </c>
      <c r="CL26" s="97">
        <f t="shared" si="44"/>
        <v>0.48256077751135124</v>
      </c>
      <c r="CM26" s="98">
        <f t="shared" si="45"/>
        <v>3624.9903333333332</v>
      </c>
      <c r="CN26" s="94">
        <f t="shared" si="46"/>
        <v>0.20027836127316051</v>
      </c>
      <c r="CO26" s="100">
        <f t="shared" si="47"/>
        <v>0.17222952479296061</v>
      </c>
      <c r="CP26" s="100">
        <f t="shared" si="48"/>
        <v>0.1772149007634648</v>
      </c>
      <c r="CQ26" s="101">
        <f t="shared" si="49"/>
        <v>1331.2360476190477</v>
      </c>
      <c r="CR26" s="99">
        <f t="shared" si="50"/>
        <v>3.0725768245756797E-2</v>
      </c>
      <c r="CS26" s="97">
        <f t="shared" si="51"/>
        <v>2.6422647110876388E-2</v>
      </c>
      <c r="CT26" s="97">
        <f t="shared" si="52"/>
        <v>2.7187480144829339E-2</v>
      </c>
      <c r="CU26" s="98">
        <f t="shared" si="53"/>
        <v>204.232</v>
      </c>
      <c r="CV26" s="94">
        <f t="shared" si="54"/>
        <v>5.3491598472446021E-2</v>
      </c>
      <c r="CW26" s="100">
        <f t="shared" si="55"/>
        <v>4.6000139639448184E-2</v>
      </c>
      <c r="CX26" s="100">
        <f t="shared" si="56"/>
        <v>4.7331665062130622E-2</v>
      </c>
      <c r="CY26" s="95">
        <f t="shared" si="57"/>
        <v>355.55485714285714</v>
      </c>
      <c r="CZ26" s="99">
        <f t="shared" si="58"/>
        <v>0.82359804268794112</v>
      </c>
      <c r="DA26" s="97">
        <f t="shared" si="59"/>
        <v>0.70825374549120479</v>
      </c>
      <c r="DB26" s="97">
        <f t="shared" si="60"/>
        <v>0.72875494125329021</v>
      </c>
      <c r="DC26" s="98">
        <f t="shared" si="61"/>
        <v>5474.3977142857148</v>
      </c>
      <c r="DD26" s="94">
        <f t="shared" si="62"/>
        <v>5.8532436916499684E-3</v>
      </c>
      <c r="DE26" s="100">
        <f t="shared" si="63"/>
        <v>5.179201554107846E-3</v>
      </c>
      <c r="DF26" s="95">
        <f t="shared" si="64"/>
        <v>38.90609523809524</v>
      </c>
      <c r="DG26" s="99">
        <f t="shared" si="65"/>
        <v>4.0337814617550068E-3</v>
      </c>
      <c r="DH26" s="98">
        <f t="shared" si="66"/>
        <v>30.301714285714283</v>
      </c>
      <c r="DI26" s="94">
        <f t="shared" si="67"/>
        <v>1.3009373344048199E-2</v>
      </c>
      <c r="DJ26" s="100">
        <f t="shared" si="68"/>
        <v>1.1511252596160131E-2</v>
      </c>
      <c r="DK26" s="95">
        <f t="shared" si="69"/>
        <v>86.472380952380959</v>
      </c>
      <c r="DL26" s="99">
        <f t="shared" si="70"/>
        <v>5.9204999567684345E-3</v>
      </c>
      <c r="DM26" s="97">
        <f t="shared" si="71"/>
        <v>5.2387127877374946E-3</v>
      </c>
      <c r="DN26" s="102">
        <f t="shared" si="72"/>
        <v>39.353142857142856</v>
      </c>
      <c r="DO26" s="94">
        <f t="shared" si="73"/>
        <v>4.16798351181282E-2</v>
      </c>
      <c r="DP26" s="100">
        <f t="shared" si="74"/>
        <v>3.5842605013396263E-2</v>
      </c>
      <c r="DQ26" s="100">
        <f t="shared" si="75"/>
        <v>3.688010925065676E-2</v>
      </c>
      <c r="DR26" s="95">
        <f t="shared" si="76"/>
        <v>277.04290476190477</v>
      </c>
      <c r="DS26" s="99">
        <f t="shared" si="77"/>
        <v>6.2105300629737998E-5</v>
      </c>
      <c r="DT26" s="97">
        <f t="shared" si="78"/>
        <v>5.4953438893845638E-5</v>
      </c>
      <c r="DU26" s="98">
        <f t="shared" si="87"/>
        <v>0.41280952380952379</v>
      </c>
      <c r="DV26" s="94">
        <f t="shared" si="79"/>
        <v>5.6743963300660387E-2</v>
      </c>
      <c r="DW26" s="100">
        <f t="shared" si="80"/>
        <v>5.0209497228394864E-2</v>
      </c>
      <c r="DX26" s="95">
        <f t="shared" si="81"/>
        <v>377.17309523809524</v>
      </c>
      <c r="DY26" s="99">
        <f t="shared" si="82"/>
        <v>6.0194623920730508E-2</v>
      </c>
      <c r="DZ26" s="98">
        <f t="shared" si="83"/>
        <v>452.18123809523809</v>
      </c>
      <c r="EA26" s="94">
        <f t="shared" si="14"/>
        <v>1.7711729802974134E-2</v>
      </c>
      <c r="EB26" s="95">
        <f t="shared" si="84"/>
        <v>133.05028571428571</v>
      </c>
      <c r="EC26" s="103">
        <f>IFERROR(VLOOKUP(A26,PP!$E$3:$S$130,14,0),0)</f>
        <v>25</v>
      </c>
    </row>
    <row r="27" spans="1:133">
      <c r="A27" s="121">
        <v>2017</v>
      </c>
      <c r="B27" s="122">
        <v>10057</v>
      </c>
      <c r="C27" s="121" t="s">
        <v>51</v>
      </c>
      <c r="D27" s="88">
        <f>IFERROR(_xlfn.XLOOKUP($A27,CFR20252026_BenchMarkDataReport!$B:$B,CFR20252026_BenchMarkDataReport!S:S),0)</f>
        <v>2299297.0099999998</v>
      </c>
      <c r="E27" s="88">
        <f>IFERROR(_xlfn.XLOOKUP($A27,CFR20252026_BenchMarkDataReport!$B:$B,CFR20252026_BenchMarkDataReport!T:T),0)</f>
        <v>0</v>
      </c>
      <c r="F27" s="88">
        <f>IFERROR(_xlfn.XLOOKUP($A27,CFR20252026_BenchMarkDataReport!$B:$B,CFR20252026_BenchMarkDataReport!U:U),0)</f>
        <v>387094.38</v>
      </c>
      <c r="G27" s="88">
        <f>IFERROR(_xlfn.XLOOKUP($A27,CFR20252026_BenchMarkDataReport!$B:$B,CFR20252026_BenchMarkDataReport!V:V),0)</f>
        <v>0</v>
      </c>
      <c r="H27" s="88">
        <f>IFERROR(_xlfn.XLOOKUP($A27,CFR20252026_BenchMarkDataReport!$B:$B,CFR20252026_BenchMarkDataReport!W:W),0)</f>
        <v>116255</v>
      </c>
      <c r="I27" s="88">
        <f>IFERROR(_xlfn.XLOOKUP($A27,CFR20252026_BenchMarkDataReport!$B:$B,CFR20252026_BenchMarkDataReport!X:X),0)</f>
        <v>22881.45</v>
      </c>
      <c r="J27" s="88">
        <f>IFERROR(_xlfn.XLOOKUP($A27,CFR20252026_BenchMarkDataReport!$B:$B,CFR20252026_BenchMarkDataReport!Y:Y),0)</f>
        <v>159322.03</v>
      </c>
      <c r="K27" s="88">
        <f>IFERROR(_xlfn.XLOOKUP($A27,CFR20252026_BenchMarkDataReport!$B:$B,CFR20252026_BenchMarkDataReport!Z:Z),0)</f>
        <v>420</v>
      </c>
      <c r="L27" s="88">
        <f>IFERROR(_xlfn.XLOOKUP($A27,CFR20252026_BenchMarkDataReport!$B:$B,CFR20252026_BenchMarkDataReport!AA:AA),0)</f>
        <v>151644.06</v>
      </c>
      <c r="M27" s="88">
        <f>IFERROR(_xlfn.XLOOKUP($A27,CFR20252026_BenchMarkDataReport!$B:$B,CFR20252026_BenchMarkDataReport!AB:AB),0)</f>
        <v>4</v>
      </c>
      <c r="N27" s="88">
        <f>IFERROR(_xlfn.XLOOKUP($A27,CFR20252026_BenchMarkDataReport!$B:$B,CFR20252026_BenchMarkDataReport!AC:AC),0)</f>
        <v>0</v>
      </c>
      <c r="O27" s="88">
        <f>IFERROR(_xlfn.XLOOKUP($A27,CFR20252026_BenchMarkDataReport!$B:$B,CFR20252026_BenchMarkDataReport!AD:AD),0)</f>
        <v>0</v>
      </c>
      <c r="P27" s="88">
        <f>IFERROR(_xlfn.XLOOKUP($A27,CFR20252026_BenchMarkDataReport!$B:$B,CFR20252026_BenchMarkDataReport!AE:AE),0)</f>
        <v>35421.47</v>
      </c>
      <c r="Q27" s="88">
        <f>IFERROR(_xlfn.XLOOKUP($A27,CFR20252026_BenchMarkDataReport!$B:$B,CFR20252026_BenchMarkDataReport!AF:AF),0)</f>
        <v>24274.27</v>
      </c>
      <c r="R27" s="88">
        <f>IFERROR(_xlfn.XLOOKUP($A27,CFR20252026_BenchMarkDataReport!$B:$B,CFR20252026_BenchMarkDataReport!AG:AG),0)</f>
        <v>0</v>
      </c>
      <c r="S27" s="88">
        <f>IFERROR(_xlfn.XLOOKUP($A27,CFR20252026_BenchMarkDataReport!$B:$B,CFR20252026_BenchMarkDataReport!AH:AH),0)</f>
        <v>0</v>
      </c>
      <c r="T27" s="88">
        <f>IFERROR(_xlfn.XLOOKUP($A27,CFR20252026_BenchMarkDataReport!$B:$B,CFR20252026_BenchMarkDataReport!AI:AI),0)</f>
        <v>0</v>
      </c>
      <c r="U27" s="88">
        <f>IFERROR(_xlfn.XLOOKUP($A27,CFR20252026_BenchMarkDataReport!$B:$B,CFR20252026_BenchMarkDataReport!AJ:AJ),0)</f>
        <v>1168861.8799999999</v>
      </c>
      <c r="V27" s="88">
        <f>IFERROR(_xlfn.XLOOKUP($A27,CFR20252026_BenchMarkDataReport!$B:$B,CFR20252026_BenchMarkDataReport!AK:AK),0)</f>
        <v>0</v>
      </c>
      <c r="W27" s="88">
        <f>IFERROR(_xlfn.XLOOKUP($A27,CFR20252026_BenchMarkDataReport!$B:$B,CFR20252026_BenchMarkDataReport!AL:AL),0)</f>
        <v>880674.17</v>
      </c>
      <c r="X27" s="88">
        <f>IFERROR(_xlfn.XLOOKUP($A27,CFR20252026_BenchMarkDataReport!$B:$B,CFR20252026_BenchMarkDataReport!AM:AM),0)</f>
        <v>0</v>
      </c>
      <c r="Y27" s="88">
        <f>IFERROR(_xlfn.XLOOKUP($A27,CFR20252026_BenchMarkDataReport!$B:$B,CFR20252026_BenchMarkDataReport!AN:AN),0)</f>
        <v>145944.35999999999</v>
      </c>
      <c r="Z27" s="88">
        <f>IFERROR(_xlfn.XLOOKUP($A27,CFR20252026_BenchMarkDataReport!$B:$B,CFR20252026_BenchMarkDataReport!AO:AO),0)</f>
        <v>0</v>
      </c>
      <c r="AA27" s="88">
        <f>IFERROR(_xlfn.XLOOKUP($A27,CFR20252026_BenchMarkDataReport!$B:$B,CFR20252026_BenchMarkDataReport!AP:AP),0)</f>
        <v>104184.88</v>
      </c>
      <c r="AB27" s="88">
        <f>IFERROR(_xlfn.XLOOKUP($A27,CFR20252026_BenchMarkDataReport!$B:$B,CFR20252026_BenchMarkDataReport!AQ:AQ),0)</f>
        <v>17956.02</v>
      </c>
      <c r="AC27" s="88">
        <f>IFERROR(_xlfn.XLOOKUP($A27,CFR20252026_BenchMarkDataReport!$B:$B,CFR20252026_BenchMarkDataReport!AR:AR),0)</f>
        <v>3477.2</v>
      </c>
      <c r="AD27" s="88">
        <f>IFERROR(_xlfn.XLOOKUP($A27,CFR20252026_BenchMarkDataReport!$B:$B,CFR20252026_BenchMarkDataReport!AS:AS),0)</f>
        <v>706.23</v>
      </c>
      <c r="AE27" s="88">
        <f>IFERROR(_xlfn.XLOOKUP($A27,CFR20252026_BenchMarkDataReport!$B:$B,CFR20252026_BenchMarkDataReport!AT:AT),0)</f>
        <v>0</v>
      </c>
      <c r="AF27" s="88">
        <f>IFERROR(_xlfn.XLOOKUP($A27,CFR20252026_BenchMarkDataReport!$B:$B,CFR20252026_BenchMarkDataReport!AU:AU),0)</f>
        <v>21359.63</v>
      </c>
      <c r="AG27" s="88">
        <f>IFERROR(_xlfn.XLOOKUP($A27,CFR20252026_BenchMarkDataReport!$B:$B,CFR20252026_BenchMarkDataReport!AV:AV),0)</f>
        <v>6142.5</v>
      </c>
      <c r="AH27" s="88">
        <f>IFERROR(_xlfn.XLOOKUP($A27,CFR20252026_BenchMarkDataReport!$B:$B,CFR20252026_BenchMarkDataReport!AW:AW),0)</f>
        <v>76061.759999999995</v>
      </c>
      <c r="AI27" s="88">
        <f>IFERROR(_xlfn.XLOOKUP($A27,CFR20252026_BenchMarkDataReport!$B:$B,CFR20252026_BenchMarkDataReport!AX:AX),0)</f>
        <v>15907.53</v>
      </c>
      <c r="AJ27" s="88">
        <f>IFERROR(_xlfn.XLOOKUP($A27,CFR20252026_BenchMarkDataReport!$B:$B,CFR20252026_BenchMarkDataReport!AY:AY),0)</f>
        <v>39755.660000000003</v>
      </c>
      <c r="AK27" s="88">
        <f>IFERROR(_xlfn.XLOOKUP($A27,CFR20252026_BenchMarkDataReport!$B:$B,CFR20252026_BenchMarkDataReport!AZ:AZ),0)</f>
        <v>32487</v>
      </c>
      <c r="AL27" s="88">
        <f>IFERROR(_xlfn.XLOOKUP($A27,CFR20252026_BenchMarkDataReport!$B:$B,CFR20252026_BenchMarkDataReport!BA:BA),0)</f>
        <v>15037.84</v>
      </c>
      <c r="AM27" s="88">
        <f>IFERROR(_xlfn.XLOOKUP($A27,CFR20252026_BenchMarkDataReport!$B:$B,CFR20252026_BenchMarkDataReport!BB:BB),0)</f>
        <v>88835.17</v>
      </c>
      <c r="AN27" s="88">
        <f>IFERROR(_xlfn.XLOOKUP($A27,CFR20252026_BenchMarkDataReport!$B:$B,CFR20252026_BenchMarkDataReport!BC:BC),0)</f>
        <v>9734.35</v>
      </c>
      <c r="AO27" s="88">
        <f>IFERROR(_xlfn.XLOOKUP($A27,CFR20252026_BenchMarkDataReport!$B:$B,CFR20252026_BenchMarkDataReport!BD:BD),0)</f>
        <v>500</v>
      </c>
      <c r="AP27" s="88">
        <f>IFERROR(_xlfn.XLOOKUP($A27,CFR20252026_BenchMarkDataReport!$B:$B,CFR20252026_BenchMarkDataReport!BE:BE),0)</f>
        <v>3931.03</v>
      </c>
      <c r="AQ27" s="88">
        <f>IFERROR(_xlfn.XLOOKUP($A27,CFR20252026_BenchMarkDataReport!$B:$B,CFR20252026_BenchMarkDataReport!BF:BF),0)</f>
        <v>3679.25</v>
      </c>
      <c r="AR27" s="88">
        <f>IFERROR(_xlfn.XLOOKUP($A27,CFR20252026_BenchMarkDataReport!$B:$B,CFR20252026_BenchMarkDataReport!BG:BG),0)</f>
        <v>454.73</v>
      </c>
      <c r="AS27" s="88">
        <f>IFERROR(_xlfn.XLOOKUP($A27,CFR20252026_BenchMarkDataReport!$B:$B,CFR20252026_BenchMarkDataReport!BH:BH),0)</f>
        <v>59.4</v>
      </c>
      <c r="AT27" s="88">
        <f>IFERROR(_xlfn.XLOOKUP($A27,CFR20252026_BenchMarkDataReport!$B:$B,CFR20252026_BenchMarkDataReport!BI:BI),0)</f>
        <v>0</v>
      </c>
      <c r="AU27" s="88">
        <f>IFERROR(_xlfn.XLOOKUP($A27,CFR20252026_BenchMarkDataReport!$B:$B,CFR20252026_BenchMarkDataReport!BJ:BJ),0)</f>
        <v>0</v>
      </c>
      <c r="AV27" s="88">
        <f>IFERROR(_xlfn.XLOOKUP($A27,CFR20252026_BenchMarkDataReport!$B:$B,CFR20252026_BenchMarkDataReport!BK:BK),0)</f>
        <v>4250.95</v>
      </c>
      <c r="AW27" s="88">
        <f>IFERROR(_xlfn.XLOOKUP($A27,CFR20252026_BenchMarkDataReport!$B:$B,CFR20252026_BenchMarkDataReport!BL:BL),0)</f>
        <v>18941.11</v>
      </c>
      <c r="AX27" s="88">
        <f>IFERROR(_xlfn.XLOOKUP($A27,CFR20252026_BenchMarkDataReport!$B:$B,CFR20252026_BenchMarkDataReport!BM:BM),0)</f>
        <v>10465.799999999999</v>
      </c>
      <c r="AY27" s="88">
        <f>IFERROR(_xlfn.XLOOKUP($A27,CFR20252026_BenchMarkDataReport!$B:$B,CFR20252026_BenchMarkDataReport!BN:BN),0)</f>
        <v>185166.14</v>
      </c>
      <c r="AZ27" s="88">
        <f>IFERROR(_xlfn.XLOOKUP($A27,CFR20252026_BenchMarkDataReport!$B:$B,CFR20252026_BenchMarkDataReport!BO:BO),0)</f>
        <v>273003.73</v>
      </c>
      <c r="BA27" s="88">
        <f>IFERROR(_xlfn.XLOOKUP($A27,CFR20252026_BenchMarkDataReport!$B:$B,CFR20252026_BenchMarkDataReport!BP:BP),0)</f>
        <v>132562.6</v>
      </c>
      <c r="BB27" s="88">
        <f>IFERROR(_xlfn.XLOOKUP($A27,CFR20252026_BenchMarkDataReport!$B:$B,CFR20252026_BenchMarkDataReport!BQ:BQ),0)</f>
        <v>73344.75</v>
      </c>
      <c r="BC27" s="88">
        <f>IFERROR(_xlfn.XLOOKUP($A27,CFR20252026_BenchMarkDataReport!$B:$B,CFR20252026_BenchMarkDataReport!BR:BR),0)</f>
        <v>0</v>
      </c>
      <c r="BD27" s="88">
        <f>IFERROR(_xlfn.XLOOKUP($A27,CFR20252026_BenchMarkDataReport!$B:$B,CFR20252026_BenchMarkDataReport!BS:BS),0)</f>
        <v>0</v>
      </c>
      <c r="BE27" s="88">
        <f>IFERROR(_xlfn.XLOOKUP($A27,CFR20252026_BenchMarkDataReport!$B:$B,CFR20252026_BenchMarkDataReport!BT:BT),0)</f>
        <v>0</v>
      </c>
      <c r="BF27" s="88">
        <f>IFERROR(_xlfn.XLOOKUP($A27,CFR20252026_BenchMarkDataReport!$B:$B,CFR20252026_BenchMarkDataReport!BU:BU),0)</f>
        <v>0</v>
      </c>
      <c r="BG27" s="88">
        <f>IFERROR(_xlfn.XLOOKUP($A27,CFR20252026_BenchMarkDataReport!$B:$B,CFR20252026_BenchMarkDataReport!BV:BV),0)</f>
        <v>0</v>
      </c>
      <c r="BH27" s="89">
        <f t="shared" si="0"/>
        <v>3196613.67</v>
      </c>
      <c r="BI27" s="90">
        <f t="shared" si="85"/>
        <v>3333485.669999999</v>
      </c>
      <c r="BJ27" s="124">
        <f t="shared" si="86"/>
        <v>-136871.99999999907</v>
      </c>
      <c r="BK27" s="88">
        <f>IFERROR(_xlfn.XLOOKUP(A27,CFR20252026_BenchMarkDataReport!$B:$B,CFR20252026_BenchMarkDataReport!P:P)+_xlfn.XLOOKUP(A27,CFR20252026_BenchMarkDataReport!$B:$B,CFR20252026_BenchMarkDataReport!Q:Q),0)</f>
        <v>-119192</v>
      </c>
      <c r="BL27" s="89">
        <f t="shared" si="1"/>
        <v>-256063.99999999907</v>
      </c>
      <c r="BM27" s="91">
        <f>SUMIFS(PP!I:I,PP!E:E,A27)</f>
        <v>413</v>
      </c>
      <c r="BN27" s="90">
        <f t="shared" si="21"/>
        <v>2686391.3899999997</v>
      </c>
      <c r="BO27" t="s">
        <v>173</v>
      </c>
      <c r="BP27" s="92">
        <f t="shared" si="22"/>
        <v>0.71929149010990745</v>
      </c>
      <c r="BQ27" s="93">
        <f t="shared" si="23"/>
        <v>5567.3051089588371</v>
      </c>
      <c r="BR27" s="94">
        <f t="shared" si="24"/>
        <v>0</v>
      </c>
      <c r="BS27" s="95">
        <f t="shared" si="25"/>
        <v>0</v>
      </c>
      <c r="BT27" s="92">
        <f t="shared" si="26"/>
        <v>0.12109514003298372</v>
      </c>
      <c r="BU27" s="93">
        <f t="shared" si="27"/>
        <v>937.27452784503635</v>
      </c>
      <c r="BV27" s="94">
        <f t="shared" si="28"/>
        <v>0</v>
      </c>
      <c r="BW27" s="95">
        <f t="shared" si="29"/>
        <v>0</v>
      </c>
      <c r="BX27" s="92">
        <f t="shared" si="30"/>
        <v>3.6368173323866188E-2</v>
      </c>
      <c r="BY27" s="93">
        <f t="shared" si="31"/>
        <v>281.48910411622273</v>
      </c>
      <c r="BZ27" s="94">
        <f t="shared" si="32"/>
        <v>7.1580279514978119E-3</v>
      </c>
      <c r="CA27" s="95">
        <f t="shared" si="33"/>
        <v>55.40302663438257</v>
      </c>
      <c r="CB27" s="92">
        <f t="shared" si="34"/>
        <v>4.9840877393232196E-2</v>
      </c>
      <c r="CC27" s="93">
        <f t="shared" si="35"/>
        <v>385.76762711864404</v>
      </c>
      <c r="CD27" s="94">
        <f t="shared" si="36"/>
        <v>4.7570359041854436E-2</v>
      </c>
      <c r="CE27" s="96">
        <f t="shared" si="37"/>
        <v>368.1938498789346</v>
      </c>
      <c r="CF27" s="97">
        <f t="shared" si="38"/>
        <v>1.1080935532631944E-2</v>
      </c>
      <c r="CG27" s="98">
        <f t="shared" si="39"/>
        <v>85.766271186440676</v>
      </c>
      <c r="CH27" s="94">
        <f t="shared" si="40"/>
        <v>7.5937452898397952E-3</v>
      </c>
      <c r="CI27" s="95">
        <f t="shared" si="41"/>
        <v>58.77547215496368</v>
      </c>
      <c r="CJ27" s="99">
        <f t="shared" si="42"/>
        <v>0.53672953813330981</v>
      </c>
      <c r="CK27" s="97">
        <f t="shared" si="43"/>
        <v>0.45106032785000255</v>
      </c>
      <c r="CL27" s="97">
        <f t="shared" si="44"/>
        <v>0.43253991549332216</v>
      </c>
      <c r="CM27" s="98">
        <f t="shared" si="45"/>
        <v>3491.2000242130748</v>
      </c>
      <c r="CN27" s="94">
        <f t="shared" si="46"/>
        <v>0.32782794542830934</v>
      </c>
      <c r="CO27" s="100">
        <f t="shared" si="47"/>
        <v>0.27550222232516453</v>
      </c>
      <c r="CP27" s="100">
        <f t="shared" si="48"/>
        <v>0.26419017724470983</v>
      </c>
      <c r="CQ27" s="101">
        <f t="shared" si="49"/>
        <v>2132.3829782082325</v>
      </c>
      <c r="CR27" s="99">
        <f t="shared" si="50"/>
        <v>0</v>
      </c>
      <c r="CS27" s="97">
        <f t="shared" si="51"/>
        <v>0</v>
      </c>
      <c r="CT27" s="97">
        <f t="shared" si="52"/>
        <v>0</v>
      </c>
      <c r="CU27" s="98">
        <f t="shared" si="53"/>
        <v>0</v>
      </c>
      <c r="CV27" s="94">
        <f t="shared" si="54"/>
        <v>5.4327288474521208E-2</v>
      </c>
      <c r="CW27" s="100">
        <f t="shared" si="55"/>
        <v>4.5655926885903607E-2</v>
      </c>
      <c r="CX27" s="100">
        <f t="shared" si="56"/>
        <v>4.3781307150481924E-2</v>
      </c>
      <c r="CY27" s="95">
        <f t="shared" si="57"/>
        <v>353.37617433414039</v>
      </c>
      <c r="CZ27" s="99">
        <f t="shared" si="58"/>
        <v>0.85604253295347255</v>
      </c>
      <c r="DA27" s="97">
        <f t="shared" si="59"/>
        <v>0.7194066995277536</v>
      </c>
      <c r="DB27" s="97">
        <f t="shared" si="60"/>
        <v>0.68986805933982021</v>
      </c>
      <c r="DC27" s="98">
        <f t="shared" si="61"/>
        <v>5568.1968280871661</v>
      </c>
      <c r="DD27" s="94">
        <f t="shared" si="62"/>
        <v>7.9510491581794435E-3</v>
      </c>
      <c r="DE27" s="100">
        <f t="shared" si="63"/>
        <v>6.4075961664475994E-3</v>
      </c>
      <c r="DF27" s="95">
        <f t="shared" si="64"/>
        <v>51.718232445520584</v>
      </c>
      <c r="DG27" s="99">
        <f t="shared" si="65"/>
        <v>4.7720409129582385E-3</v>
      </c>
      <c r="DH27" s="98">
        <f t="shared" si="66"/>
        <v>38.517021791767554</v>
      </c>
      <c r="DI27" s="94">
        <f t="shared" si="67"/>
        <v>1.4798908360110552E-2</v>
      </c>
      <c r="DJ27" s="100">
        <f t="shared" si="68"/>
        <v>1.1926152962883447E-2</v>
      </c>
      <c r="DK27" s="95">
        <f t="shared" si="69"/>
        <v>96.26067796610171</v>
      </c>
      <c r="DL27" s="99">
        <f t="shared" si="70"/>
        <v>5.5977844687776501E-3</v>
      </c>
      <c r="DM27" s="97">
        <f t="shared" si="71"/>
        <v>4.511145836124145E-3</v>
      </c>
      <c r="DN27" s="102">
        <f t="shared" si="72"/>
        <v>36.411234866828089</v>
      </c>
      <c r="DO27" s="94">
        <f t="shared" si="73"/>
        <v>3.3068587969231102E-2</v>
      </c>
      <c r="DP27" s="100">
        <f t="shared" si="74"/>
        <v>2.7790399207045874E-2</v>
      </c>
      <c r="DQ27" s="100">
        <f t="shared" si="75"/>
        <v>2.6649333098828058E-2</v>
      </c>
      <c r="DR27" s="95">
        <f t="shared" si="76"/>
        <v>215.09726392251815</v>
      </c>
      <c r="DS27" s="99">
        <f t="shared" si="77"/>
        <v>1.5824015874321279E-3</v>
      </c>
      <c r="DT27" s="97">
        <f t="shared" si="78"/>
        <v>1.27522672086363E-3</v>
      </c>
      <c r="DU27" s="98">
        <f t="shared" si="87"/>
        <v>10.292857142857143</v>
      </c>
      <c r="DV27" s="94">
        <f t="shared" si="79"/>
        <v>4.9345974117345585E-2</v>
      </c>
      <c r="DW27" s="100">
        <f t="shared" si="80"/>
        <v>3.976696261004177E-2</v>
      </c>
      <c r="DX27" s="95">
        <f t="shared" si="81"/>
        <v>320.97481840193706</v>
      </c>
      <c r="DY27" s="99">
        <f t="shared" si="82"/>
        <v>5.5547303432685845E-2</v>
      </c>
      <c r="DZ27" s="98">
        <f t="shared" si="83"/>
        <v>448.34416464891046</v>
      </c>
      <c r="EA27" s="94">
        <f t="shared" si="14"/>
        <v>2.2817485218108051E-2</v>
      </c>
      <c r="EB27" s="95">
        <f t="shared" si="84"/>
        <v>184.16891041162225</v>
      </c>
      <c r="EC27" s="103">
        <f>IFERROR(VLOOKUP(A27,PP!$E$3:$S$130,14,0),0)</f>
        <v>75</v>
      </c>
    </row>
    <row r="28" spans="1:133">
      <c r="A28" s="121">
        <v>2073</v>
      </c>
      <c r="B28" s="122">
        <v>10083</v>
      </c>
      <c r="C28" s="121" t="s">
        <v>52</v>
      </c>
      <c r="D28" s="88">
        <f>IFERROR(_xlfn.XLOOKUP($A28,CFR20252026_BenchMarkDataReport!$B:$B,CFR20252026_BenchMarkDataReport!S:S),0)</f>
        <v>3861497.56</v>
      </c>
      <c r="E28" s="88">
        <f>IFERROR(_xlfn.XLOOKUP($A28,CFR20252026_BenchMarkDataReport!$B:$B,CFR20252026_BenchMarkDataReport!T:T),0)</f>
        <v>0</v>
      </c>
      <c r="F28" s="88">
        <f>IFERROR(_xlfn.XLOOKUP($A28,CFR20252026_BenchMarkDataReport!$B:$B,CFR20252026_BenchMarkDataReport!U:U),0)</f>
        <v>326626.52</v>
      </c>
      <c r="G28" s="88">
        <f>IFERROR(_xlfn.XLOOKUP($A28,CFR20252026_BenchMarkDataReport!$B:$B,CFR20252026_BenchMarkDataReport!V:V),0)</f>
        <v>0</v>
      </c>
      <c r="H28" s="88">
        <f>IFERROR(_xlfn.XLOOKUP($A28,CFR20252026_BenchMarkDataReport!$B:$B,CFR20252026_BenchMarkDataReport!W:W),0)</f>
        <v>329541</v>
      </c>
      <c r="I28" s="88">
        <f>IFERROR(_xlfn.XLOOKUP($A28,CFR20252026_BenchMarkDataReport!$B:$B,CFR20252026_BenchMarkDataReport!X:X),0)</f>
        <v>74440.899999999994</v>
      </c>
      <c r="J28" s="88">
        <f>IFERROR(_xlfn.XLOOKUP($A28,CFR20252026_BenchMarkDataReport!$B:$B,CFR20252026_BenchMarkDataReport!Y:Y),0)</f>
        <v>130999.73</v>
      </c>
      <c r="K28" s="88">
        <f>IFERROR(_xlfn.XLOOKUP($A28,CFR20252026_BenchMarkDataReport!$B:$B,CFR20252026_BenchMarkDataReport!Z:Z),0)</f>
        <v>28175.05</v>
      </c>
      <c r="L28" s="88">
        <f>IFERROR(_xlfn.XLOOKUP($A28,CFR20252026_BenchMarkDataReport!$B:$B,CFR20252026_BenchMarkDataReport!AA:AA),0)</f>
        <v>146774.93</v>
      </c>
      <c r="M28" s="88">
        <f>IFERROR(_xlfn.XLOOKUP($A28,CFR20252026_BenchMarkDataReport!$B:$B,CFR20252026_BenchMarkDataReport!AB:AB),0)</f>
        <v>2436.1799999999998</v>
      </c>
      <c r="N28" s="88">
        <f>IFERROR(_xlfn.XLOOKUP($A28,CFR20252026_BenchMarkDataReport!$B:$B,CFR20252026_BenchMarkDataReport!AC:AC),0)</f>
        <v>0</v>
      </c>
      <c r="O28" s="88">
        <f>IFERROR(_xlfn.XLOOKUP($A28,CFR20252026_BenchMarkDataReport!$B:$B,CFR20252026_BenchMarkDataReport!AD:AD),0)</f>
        <v>0</v>
      </c>
      <c r="P28" s="88">
        <f>IFERROR(_xlfn.XLOOKUP($A28,CFR20252026_BenchMarkDataReport!$B:$B,CFR20252026_BenchMarkDataReport!AE:AE),0)</f>
        <v>25480.9</v>
      </c>
      <c r="Q28" s="88">
        <f>IFERROR(_xlfn.XLOOKUP($A28,CFR20252026_BenchMarkDataReport!$B:$B,CFR20252026_BenchMarkDataReport!AF:AF),0)</f>
        <v>9356</v>
      </c>
      <c r="R28" s="88">
        <f>IFERROR(_xlfn.XLOOKUP($A28,CFR20252026_BenchMarkDataReport!$B:$B,CFR20252026_BenchMarkDataReport!AG:AG),0)</f>
        <v>0</v>
      </c>
      <c r="S28" s="88">
        <f>IFERROR(_xlfn.XLOOKUP($A28,CFR20252026_BenchMarkDataReport!$B:$B,CFR20252026_BenchMarkDataReport!AH:AH),0)</f>
        <v>0</v>
      </c>
      <c r="T28" s="88">
        <f>IFERROR(_xlfn.XLOOKUP($A28,CFR20252026_BenchMarkDataReport!$B:$B,CFR20252026_BenchMarkDataReport!AI:AI),0)</f>
        <v>0</v>
      </c>
      <c r="U28" s="88">
        <f>IFERROR(_xlfn.XLOOKUP($A28,CFR20252026_BenchMarkDataReport!$B:$B,CFR20252026_BenchMarkDataReport!AJ:AJ),0)</f>
        <v>2021304.49</v>
      </c>
      <c r="V28" s="88">
        <f>IFERROR(_xlfn.XLOOKUP($A28,CFR20252026_BenchMarkDataReport!$B:$B,CFR20252026_BenchMarkDataReport!AK:AK),0)</f>
        <v>0</v>
      </c>
      <c r="W28" s="88">
        <f>IFERROR(_xlfn.XLOOKUP($A28,CFR20252026_BenchMarkDataReport!$B:$B,CFR20252026_BenchMarkDataReport!AL:AL),0)</f>
        <v>1296494.31</v>
      </c>
      <c r="X28" s="88">
        <f>IFERROR(_xlfn.XLOOKUP($A28,CFR20252026_BenchMarkDataReport!$B:$B,CFR20252026_BenchMarkDataReport!AM:AM),0)</f>
        <v>197309.75</v>
      </c>
      <c r="Y28" s="88">
        <f>IFERROR(_xlfn.XLOOKUP($A28,CFR20252026_BenchMarkDataReport!$B:$B,CFR20252026_BenchMarkDataReport!AN:AN),0)</f>
        <v>243957.58</v>
      </c>
      <c r="Z28" s="88">
        <f>IFERROR(_xlfn.XLOOKUP($A28,CFR20252026_BenchMarkDataReport!$B:$B,CFR20252026_BenchMarkDataReport!AO:AO),0)</f>
        <v>0</v>
      </c>
      <c r="AA28" s="88">
        <f>IFERROR(_xlfn.XLOOKUP($A28,CFR20252026_BenchMarkDataReport!$B:$B,CFR20252026_BenchMarkDataReport!AP:AP),0)</f>
        <v>245498.01</v>
      </c>
      <c r="AB28" s="88">
        <f>IFERROR(_xlfn.XLOOKUP($A28,CFR20252026_BenchMarkDataReport!$B:$B,CFR20252026_BenchMarkDataReport!AQ:AQ),0)</f>
        <v>22239.9</v>
      </c>
      <c r="AC28" s="88">
        <f>IFERROR(_xlfn.XLOOKUP($A28,CFR20252026_BenchMarkDataReport!$B:$B,CFR20252026_BenchMarkDataReport!AR:AR),0)</f>
        <v>8647.48</v>
      </c>
      <c r="AD28" s="88">
        <f>IFERROR(_xlfn.XLOOKUP($A28,CFR20252026_BenchMarkDataReport!$B:$B,CFR20252026_BenchMarkDataReport!AS:AS),0)</f>
        <v>1068.75</v>
      </c>
      <c r="AE28" s="88">
        <f>IFERROR(_xlfn.XLOOKUP($A28,CFR20252026_BenchMarkDataReport!$B:$B,CFR20252026_BenchMarkDataReport!AT:AT),0)</f>
        <v>0</v>
      </c>
      <c r="AF28" s="88">
        <f>IFERROR(_xlfn.XLOOKUP($A28,CFR20252026_BenchMarkDataReport!$B:$B,CFR20252026_BenchMarkDataReport!AU:AU),0)</f>
        <v>41799.599999999999</v>
      </c>
      <c r="AG28" s="88">
        <f>IFERROR(_xlfn.XLOOKUP($A28,CFR20252026_BenchMarkDataReport!$B:$B,CFR20252026_BenchMarkDataReport!AV:AV),0)</f>
        <v>19701.12</v>
      </c>
      <c r="AH28" s="88">
        <f>IFERROR(_xlfn.XLOOKUP($A28,CFR20252026_BenchMarkDataReport!$B:$B,CFR20252026_BenchMarkDataReport!AW:AW),0)</f>
        <v>17204.669999999998</v>
      </c>
      <c r="AI28" s="88">
        <f>IFERROR(_xlfn.XLOOKUP($A28,CFR20252026_BenchMarkDataReport!$B:$B,CFR20252026_BenchMarkDataReport!AX:AX),0)</f>
        <v>9790.85</v>
      </c>
      <c r="AJ28" s="88">
        <f>IFERROR(_xlfn.XLOOKUP($A28,CFR20252026_BenchMarkDataReport!$B:$B,CFR20252026_BenchMarkDataReport!AY:AY),0)</f>
        <v>52916.76</v>
      </c>
      <c r="AK28" s="88">
        <f>IFERROR(_xlfn.XLOOKUP($A28,CFR20252026_BenchMarkDataReport!$B:$B,CFR20252026_BenchMarkDataReport!AZ:AZ),0)</f>
        <v>77119.070000000007</v>
      </c>
      <c r="AL28" s="88">
        <f>IFERROR(_xlfn.XLOOKUP($A28,CFR20252026_BenchMarkDataReport!$B:$B,CFR20252026_BenchMarkDataReport!BA:BA),0)</f>
        <v>35770.720000000001</v>
      </c>
      <c r="AM28" s="88">
        <f>IFERROR(_xlfn.XLOOKUP($A28,CFR20252026_BenchMarkDataReport!$B:$B,CFR20252026_BenchMarkDataReport!BB:BB),0)</f>
        <v>83052.59</v>
      </c>
      <c r="AN28" s="88">
        <f>IFERROR(_xlfn.XLOOKUP($A28,CFR20252026_BenchMarkDataReport!$B:$B,CFR20252026_BenchMarkDataReport!BC:BC),0)</f>
        <v>17521.580000000002</v>
      </c>
      <c r="AO28" s="88">
        <f>IFERROR(_xlfn.XLOOKUP($A28,CFR20252026_BenchMarkDataReport!$B:$B,CFR20252026_BenchMarkDataReport!BD:BD),0)</f>
        <v>0</v>
      </c>
      <c r="AP28" s="88">
        <f>IFERROR(_xlfn.XLOOKUP($A28,CFR20252026_BenchMarkDataReport!$B:$B,CFR20252026_BenchMarkDataReport!BE:BE),0)</f>
        <v>8173.39</v>
      </c>
      <c r="AQ28" s="88">
        <f>IFERROR(_xlfn.XLOOKUP($A28,CFR20252026_BenchMarkDataReport!$B:$B,CFR20252026_BenchMarkDataReport!BF:BF),0)</f>
        <v>21440.29</v>
      </c>
      <c r="AR28" s="88">
        <f>IFERROR(_xlfn.XLOOKUP($A28,CFR20252026_BenchMarkDataReport!$B:$B,CFR20252026_BenchMarkDataReport!BG:BG),0)</f>
        <v>0</v>
      </c>
      <c r="AS28" s="88">
        <f>IFERROR(_xlfn.XLOOKUP($A28,CFR20252026_BenchMarkDataReport!$B:$B,CFR20252026_BenchMarkDataReport!BH:BH),0)</f>
        <v>11284.87</v>
      </c>
      <c r="AT28" s="88">
        <f>IFERROR(_xlfn.XLOOKUP($A28,CFR20252026_BenchMarkDataReport!$B:$B,CFR20252026_BenchMarkDataReport!BI:BI),0)</f>
        <v>15129.58</v>
      </c>
      <c r="AU28" s="88">
        <f>IFERROR(_xlfn.XLOOKUP($A28,CFR20252026_BenchMarkDataReport!$B:$B,CFR20252026_BenchMarkDataReport!BJ:BJ),0)</f>
        <v>0</v>
      </c>
      <c r="AV28" s="88">
        <f>IFERROR(_xlfn.XLOOKUP($A28,CFR20252026_BenchMarkDataReport!$B:$B,CFR20252026_BenchMarkDataReport!BK:BK),0)</f>
        <v>14057.24</v>
      </c>
      <c r="AW28" s="88">
        <f>IFERROR(_xlfn.XLOOKUP($A28,CFR20252026_BenchMarkDataReport!$B:$B,CFR20252026_BenchMarkDataReport!BL:BL),0)</f>
        <v>31527.24</v>
      </c>
      <c r="AX28" s="88">
        <f>IFERROR(_xlfn.XLOOKUP($A28,CFR20252026_BenchMarkDataReport!$B:$B,CFR20252026_BenchMarkDataReport!BM:BM),0)</f>
        <v>14749.1</v>
      </c>
      <c r="AY28" s="88">
        <f>IFERROR(_xlfn.XLOOKUP($A28,CFR20252026_BenchMarkDataReport!$B:$B,CFR20252026_BenchMarkDataReport!BN:BN),0)</f>
        <v>280497.69</v>
      </c>
      <c r="AZ28" s="88">
        <f>IFERROR(_xlfn.XLOOKUP($A28,CFR20252026_BenchMarkDataReport!$B:$B,CFR20252026_BenchMarkDataReport!BO:BO),0)</f>
        <v>175485.17</v>
      </c>
      <c r="BA28" s="88">
        <f>IFERROR(_xlfn.XLOOKUP($A28,CFR20252026_BenchMarkDataReport!$B:$B,CFR20252026_BenchMarkDataReport!BP:BP),0)</f>
        <v>241113.75</v>
      </c>
      <c r="BB28" s="88">
        <f>IFERROR(_xlfn.XLOOKUP($A28,CFR20252026_BenchMarkDataReport!$B:$B,CFR20252026_BenchMarkDataReport!BQ:BQ),0)</f>
        <v>41089.22</v>
      </c>
      <c r="BC28" s="88">
        <f>IFERROR(_xlfn.XLOOKUP($A28,CFR20252026_BenchMarkDataReport!$B:$B,CFR20252026_BenchMarkDataReport!BR:BR),0)</f>
        <v>0</v>
      </c>
      <c r="BD28" s="88">
        <f>IFERROR(_xlfn.XLOOKUP($A28,CFR20252026_BenchMarkDataReport!$B:$B,CFR20252026_BenchMarkDataReport!BS:BS),0)</f>
        <v>0</v>
      </c>
      <c r="BE28" s="88">
        <f>IFERROR(_xlfn.XLOOKUP($A28,CFR20252026_BenchMarkDataReport!$B:$B,CFR20252026_BenchMarkDataReport!BT:BT),0)</f>
        <v>0</v>
      </c>
      <c r="BF28" s="88">
        <f>IFERROR(_xlfn.XLOOKUP($A28,CFR20252026_BenchMarkDataReport!$B:$B,CFR20252026_BenchMarkDataReport!BU:BU),0)</f>
        <v>0</v>
      </c>
      <c r="BG28" s="88">
        <f>IFERROR(_xlfn.XLOOKUP($A28,CFR20252026_BenchMarkDataReport!$B:$B,CFR20252026_BenchMarkDataReport!BV:BV),0)</f>
        <v>0</v>
      </c>
      <c r="BH28" s="89">
        <f t="shared" si="0"/>
        <v>4935328.7700000005</v>
      </c>
      <c r="BI28" s="90">
        <f t="shared" si="85"/>
        <v>5245944.7699999996</v>
      </c>
      <c r="BJ28" s="124">
        <f t="shared" si="86"/>
        <v>-310615.99999999907</v>
      </c>
      <c r="BK28" s="88">
        <f>IFERROR(_xlfn.XLOOKUP(A28,CFR20252026_BenchMarkDataReport!$B:$B,CFR20252026_BenchMarkDataReport!P:P)+_xlfn.XLOOKUP(A28,CFR20252026_BenchMarkDataReport!$B:$B,CFR20252026_BenchMarkDataReport!Q:Q),0)</f>
        <v>42938</v>
      </c>
      <c r="BL28" s="89">
        <f t="shared" si="1"/>
        <v>-267677.99999999907</v>
      </c>
      <c r="BM28" s="91">
        <f>SUMIFS(PP!I:I,PP!E:E,A28)</f>
        <v>625</v>
      </c>
      <c r="BN28" s="90">
        <f t="shared" si="21"/>
        <v>4188124.08</v>
      </c>
      <c r="BO28" t="s">
        <v>173</v>
      </c>
      <c r="BP28" s="92">
        <f t="shared" si="22"/>
        <v>0.78241951852784053</v>
      </c>
      <c r="BQ28" s="93">
        <f t="shared" si="23"/>
        <v>6178.3960960000004</v>
      </c>
      <c r="BR28" s="94">
        <f t="shared" si="24"/>
        <v>0</v>
      </c>
      <c r="BS28" s="95">
        <f t="shared" si="25"/>
        <v>0</v>
      </c>
      <c r="BT28" s="92">
        <f t="shared" si="26"/>
        <v>6.6181309335548069E-2</v>
      </c>
      <c r="BU28" s="93">
        <f t="shared" si="27"/>
        <v>522.60243200000002</v>
      </c>
      <c r="BV28" s="94">
        <f t="shared" si="28"/>
        <v>0</v>
      </c>
      <c r="BW28" s="95">
        <f t="shared" si="29"/>
        <v>0</v>
      </c>
      <c r="BX28" s="92">
        <f t="shared" si="30"/>
        <v>6.6771843449043411E-2</v>
      </c>
      <c r="BY28" s="93">
        <f t="shared" si="31"/>
        <v>527.26559999999995</v>
      </c>
      <c r="BZ28" s="94">
        <f t="shared" si="32"/>
        <v>1.5083270734160227E-2</v>
      </c>
      <c r="CA28" s="95">
        <f t="shared" si="33"/>
        <v>119.10543999999999</v>
      </c>
      <c r="CB28" s="92">
        <f t="shared" si="34"/>
        <v>2.6543263094507073E-2</v>
      </c>
      <c r="CC28" s="93">
        <f t="shared" si="35"/>
        <v>209.599568</v>
      </c>
      <c r="CD28" s="94">
        <f t="shared" si="36"/>
        <v>3.5448495561927876E-2</v>
      </c>
      <c r="CE28" s="96">
        <f t="shared" si="37"/>
        <v>279.91996799999998</v>
      </c>
      <c r="CF28" s="97">
        <f t="shared" si="38"/>
        <v>5.1629589815553462E-3</v>
      </c>
      <c r="CG28" s="98">
        <f t="shared" si="39"/>
        <v>40.769440000000003</v>
      </c>
      <c r="CH28" s="94">
        <f t="shared" si="40"/>
        <v>1.8957197050116681E-3</v>
      </c>
      <c r="CI28" s="95">
        <f t="shared" si="41"/>
        <v>14.9696</v>
      </c>
      <c r="CJ28" s="99">
        <f t="shared" si="42"/>
        <v>0.52452831340183215</v>
      </c>
      <c r="CK28" s="97">
        <f t="shared" si="43"/>
        <v>0.44511516099058179</v>
      </c>
      <c r="CL28" s="97">
        <f t="shared" si="44"/>
        <v>0.41875958598778773</v>
      </c>
      <c r="CM28" s="98">
        <f t="shared" si="45"/>
        <v>3514.863456</v>
      </c>
      <c r="CN28" s="94">
        <f t="shared" si="46"/>
        <v>0.30956444585567294</v>
      </c>
      <c r="CO28" s="100">
        <f t="shared" si="47"/>
        <v>0.26269664503019519</v>
      </c>
      <c r="CP28" s="100">
        <f t="shared" si="48"/>
        <v>0.24714219589467773</v>
      </c>
      <c r="CQ28" s="101">
        <f t="shared" si="49"/>
        <v>2074.3908959999999</v>
      </c>
      <c r="CR28" s="99">
        <f t="shared" si="50"/>
        <v>4.7111725018423999E-2</v>
      </c>
      <c r="CS28" s="97">
        <f t="shared" si="51"/>
        <v>3.9979048852706922E-2</v>
      </c>
      <c r="CT28" s="97">
        <f t="shared" si="52"/>
        <v>3.7611861857249407E-2</v>
      </c>
      <c r="CU28" s="98">
        <f t="shared" si="53"/>
        <v>315.69560000000001</v>
      </c>
      <c r="CV28" s="94">
        <f t="shared" si="54"/>
        <v>5.8249845357972292E-2</v>
      </c>
      <c r="CW28" s="100">
        <f t="shared" si="55"/>
        <v>4.9430866993689655E-2</v>
      </c>
      <c r="CX28" s="100">
        <f t="shared" si="56"/>
        <v>4.6504031341527072E-2</v>
      </c>
      <c r="CY28" s="95">
        <f t="shared" si="57"/>
        <v>390.33212799999995</v>
      </c>
      <c r="CZ28" s="99">
        <f t="shared" si="58"/>
        <v>0.95617132241220504</v>
      </c>
      <c r="DA28" s="97">
        <f t="shared" si="59"/>
        <v>0.81140777577822831</v>
      </c>
      <c r="DB28" s="97">
        <f t="shared" si="60"/>
        <v>0.76336376297762665</v>
      </c>
      <c r="DC28" s="98">
        <f t="shared" si="61"/>
        <v>6407.302623999999</v>
      </c>
      <c r="DD28" s="94">
        <f t="shared" si="62"/>
        <v>9.98050659473298E-3</v>
      </c>
      <c r="DE28" s="100">
        <f t="shared" si="63"/>
        <v>7.9679832389848056E-3</v>
      </c>
      <c r="DF28" s="95">
        <f t="shared" si="64"/>
        <v>66.879359999999991</v>
      </c>
      <c r="DG28" s="99">
        <f t="shared" si="65"/>
        <v>1.8663654364016497E-3</v>
      </c>
      <c r="DH28" s="98">
        <f t="shared" si="66"/>
        <v>15.66536</v>
      </c>
      <c r="DI28" s="94">
        <f t="shared" si="67"/>
        <v>1.2634955170669156E-2</v>
      </c>
      <c r="DJ28" s="100">
        <f t="shared" si="68"/>
        <v>1.0087174440458322E-2</v>
      </c>
      <c r="DK28" s="95">
        <f t="shared" si="69"/>
        <v>84.666815999999997</v>
      </c>
      <c r="DL28" s="99">
        <f t="shared" si="70"/>
        <v>8.5409885945881524E-3</v>
      </c>
      <c r="DM28" s="97">
        <f t="shared" si="71"/>
        <v>6.8187374378323859E-3</v>
      </c>
      <c r="DN28" s="102">
        <f t="shared" si="72"/>
        <v>57.233152000000004</v>
      </c>
      <c r="DO28" s="94">
        <f t="shared" si="73"/>
        <v>1.9830498909191821E-2</v>
      </c>
      <c r="DP28" s="100">
        <f t="shared" si="74"/>
        <v>1.6828177791284205E-2</v>
      </c>
      <c r="DQ28" s="100">
        <f t="shared" si="75"/>
        <v>1.5831769803401875E-2</v>
      </c>
      <c r="DR28" s="95">
        <f t="shared" si="76"/>
        <v>132.88414399999999</v>
      </c>
      <c r="DS28" s="99">
        <f t="shared" si="77"/>
        <v>3.3564526101624E-3</v>
      </c>
      <c r="DT28" s="97">
        <f t="shared" si="78"/>
        <v>2.6796393435914883E-3</v>
      </c>
      <c r="DU28" s="98">
        <f t="shared" si="87"/>
        <v>22.491584</v>
      </c>
      <c r="DV28" s="94">
        <f t="shared" si="79"/>
        <v>5.7570822973325088E-2</v>
      </c>
      <c r="DW28" s="100">
        <f t="shared" si="80"/>
        <v>4.5961930704809924E-2</v>
      </c>
      <c r="DX28" s="95">
        <f t="shared" si="81"/>
        <v>385.78199999999998</v>
      </c>
      <c r="DY28" s="99">
        <f t="shared" si="82"/>
        <v>5.3469432542272079E-2</v>
      </c>
      <c r="DZ28" s="98">
        <f t="shared" si="83"/>
        <v>448.79630400000002</v>
      </c>
      <c r="EA28" s="94">
        <f t="shared" si="14"/>
        <v>3.2796132544872371E-3</v>
      </c>
      <c r="EB28" s="95">
        <f t="shared" si="84"/>
        <v>27.527471999999996</v>
      </c>
      <c r="EC28" s="103">
        <f>IFERROR(VLOOKUP(A28,PP!$E$3:$S$130,14,0),0)</f>
        <v>217</v>
      </c>
    </row>
    <row r="29" spans="1:133">
      <c r="A29" s="121">
        <v>2019</v>
      </c>
      <c r="B29" s="122">
        <v>10059</v>
      </c>
      <c r="C29" s="121" t="s">
        <v>53</v>
      </c>
      <c r="D29" s="88">
        <f>IFERROR(_xlfn.XLOOKUP($A29,CFR20252026_BenchMarkDataReport!$B:$B,CFR20252026_BenchMarkDataReport!S:S),0)</f>
        <v>1432866.71</v>
      </c>
      <c r="E29" s="88">
        <f>IFERROR(_xlfn.XLOOKUP($A29,CFR20252026_BenchMarkDataReport!$B:$B,CFR20252026_BenchMarkDataReport!T:T),0)</f>
        <v>0</v>
      </c>
      <c r="F29" s="88">
        <f>IFERROR(_xlfn.XLOOKUP($A29,CFR20252026_BenchMarkDataReport!$B:$B,CFR20252026_BenchMarkDataReport!U:U),0)</f>
        <v>114876.4</v>
      </c>
      <c r="G29" s="88">
        <f>IFERROR(_xlfn.XLOOKUP($A29,CFR20252026_BenchMarkDataReport!$B:$B,CFR20252026_BenchMarkDataReport!V:V),0)</f>
        <v>0</v>
      </c>
      <c r="H29" s="88">
        <f>IFERROR(_xlfn.XLOOKUP($A29,CFR20252026_BenchMarkDataReport!$B:$B,CFR20252026_BenchMarkDataReport!W:W),0)</f>
        <v>78780</v>
      </c>
      <c r="I29" s="88">
        <f>IFERROR(_xlfn.XLOOKUP($A29,CFR20252026_BenchMarkDataReport!$B:$B,CFR20252026_BenchMarkDataReport!X:X),0)</f>
        <v>71595</v>
      </c>
      <c r="J29" s="88">
        <f>IFERROR(_xlfn.XLOOKUP($A29,CFR20252026_BenchMarkDataReport!$B:$B,CFR20252026_BenchMarkDataReport!Y:Y),0)</f>
        <v>2860</v>
      </c>
      <c r="K29" s="88">
        <f>IFERROR(_xlfn.XLOOKUP($A29,CFR20252026_BenchMarkDataReport!$B:$B,CFR20252026_BenchMarkDataReport!Z:Z),0)</f>
        <v>9452.11</v>
      </c>
      <c r="L29" s="88">
        <f>IFERROR(_xlfn.XLOOKUP($A29,CFR20252026_BenchMarkDataReport!$B:$B,CFR20252026_BenchMarkDataReport!AA:AA),0)</f>
        <v>25314</v>
      </c>
      <c r="M29" s="88">
        <f>IFERROR(_xlfn.XLOOKUP($A29,CFR20252026_BenchMarkDataReport!$B:$B,CFR20252026_BenchMarkDataReport!AB:AB),0)</f>
        <v>19.34</v>
      </c>
      <c r="N29" s="88">
        <f>IFERROR(_xlfn.XLOOKUP($A29,CFR20252026_BenchMarkDataReport!$B:$B,CFR20252026_BenchMarkDataReport!AC:AC),0)</f>
        <v>0</v>
      </c>
      <c r="O29" s="88">
        <f>IFERROR(_xlfn.XLOOKUP($A29,CFR20252026_BenchMarkDataReport!$B:$B,CFR20252026_BenchMarkDataReport!AD:AD),0)</f>
        <v>0</v>
      </c>
      <c r="P29" s="88">
        <f>IFERROR(_xlfn.XLOOKUP($A29,CFR20252026_BenchMarkDataReport!$B:$B,CFR20252026_BenchMarkDataReport!AE:AE),0)</f>
        <v>24647.5</v>
      </c>
      <c r="Q29" s="88">
        <f>IFERROR(_xlfn.XLOOKUP($A29,CFR20252026_BenchMarkDataReport!$B:$B,CFR20252026_BenchMarkDataReport!AF:AF),0)</f>
        <v>7684.72</v>
      </c>
      <c r="R29" s="88">
        <f>IFERROR(_xlfn.XLOOKUP($A29,CFR20252026_BenchMarkDataReport!$B:$B,CFR20252026_BenchMarkDataReport!AG:AG),0)</f>
        <v>0</v>
      </c>
      <c r="S29" s="88">
        <f>IFERROR(_xlfn.XLOOKUP($A29,CFR20252026_BenchMarkDataReport!$B:$B,CFR20252026_BenchMarkDataReport!AH:AH),0)</f>
        <v>0</v>
      </c>
      <c r="T29" s="88">
        <f>IFERROR(_xlfn.XLOOKUP($A29,CFR20252026_BenchMarkDataReport!$B:$B,CFR20252026_BenchMarkDataReport!AI:AI),0)</f>
        <v>0</v>
      </c>
      <c r="U29" s="88">
        <f>IFERROR(_xlfn.XLOOKUP($A29,CFR20252026_BenchMarkDataReport!$B:$B,CFR20252026_BenchMarkDataReport!AJ:AJ),0)</f>
        <v>820704</v>
      </c>
      <c r="V29" s="88">
        <f>IFERROR(_xlfn.XLOOKUP($A29,CFR20252026_BenchMarkDataReport!$B:$B,CFR20252026_BenchMarkDataReport!AK:AK),0)</f>
        <v>0</v>
      </c>
      <c r="W29" s="88">
        <f>IFERROR(_xlfn.XLOOKUP($A29,CFR20252026_BenchMarkDataReport!$B:$B,CFR20252026_BenchMarkDataReport!AL:AL),0)</f>
        <v>449441.86</v>
      </c>
      <c r="X29" s="88">
        <f>IFERROR(_xlfn.XLOOKUP($A29,CFR20252026_BenchMarkDataReport!$B:$B,CFR20252026_BenchMarkDataReport!AM:AM),0)</f>
        <v>56278.48</v>
      </c>
      <c r="Y29" s="88">
        <f>IFERROR(_xlfn.XLOOKUP($A29,CFR20252026_BenchMarkDataReport!$B:$B,CFR20252026_BenchMarkDataReport!AN:AN),0)</f>
        <v>98206.68</v>
      </c>
      <c r="Z29" s="88">
        <f>IFERROR(_xlfn.XLOOKUP($A29,CFR20252026_BenchMarkDataReport!$B:$B,CFR20252026_BenchMarkDataReport!AO:AO),0)</f>
        <v>0</v>
      </c>
      <c r="AA29" s="88">
        <f>IFERROR(_xlfn.XLOOKUP($A29,CFR20252026_BenchMarkDataReport!$B:$B,CFR20252026_BenchMarkDataReport!AP:AP),0)</f>
        <v>57295.199999999997</v>
      </c>
      <c r="AB29" s="88">
        <f>IFERROR(_xlfn.XLOOKUP($A29,CFR20252026_BenchMarkDataReport!$B:$B,CFR20252026_BenchMarkDataReport!AQ:AQ),0)</f>
        <v>7490.76</v>
      </c>
      <c r="AC29" s="88">
        <f>IFERROR(_xlfn.XLOOKUP($A29,CFR20252026_BenchMarkDataReport!$B:$B,CFR20252026_BenchMarkDataReport!AR:AR),0)</f>
        <v>1448.12</v>
      </c>
      <c r="AD29" s="88">
        <f>IFERROR(_xlfn.XLOOKUP($A29,CFR20252026_BenchMarkDataReport!$B:$B,CFR20252026_BenchMarkDataReport!AS:AS),0)</f>
        <v>297.54000000000002</v>
      </c>
      <c r="AE29" s="88">
        <f>IFERROR(_xlfn.XLOOKUP($A29,CFR20252026_BenchMarkDataReport!$B:$B,CFR20252026_BenchMarkDataReport!AT:AT),0)</f>
        <v>0</v>
      </c>
      <c r="AF29" s="88">
        <f>IFERROR(_xlfn.XLOOKUP($A29,CFR20252026_BenchMarkDataReport!$B:$B,CFR20252026_BenchMarkDataReport!AU:AU),0)</f>
        <v>14845.21</v>
      </c>
      <c r="AG29" s="88">
        <f>IFERROR(_xlfn.XLOOKUP($A29,CFR20252026_BenchMarkDataReport!$B:$B,CFR20252026_BenchMarkDataReport!AV:AV),0)</f>
        <v>5660</v>
      </c>
      <c r="AH29" s="88">
        <f>IFERROR(_xlfn.XLOOKUP($A29,CFR20252026_BenchMarkDataReport!$B:$B,CFR20252026_BenchMarkDataReport!AW:AW),0)</f>
        <v>2004.3</v>
      </c>
      <c r="AI29" s="88">
        <f>IFERROR(_xlfn.XLOOKUP($A29,CFR20252026_BenchMarkDataReport!$B:$B,CFR20252026_BenchMarkDataReport!AX:AX),0)</f>
        <v>9950.77</v>
      </c>
      <c r="AJ29" s="88">
        <f>IFERROR(_xlfn.XLOOKUP($A29,CFR20252026_BenchMarkDataReport!$B:$B,CFR20252026_BenchMarkDataReport!AY:AY),0)</f>
        <v>33702.61</v>
      </c>
      <c r="AK29" s="88">
        <f>IFERROR(_xlfn.XLOOKUP($A29,CFR20252026_BenchMarkDataReport!$B:$B,CFR20252026_BenchMarkDataReport!AZ:AZ),0)</f>
        <v>22278.52</v>
      </c>
      <c r="AL29" s="88">
        <f>IFERROR(_xlfn.XLOOKUP($A29,CFR20252026_BenchMarkDataReport!$B:$B,CFR20252026_BenchMarkDataReport!BA:BA),0)</f>
        <v>7725.89</v>
      </c>
      <c r="AM29" s="88">
        <f>IFERROR(_xlfn.XLOOKUP($A29,CFR20252026_BenchMarkDataReport!$B:$B,CFR20252026_BenchMarkDataReport!BB:BB),0)</f>
        <v>21808.79</v>
      </c>
      <c r="AN29" s="88">
        <f>IFERROR(_xlfn.XLOOKUP($A29,CFR20252026_BenchMarkDataReport!$B:$B,CFR20252026_BenchMarkDataReport!BC:BC),0)</f>
        <v>8069.9</v>
      </c>
      <c r="AO29" s="88">
        <f>IFERROR(_xlfn.XLOOKUP($A29,CFR20252026_BenchMarkDataReport!$B:$B,CFR20252026_BenchMarkDataReport!BD:BD),0)</f>
        <v>0</v>
      </c>
      <c r="AP29" s="88">
        <f>IFERROR(_xlfn.XLOOKUP($A29,CFR20252026_BenchMarkDataReport!$B:$B,CFR20252026_BenchMarkDataReport!BE:BE),0)</f>
        <v>5795.3</v>
      </c>
      <c r="AQ29" s="88">
        <f>IFERROR(_xlfn.XLOOKUP($A29,CFR20252026_BenchMarkDataReport!$B:$B,CFR20252026_BenchMarkDataReport!BF:BF),0)</f>
        <v>11634.39</v>
      </c>
      <c r="AR29" s="88">
        <f>IFERROR(_xlfn.XLOOKUP($A29,CFR20252026_BenchMarkDataReport!$B:$B,CFR20252026_BenchMarkDataReport!BG:BG),0)</f>
        <v>100.84</v>
      </c>
      <c r="AS29" s="88">
        <f>IFERROR(_xlfn.XLOOKUP($A29,CFR20252026_BenchMarkDataReport!$B:$B,CFR20252026_BenchMarkDataReport!BH:BH),0)</f>
        <v>118.2</v>
      </c>
      <c r="AT29" s="88">
        <f>IFERROR(_xlfn.XLOOKUP($A29,CFR20252026_BenchMarkDataReport!$B:$B,CFR20252026_BenchMarkDataReport!BI:BI),0)</f>
        <v>7086</v>
      </c>
      <c r="AU29" s="88">
        <f>IFERROR(_xlfn.XLOOKUP($A29,CFR20252026_BenchMarkDataReport!$B:$B,CFR20252026_BenchMarkDataReport!BJ:BJ),0)</f>
        <v>0</v>
      </c>
      <c r="AV29" s="88">
        <f>IFERROR(_xlfn.XLOOKUP($A29,CFR20252026_BenchMarkDataReport!$B:$B,CFR20252026_BenchMarkDataReport!BK:BK),0)</f>
        <v>6707.73</v>
      </c>
      <c r="AW29" s="88">
        <f>IFERROR(_xlfn.XLOOKUP($A29,CFR20252026_BenchMarkDataReport!$B:$B,CFR20252026_BenchMarkDataReport!BL:BL),0)</f>
        <v>8196.1200000000008</v>
      </c>
      <c r="AX29" s="88">
        <f>IFERROR(_xlfn.XLOOKUP($A29,CFR20252026_BenchMarkDataReport!$B:$B,CFR20252026_BenchMarkDataReport!BM:BM),0)</f>
        <v>2184.81</v>
      </c>
      <c r="AY29" s="88">
        <f>IFERROR(_xlfn.XLOOKUP($A29,CFR20252026_BenchMarkDataReport!$B:$B,CFR20252026_BenchMarkDataReport!BN:BN),0)</f>
        <v>62247.86</v>
      </c>
      <c r="AZ29" s="88">
        <f>IFERROR(_xlfn.XLOOKUP($A29,CFR20252026_BenchMarkDataReport!$B:$B,CFR20252026_BenchMarkDataReport!BO:BO),0)</f>
        <v>47380.95</v>
      </c>
      <c r="BA29" s="88">
        <f>IFERROR(_xlfn.XLOOKUP($A29,CFR20252026_BenchMarkDataReport!$B:$B,CFR20252026_BenchMarkDataReport!BP:BP),0)</f>
        <v>88270.33</v>
      </c>
      <c r="BB29" s="88">
        <f>IFERROR(_xlfn.XLOOKUP($A29,CFR20252026_BenchMarkDataReport!$B:$B,CFR20252026_BenchMarkDataReport!BQ:BQ),0)</f>
        <v>22449.86</v>
      </c>
      <c r="BC29" s="88">
        <f>IFERROR(_xlfn.XLOOKUP($A29,CFR20252026_BenchMarkDataReport!$B:$B,CFR20252026_BenchMarkDataReport!BR:BR),0)</f>
        <v>0</v>
      </c>
      <c r="BD29" s="88">
        <f>IFERROR(_xlfn.XLOOKUP($A29,CFR20252026_BenchMarkDataReport!$B:$B,CFR20252026_BenchMarkDataReport!BS:BS),0)</f>
        <v>0</v>
      </c>
      <c r="BE29" s="88">
        <f>IFERROR(_xlfn.XLOOKUP($A29,CFR20252026_BenchMarkDataReport!$B:$B,CFR20252026_BenchMarkDataReport!BT:BT),0)</f>
        <v>3535.2</v>
      </c>
      <c r="BF29" s="88">
        <f>IFERROR(_xlfn.XLOOKUP($A29,CFR20252026_BenchMarkDataReport!$B:$B,CFR20252026_BenchMarkDataReport!BU:BU),0)</f>
        <v>0</v>
      </c>
      <c r="BG29" s="88">
        <f>IFERROR(_xlfn.XLOOKUP($A29,CFR20252026_BenchMarkDataReport!$B:$B,CFR20252026_BenchMarkDataReport!BV:BV),0)</f>
        <v>0</v>
      </c>
      <c r="BH29" s="89">
        <f t="shared" si="0"/>
        <v>1768095.78</v>
      </c>
      <c r="BI29" s="90">
        <f t="shared" si="85"/>
        <v>1882916.2200000002</v>
      </c>
      <c r="BJ29" s="124">
        <f t="shared" si="86"/>
        <v>-114820.44000000018</v>
      </c>
      <c r="BK29" s="88">
        <f>IFERROR(_xlfn.XLOOKUP(A29,CFR20252026_BenchMarkDataReport!$B:$B,CFR20252026_BenchMarkDataReport!P:P)+_xlfn.XLOOKUP(A29,CFR20252026_BenchMarkDataReport!$B:$B,CFR20252026_BenchMarkDataReport!Q:Q),0)</f>
        <v>-212623.57</v>
      </c>
      <c r="BL29" s="89">
        <f t="shared" si="1"/>
        <v>-327444.01000000018</v>
      </c>
      <c r="BM29" s="91">
        <f>SUMIFS(PP!I:I,PP!E:E,A29)</f>
        <v>174</v>
      </c>
      <c r="BN29" s="90">
        <f t="shared" si="21"/>
        <v>1547743.1099999999</v>
      </c>
      <c r="BO29" t="s">
        <v>173</v>
      </c>
      <c r="BP29" s="92">
        <f t="shared" si="22"/>
        <v>0.81040106888327057</v>
      </c>
      <c r="BQ29" s="93">
        <f t="shared" si="23"/>
        <v>8234.8661494252865</v>
      </c>
      <c r="BR29" s="94">
        <f t="shared" si="24"/>
        <v>0</v>
      </c>
      <c r="BS29" s="95">
        <f t="shared" si="25"/>
        <v>0</v>
      </c>
      <c r="BT29" s="92">
        <f t="shared" si="26"/>
        <v>6.4971819569638919E-2</v>
      </c>
      <c r="BU29" s="93">
        <f t="shared" si="27"/>
        <v>660.20919540229886</v>
      </c>
      <c r="BV29" s="94">
        <f t="shared" si="28"/>
        <v>0</v>
      </c>
      <c r="BW29" s="95">
        <f t="shared" si="29"/>
        <v>0</v>
      </c>
      <c r="BX29" s="92">
        <f t="shared" si="30"/>
        <v>4.4556409721197343E-2</v>
      </c>
      <c r="BY29" s="93">
        <f t="shared" si="31"/>
        <v>452.75862068965517</v>
      </c>
      <c r="BZ29" s="94">
        <f t="shared" si="32"/>
        <v>4.0492715841446099E-2</v>
      </c>
      <c r="CA29" s="95">
        <f t="shared" si="33"/>
        <v>411.4655172413793</v>
      </c>
      <c r="CB29" s="92">
        <f t="shared" si="34"/>
        <v>1.6175594288223459E-3</v>
      </c>
      <c r="CC29" s="93">
        <f t="shared" si="35"/>
        <v>16.436781609195403</v>
      </c>
      <c r="CD29" s="94">
        <f t="shared" si="36"/>
        <v>1.9663024137753442E-2</v>
      </c>
      <c r="CE29" s="96">
        <f t="shared" si="37"/>
        <v>199.80522988505749</v>
      </c>
      <c r="CF29" s="97">
        <f t="shared" si="38"/>
        <v>1.3940138469195373E-2</v>
      </c>
      <c r="CG29" s="98">
        <f t="shared" si="39"/>
        <v>141.65229885057471</v>
      </c>
      <c r="CH29" s="94">
        <f t="shared" si="40"/>
        <v>4.3463256272236565E-3</v>
      </c>
      <c r="CI29" s="95">
        <f t="shared" si="41"/>
        <v>44.165057471264369</v>
      </c>
      <c r="CJ29" s="99">
        <f t="shared" si="42"/>
        <v>0.56087146787557018</v>
      </c>
      <c r="CK29" s="97">
        <f t="shared" si="43"/>
        <v>0.49097167688506105</v>
      </c>
      <c r="CL29" s="97">
        <f t="shared" si="44"/>
        <v>0.4610321695566465</v>
      </c>
      <c r="CM29" s="98">
        <f t="shared" si="45"/>
        <v>4988.9939655172411</v>
      </c>
      <c r="CN29" s="94">
        <f t="shared" si="46"/>
        <v>0.29038530819239117</v>
      </c>
      <c r="CO29" s="100">
        <f t="shared" si="47"/>
        <v>0.25419542599666178</v>
      </c>
      <c r="CP29" s="100">
        <f t="shared" si="48"/>
        <v>0.23869456071709869</v>
      </c>
      <c r="CQ29" s="101">
        <f t="shared" si="49"/>
        <v>2582.9991954022989</v>
      </c>
      <c r="CR29" s="99">
        <f t="shared" si="50"/>
        <v>3.6361641435444673E-2</v>
      </c>
      <c r="CS29" s="97">
        <f t="shared" si="51"/>
        <v>3.1829995092234199E-2</v>
      </c>
      <c r="CT29" s="97">
        <f t="shared" si="52"/>
        <v>2.9888998460058939E-2</v>
      </c>
      <c r="CU29" s="98">
        <f t="shared" si="53"/>
        <v>323.4395402298851</v>
      </c>
      <c r="CV29" s="94">
        <f t="shared" si="54"/>
        <v>6.3451537509994146E-2</v>
      </c>
      <c r="CW29" s="100">
        <f t="shared" si="55"/>
        <v>5.5543755666901708E-2</v>
      </c>
      <c r="CX29" s="100">
        <f t="shared" si="56"/>
        <v>5.2156691283906396E-2</v>
      </c>
      <c r="CY29" s="95">
        <f t="shared" si="57"/>
        <v>564.40620689655168</v>
      </c>
      <c r="CZ29" s="99">
        <f t="shared" si="58"/>
        <v>0.95747557228666968</v>
      </c>
      <c r="DA29" s="97">
        <f t="shared" si="59"/>
        <v>0.83814815733568448</v>
      </c>
      <c r="DB29" s="97">
        <f t="shared" si="60"/>
        <v>0.78703778971111071</v>
      </c>
      <c r="DC29" s="98">
        <f t="shared" si="61"/>
        <v>8516.817356321837</v>
      </c>
      <c r="DD29" s="94">
        <f t="shared" si="62"/>
        <v>9.5915206497026503E-3</v>
      </c>
      <c r="DE29" s="100">
        <f t="shared" si="63"/>
        <v>7.8841585421150582E-3</v>
      </c>
      <c r="DF29" s="95">
        <f t="shared" si="64"/>
        <v>85.317298850574701</v>
      </c>
      <c r="DG29" s="99">
        <f t="shared" si="65"/>
        <v>5.2847651394707295E-3</v>
      </c>
      <c r="DH29" s="98">
        <f t="shared" si="66"/>
        <v>57.188333333333333</v>
      </c>
      <c r="DI29" s="94">
        <f t="shared" si="67"/>
        <v>2.1775325493130448E-2</v>
      </c>
      <c r="DJ29" s="100">
        <f t="shared" si="68"/>
        <v>1.7899155385681469E-2</v>
      </c>
      <c r="DK29" s="95">
        <f t="shared" si="69"/>
        <v>193.69316091954025</v>
      </c>
      <c r="DL29" s="99">
        <f t="shared" si="70"/>
        <v>4.9917133858215015E-3</v>
      </c>
      <c r="DM29" s="97">
        <f t="shared" si="71"/>
        <v>4.1031512278331744E-3</v>
      </c>
      <c r="DN29" s="102">
        <f t="shared" si="72"/>
        <v>44.401666666666671</v>
      </c>
      <c r="DO29" s="94">
        <f t="shared" si="73"/>
        <v>1.4090703979938895E-2</v>
      </c>
      <c r="DP29" s="100">
        <f t="shared" si="74"/>
        <v>1.2334620243254017E-2</v>
      </c>
      <c r="DQ29" s="100">
        <f t="shared" si="75"/>
        <v>1.1582453732328036E-2</v>
      </c>
      <c r="DR29" s="95">
        <f t="shared" si="76"/>
        <v>125.33787356321839</v>
      </c>
      <c r="DS29" s="99">
        <f t="shared" si="77"/>
        <v>4.3338781201229188E-3</v>
      </c>
      <c r="DT29" s="97">
        <f t="shared" si="78"/>
        <v>3.5624155385947012E-3</v>
      </c>
      <c r="DU29" s="98">
        <f t="shared" si="87"/>
        <v>38.550172413793099</v>
      </c>
      <c r="DV29" s="94">
        <f t="shared" si="79"/>
        <v>5.7031641381365933E-2</v>
      </c>
      <c r="DW29" s="100">
        <f t="shared" si="80"/>
        <v>4.6879584477741654E-2</v>
      </c>
      <c r="DX29" s="95">
        <f t="shared" si="81"/>
        <v>507.30074712643682</v>
      </c>
      <c r="DY29" s="99">
        <f t="shared" si="82"/>
        <v>3.3059282903197887E-2</v>
      </c>
      <c r="DZ29" s="98">
        <f t="shared" si="83"/>
        <v>357.74632183908045</v>
      </c>
      <c r="EA29" s="94">
        <f t="shared" si="14"/>
        <v>1.0644658422454929E-3</v>
      </c>
      <c r="EB29" s="95">
        <f t="shared" si="84"/>
        <v>11.518965517241378</v>
      </c>
      <c r="EC29" s="103">
        <f>IFERROR(VLOOKUP(A29,PP!$E$3:$S$130,14,0),0)</f>
        <v>52</v>
      </c>
    </row>
    <row r="30" spans="1:133">
      <c r="A30" s="26">
        <v>2023</v>
      </c>
      <c r="B30" s="125">
        <v>10063</v>
      </c>
      <c r="C30" s="127" t="s">
        <v>325</v>
      </c>
      <c r="D30" s="88">
        <f>IFERROR(_xlfn.XLOOKUP($A30,CFR20252026_BenchMarkDataReport!$B:$B,CFR20252026_BenchMarkDataReport!S:S),0)</f>
        <v>2768581.97</v>
      </c>
      <c r="E30" s="88">
        <f>IFERROR(_xlfn.XLOOKUP($A30,CFR20252026_BenchMarkDataReport!$B:$B,CFR20252026_BenchMarkDataReport!T:T),0)</f>
        <v>0</v>
      </c>
      <c r="F30" s="88">
        <f>IFERROR(_xlfn.XLOOKUP($A30,CFR20252026_BenchMarkDataReport!$B:$B,CFR20252026_BenchMarkDataReport!U:U),0)</f>
        <v>256414.39</v>
      </c>
      <c r="G30" s="88">
        <f>IFERROR(_xlfn.XLOOKUP($A30,CFR20252026_BenchMarkDataReport!$B:$B,CFR20252026_BenchMarkDataReport!V:V),0)</f>
        <v>0</v>
      </c>
      <c r="H30" s="88">
        <f>IFERROR(_xlfn.XLOOKUP($A30,CFR20252026_BenchMarkDataReport!$B:$B,CFR20252026_BenchMarkDataReport!W:W),0)</f>
        <v>229111</v>
      </c>
      <c r="I30" s="88">
        <f>IFERROR(_xlfn.XLOOKUP($A30,CFR20252026_BenchMarkDataReport!$B:$B,CFR20252026_BenchMarkDataReport!X:X),0)</f>
        <v>46756.55</v>
      </c>
      <c r="J30" s="88">
        <f>IFERROR(_xlfn.XLOOKUP($A30,CFR20252026_BenchMarkDataReport!$B:$B,CFR20252026_BenchMarkDataReport!Y:Y),0)</f>
        <v>78203.86</v>
      </c>
      <c r="K30" s="88">
        <f>IFERROR(_xlfn.XLOOKUP($A30,CFR20252026_BenchMarkDataReport!$B:$B,CFR20252026_BenchMarkDataReport!Z:Z),0)</f>
        <v>133381.54</v>
      </c>
      <c r="L30" s="88">
        <f>IFERROR(_xlfn.XLOOKUP($A30,CFR20252026_BenchMarkDataReport!$B:$B,CFR20252026_BenchMarkDataReport!AA:AA),0)</f>
        <v>27889.16</v>
      </c>
      <c r="M30" s="88">
        <f>IFERROR(_xlfn.XLOOKUP($A30,CFR20252026_BenchMarkDataReport!$B:$B,CFR20252026_BenchMarkDataReport!AB:AB),0)</f>
        <v>2282.54</v>
      </c>
      <c r="N30" s="88">
        <f>IFERROR(_xlfn.XLOOKUP($A30,CFR20252026_BenchMarkDataReport!$B:$B,CFR20252026_BenchMarkDataReport!AC:AC),0)</f>
        <v>0</v>
      </c>
      <c r="O30" s="88">
        <f>IFERROR(_xlfn.XLOOKUP($A30,CFR20252026_BenchMarkDataReport!$B:$B,CFR20252026_BenchMarkDataReport!AD:AD),0)</f>
        <v>0</v>
      </c>
      <c r="P30" s="88">
        <f>IFERROR(_xlfn.XLOOKUP($A30,CFR20252026_BenchMarkDataReport!$B:$B,CFR20252026_BenchMarkDataReport!AE:AE),0)</f>
        <v>14508.19</v>
      </c>
      <c r="Q30" s="88">
        <f>IFERROR(_xlfn.XLOOKUP($A30,CFR20252026_BenchMarkDataReport!$B:$B,CFR20252026_BenchMarkDataReport!AF:AF),0)</f>
        <v>4235.72</v>
      </c>
      <c r="R30" s="88">
        <f>IFERROR(_xlfn.XLOOKUP($A30,CFR20252026_BenchMarkDataReport!$B:$B,CFR20252026_BenchMarkDataReport!AG:AG),0)</f>
        <v>0</v>
      </c>
      <c r="S30" s="88">
        <f>IFERROR(_xlfn.XLOOKUP($A30,CFR20252026_BenchMarkDataReport!$B:$B,CFR20252026_BenchMarkDataReport!AH:AH),0)</f>
        <v>0</v>
      </c>
      <c r="T30" s="88">
        <f>IFERROR(_xlfn.XLOOKUP($A30,CFR20252026_BenchMarkDataReport!$B:$B,CFR20252026_BenchMarkDataReport!AI:AI),0)</f>
        <v>0</v>
      </c>
      <c r="U30" s="88">
        <f>IFERROR(_xlfn.XLOOKUP($A30,CFR20252026_BenchMarkDataReport!$B:$B,CFR20252026_BenchMarkDataReport!AJ:AJ),0)</f>
        <v>1227301.6200000001</v>
      </c>
      <c r="V30" s="88">
        <f>IFERROR(_xlfn.XLOOKUP($A30,CFR20252026_BenchMarkDataReport!$B:$B,CFR20252026_BenchMarkDataReport!AK:AK),0)</f>
        <v>0</v>
      </c>
      <c r="W30" s="88">
        <f>IFERROR(_xlfn.XLOOKUP($A30,CFR20252026_BenchMarkDataReport!$B:$B,CFR20252026_BenchMarkDataReport!AL:AL),0)</f>
        <v>894810.93</v>
      </c>
      <c r="X30" s="88">
        <f>IFERROR(_xlfn.XLOOKUP($A30,CFR20252026_BenchMarkDataReport!$B:$B,CFR20252026_BenchMarkDataReport!AM:AM),0)</f>
        <v>87770.67</v>
      </c>
      <c r="Y30" s="88">
        <f>IFERROR(_xlfn.XLOOKUP($A30,CFR20252026_BenchMarkDataReport!$B:$B,CFR20252026_BenchMarkDataReport!AN:AN),0)</f>
        <v>176554.1</v>
      </c>
      <c r="Z30" s="88">
        <f>IFERROR(_xlfn.XLOOKUP($A30,CFR20252026_BenchMarkDataReport!$B:$B,CFR20252026_BenchMarkDataReport!AO:AO),0)</f>
        <v>0</v>
      </c>
      <c r="AA30" s="88">
        <f>IFERROR(_xlfn.XLOOKUP($A30,CFR20252026_BenchMarkDataReport!$B:$B,CFR20252026_BenchMarkDataReport!AP:AP),0)</f>
        <v>29298.68</v>
      </c>
      <c r="AB30" s="88">
        <f>IFERROR(_xlfn.XLOOKUP($A30,CFR20252026_BenchMarkDataReport!$B:$B,CFR20252026_BenchMarkDataReport!AQ:AQ),0)</f>
        <v>10064.84</v>
      </c>
      <c r="AC30" s="88">
        <f>IFERROR(_xlfn.XLOOKUP($A30,CFR20252026_BenchMarkDataReport!$B:$B,CFR20252026_BenchMarkDataReport!AR:AR),0)</f>
        <v>3240.04</v>
      </c>
      <c r="AD30" s="88">
        <f>IFERROR(_xlfn.XLOOKUP($A30,CFR20252026_BenchMarkDataReport!$B:$B,CFR20252026_BenchMarkDataReport!AS:AS),0)</f>
        <v>699.39</v>
      </c>
      <c r="AE30" s="88">
        <f>IFERROR(_xlfn.XLOOKUP($A30,CFR20252026_BenchMarkDataReport!$B:$B,CFR20252026_BenchMarkDataReport!AT:AT),0)</f>
        <v>0</v>
      </c>
      <c r="AF30" s="88">
        <f>IFERROR(_xlfn.XLOOKUP($A30,CFR20252026_BenchMarkDataReport!$B:$B,CFR20252026_BenchMarkDataReport!AU:AU),0)</f>
        <v>17373.79</v>
      </c>
      <c r="AG30" s="88">
        <f>IFERROR(_xlfn.XLOOKUP($A30,CFR20252026_BenchMarkDataReport!$B:$B,CFR20252026_BenchMarkDataReport!AV:AV),0)</f>
        <v>8293.2800000000007</v>
      </c>
      <c r="AH30" s="88">
        <f>IFERROR(_xlfn.XLOOKUP($A30,CFR20252026_BenchMarkDataReport!$B:$B,CFR20252026_BenchMarkDataReport!AW:AW),0)</f>
        <v>76928.7</v>
      </c>
      <c r="AI30" s="88">
        <f>IFERROR(_xlfn.XLOOKUP($A30,CFR20252026_BenchMarkDataReport!$B:$B,CFR20252026_BenchMarkDataReport!AX:AX),0)</f>
        <v>22211.93</v>
      </c>
      <c r="AJ30" s="88">
        <f>IFERROR(_xlfn.XLOOKUP($A30,CFR20252026_BenchMarkDataReport!$B:$B,CFR20252026_BenchMarkDataReport!AY:AY),0)</f>
        <v>66010.509999999995</v>
      </c>
      <c r="AK30" s="88">
        <f>IFERROR(_xlfn.XLOOKUP($A30,CFR20252026_BenchMarkDataReport!$B:$B,CFR20252026_BenchMarkDataReport!AZ:AZ),0)</f>
        <v>32155.71</v>
      </c>
      <c r="AL30" s="88">
        <f>IFERROR(_xlfn.XLOOKUP($A30,CFR20252026_BenchMarkDataReport!$B:$B,CFR20252026_BenchMarkDataReport!BA:BA),0)</f>
        <v>9153.92</v>
      </c>
      <c r="AM30" s="88">
        <f>IFERROR(_xlfn.XLOOKUP($A30,CFR20252026_BenchMarkDataReport!$B:$B,CFR20252026_BenchMarkDataReport!BB:BB),0)</f>
        <v>98017.24</v>
      </c>
      <c r="AN30" s="88">
        <f>IFERROR(_xlfn.XLOOKUP($A30,CFR20252026_BenchMarkDataReport!$B:$B,CFR20252026_BenchMarkDataReport!BC:BC),0)</f>
        <v>5895</v>
      </c>
      <c r="AO30" s="88">
        <f>IFERROR(_xlfn.XLOOKUP($A30,CFR20252026_BenchMarkDataReport!$B:$B,CFR20252026_BenchMarkDataReport!BD:BD),0)</f>
        <v>4549.91</v>
      </c>
      <c r="AP30" s="88">
        <f>IFERROR(_xlfn.XLOOKUP($A30,CFR20252026_BenchMarkDataReport!$B:$B,CFR20252026_BenchMarkDataReport!BE:BE),0)</f>
        <v>20145.02</v>
      </c>
      <c r="AQ30" s="88">
        <f>IFERROR(_xlfn.XLOOKUP($A30,CFR20252026_BenchMarkDataReport!$B:$B,CFR20252026_BenchMarkDataReport!BF:BF),0)</f>
        <v>13177.54</v>
      </c>
      <c r="AR30" s="88">
        <f>IFERROR(_xlfn.XLOOKUP($A30,CFR20252026_BenchMarkDataReport!$B:$B,CFR20252026_BenchMarkDataReport!BG:BG),0)</f>
        <v>4462.3999999999996</v>
      </c>
      <c r="AS30" s="88">
        <f>IFERROR(_xlfn.XLOOKUP($A30,CFR20252026_BenchMarkDataReport!$B:$B,CFR20252026_BenchMarkDataReport!BH:BH),0)</f>
        <v>8270.9699999999993</v>
      </c>
      <c r="AT30" s="88">
        <f>IFERROR(_xlfn.XLOOKUP($A30,CFR20252026_BenchMarkDataReport!$B:$B,CFR20252026_BenchMarkDataReport!BI:BI),0)</f>
        <v>17420</v>
      </c>
      <c r="AU30" s="88">
        <f>IFERROR(_xlfn.XLOOKUP($A30,CFR20252026_BenchMarkDataReport!$B:$B,CFR20252026_BenchMarkDataReport!BJ:BJ),0)</f>
        <v>0</v>
      </c>
      <c r="AV30" s="88">
        <f>IFERROR(_xlfn.XLOOKUP($A30,CFR20252026_BenchMarkDataReport!$B:$B,CFR20252026_BenchMarkDataReport!BK:BK),0)</f>
        <v>9831.02</v>
      </c>
      <c r="AW30" s="88">
        <f>IFERROR(_xlfn.XLOOKUP($A30,CFR20252026_BenchMarkDataReport!$B:$B,CFR20252026_BenchMarkDataReport!BL:BL),0)</f>
        <v>18349.919999999998</v>
      </c>
      <c r="AX30" s="88">
        <f>IFERROR(_xlfn.XLOOKUP($A30,CFR20252026_BenchMarkDataReport!$B:$B,CFR20252026_BenchMarkDataReport!BM:BM),0)</f>
        <v>10974.9</v>
      </c>
      <c r="AY30" s="88">
        <f>IFERROR(_xlfn.XLOOKUP($A30,CFR20252026_BenchMarkDataReport!$B:$B,CFR20252026_BenchMarkDataReport!BN:BN),0)</f>
        <v>187982.48</v>
      </c>
      <c r="AZ30" s="88">
        <f>IFERROR(_xlfn.XLOOKUP($A30,CFR20252026_BenchMarkDataReport!$B:$B,CFR20252026_BenchMarkDataReport!BO:BO),0)</f>
        <v>264233.24</v>
      </c>
      <c r="BA30" s="88">
        <f>IFERROR(_xlfn.XLOOKUP($A30,CFR20252026_BenchMarkDataReport!$B:$B,CFR20252026_BenchMarkDataReport!BP:BP),0)</f>
        <v>122767.93</v>
      </c>
      <c r="BB30" s="88">
        <f>IFERROR(_xlfn.XLOOKUP($A30,CFR20252026_BenchMarkDataReport!$B:$B,CFR20252026_BenchMarkDataReport!BQ:BQ),0)</f>
        <v>32224.799999999999</v>
      </c>
      <c r="BC30" s="88">
        <f>IFERROR(_xlfn.XLOOKUP($A30,CFR20252026_BenchMarkDataReport!$B:$B,CFR20252026_BenchMarkDataReport!BR:BR),0)</f>
        <v>0</v>
      </c>
      <c r="BD30" s="88">
        <f>IFERROR(_xlfn.XLOOKUP($A30,CFR20252026_BenchMarkDataReport!$B:$B,CFR20252026_BenchMarkDataReport!BS:BS),0)</f>
        <v>0</v>
      </c>
      <c r="BE30" s="88">
        <f>IFERROR(_xlfn.XLOOKUP($A30,CFR20252026_BenchMarkDataReport!$B:$B,CFR20252026_BenchMarkDataReport!BT:BT),0)</f>
        <v>831</v>
      </c>
      <c r="BF30" s="88">
        <f>IFERROR(_xlfn.XLOOKUP($A30,CFR20252026_BenchMarkDataReport!$B:$B,CFR20252026_BenchMarkDataReport!BU:BU),0)</f>
        <v>0</v>
      </c>
      <c r="BG30" s="88">
        <f>IFERROR(_xlfn.XLOOKUP($A30,CFR20252026_BenchMarkDataReport!$B:$B,CFR20252026_BenchMarkDataReport!BV:BV),0)</f>
        <v>0</v>
      </c>
      <c r="BH30" s="89">
        <f t="shared" si="0"/>
        <v>3561364.9200000004</v>
      </c>
      <c r="BI30" s="90">
        <f t="shared" si="85"/>
        <v>3481001.4800000009</v>
      </c>
      <c r="BJ30" s="126">
        <f t="shared" si="86"/>
        <v>80363.439999999478</v>
      </c>
      <c r="BK30" s="88">
        <f>IFERROR(_xlfn.XLOOKUP(A30,CFR20252026_BenchMarkDataReport!$B:$B,CFR20252026_BenchMarkDataReport!P:P)+_xlfn.XLOOKUP(A30,CFR20252026_BenchMarkDataReport!$B:$B,CFR20252026_BenchMarkDataReport!Q:Q),0)</f>
        <v>-42493.7</v>
      </c>
      <c r="BL30" s="89">
        <f t="shared" si="1"/>
        <v>37869.739999999481</v>
      </c>
      <c r="BM30" s="91">
        <f>SUMIFS(PP!I:I,PP!E:E,A30)</f>
        <v>409</v>
      </c>
      <c r="BN30" s="90">
        <f t="shared" si="21"/>
        <v>3024996.3600000003</v>
      </c>
      <c r="BO30" t="s">
        <v>173</v>
      </c>
      <c r="BP30" s="92">
        <f t="shared" si="22"/>
        <v>0.77739350844170163</v>
      </c>
      <c r="BQ30" s="93">
        <f t="shared" si="23"/>
        <v>6769.1490709046457</v>
      </c>
      <c r="BR30" s="94">
        <f t="shared" si="24"/>
        <v>0</v>
      </c>
      <c r="BS30" s="95">
        <f t="shared" si="25"/>
        <v>0</v>
      </c>
      <c r="BT30" s="92">
        <f t="shared" si="26"/>
        <v>7.1998909339512446E-2</v>
      </c>
      <c r="BU30" s="93">
        <f t="shared" si="27"/>
        <v>626.93004889975555</v>
      </c>
      <c r="BV30" s="94">
        <f t="shared" si="28"/>
        <v>0</v>
      </c>
      <c r="BW30" s="95">
        <f t="shared" si="29"/>
        <v>0</v>
      </c>
      <c r="BX30" s="92">
        <f t="shared" si="30"/>
        <v>6.43323571570419E-2</v>
      </c>
      <c r="BY30" s="93">
        <f t="shared" si="31"/>
        <v>560.17359413202939</v>
      </c>
      <c r="BZ30" s="94">
        <f t="shared" si="32"/>
        <v>1.3128828707618089E-2</v>
      </c>
      <c r="CA30" s="95">
        <f t="shared" si="33"/>
        <v>114.31919315403424</v>
      </c>
      <c r="CB30" s="92">
        <f t="shared" si="34"/>
        <v>2.1958957241596008E-2</v>
      </c>
      <c r="CC30" s="93">
        <f t="shared" si="35"/>
        <v>191.20748166259168</v>
      </c>
      <c r="CD30" s="94">
        <f t="shared" si="36"/>
        <v>4.5283396569200773E-2</v>
      </c>
      <c r="CE30" s="96">
        <f t="shared" si="37"/>
        <v>394.30488997555017</v>
      </c>
      <c r="CF30" s="97">
        <f t="shared" si="38"/>
        <v>4.0737723670283129E-3</v>
      </c>
      <c r="CG30" s="98">
        <f t="shared" si="39"/>
        <v>35.47234718826406</v>
      </c>
      <c r="CH30" s="94">
        <f t="shared" si="40"/>
        <v>1.1893529854840037E-3</v>
      </c>
      <c r="CI30" s="95">
        <f t="shared" si="41"/>
        <v>10.356283618581907</v>
      </c>
      <c r="CJ30" s="99">
        <f t="shared" si="42"/>
        <v>0.49306996852055712</v>
      </c>
      <c r="CK30" s="97">
        <f t="shared" si="43"/>
        <v>0.41880989269698315</v>
      </c>
      <c r="CL30" s="97">
        <f t="shared" si="44"/>
        <v>0.42847866298522796</v>
      </c>
      <c r="CM30" s="98">
        <f t="shared" si="45"/>
        <v>3646.7844987775065</v>
      </c>
      <c r="CN30" s="94">
        <f t="shared" si="46"/>
        <v>0.29580562206031874</v>
      </c>
      <c r="CO30" s="100">
        <f t="shared" si="47"/>
        <v>0.25125505251509017</v>
      </c>
      <c r="CP30" s="100">
        <f t="shared" si="48"/>
        <v>0.25705560171149361</v>
      </c>
      <c r="CQ30" s="101">
        <f t="shared" si="49"/>
        <v>2187.8017848410759</v>
      </c>
      <c r="CR30" s="99">
        <f t="shared" si="50"/>
        <v>2.901513243473787E-2</v>
      </c>
      <c r="CS30" s="97">
        <f t="shared" si="51"/>
        <v>2.464523349098412E-2</v>
      </c>
      <c r="CT30" s="97">
        <f t="shared" si="52"/>
        <v>2.5214200713295869E-2</v>
      </c>
      <c r="CU30" s="98">
        <f t="shared" si="53"/>
        <v>214.59821515892421</v>
      </c>
      <c r="CV30" s="94">
        <f t="shared" si="54"/>
        <v>5.8365061966553902E-2</v>
      </c>
      <c r="CW30" s="100">
        <f t="shared" si="55"/>
        <v>4.9574841097721596E-2</v>
      </c>
      <c r="CX30" s="100">
        <f t="shared" si="56"/>
        <v>5.0719340688128625E-2</v>
      </c>
      <c r="CY30" s="95">
        <f t="shared" si="57"/>
        <v>431.67261613691932</v>
      </c>
      <c r="CZ30" s="99">
        <f t="shared" si="58"/>
        <v>0.79859137417276105</v>
      </c>
      <c r="DA30" s="97">
        <f t="shared" si="59"/>
        <v>0.67831745812782374</v>
      </c>
      <c r="DB30" s="97">
        <f t="shared" si="60"/>
        <v>0.69397729759080706</v>
      </c>
      <c r="DC30" s="98">
        <f t="shared" si="61"/>
        <v>5906.4449877750621</v>
      </c>
      <c r="DD30" s="94">
        <f t="shared" si="62"/>
        <v>5.7434085639693133E-3</v>
      </c>
      <c r="DE30" s="100">
        <f t="shared" si="63"/>
        <v>4.9910320635657979E-3</v>
      </c>
      <c r="DF30" s="95">
        <f t="shared" si="64"/>
        <v>42.478704156479218</v>
      </c>
      <c r="DG30" s="99">
        <f t="shared" si="65"/>
        <v>6.3809021994440506E-3</v>
      </c>
      <c r="DH30" s="98">
        <f t="shared" si="66"/>
        <v>54.307897310513447</v>
      </c>
      <c r="DI30" s="94">
        <f t="shared" si="67"/>
        <v>2.1821682456503844E-2</v>
      </c>
      <c r="DJ30" s="100">
        <f t="shared" si="68"/>
        <v>1.8963080130606547E-2</v>
      </c>
      <c r="DK30" s="95">
        <f t="shared" si="69"/>
        <v>161.39488997555011</v>
      </c>
      <c r="DL30" s="99">
        <f t="shared" si="70"/>
        <v>3.0260928975134366E-3</v>
      </c>
      <c r="DM30" s="97">
        <f t="shared" si="71"/>
        <v>2.629680008064805E-3</v>
      </c>
      <c r="DN30" s="102">
        <f t="shared" si="72"/>
        <v>22.381222493887531</v>
      </c>
      <c r="DO30" s="94">
        <f t="shared" si="73"/>
        <v>3.2402432378464081E-2</v>
      </c>
      <c r="DP30" s="100">
        <f t="shared" si="74"/>
        <v>2.7522380379935901E-2</v>
      </c>
      <c r="DQ30" s="100">
        <f t="shared" si="75"/>
        <v>2.8157770274777356E-2</v>
      </c>
      <c r="DR30" s="95">
        <f t="shared" si="76"/>
        <v>239.65095354523228</v>
      </c>
      <c r="DS30" s="99">
        <f t="shared" si="77"/>
        <v>3.2499278775991649E-3</v>
      </c>
      <c r="DT30" s="97">
        <f t="shared" si="78"/>
        <v>2.8241929963212765E-3</v>
      </c>
      <c r="DU30" s="98">
        <f t="shared" si="87"/>
        <v>24.03672371638142</v>
      </c>
      <c r="DV30" s="94">
        <f t="shared" si="79"/>
        <v>4.0584488504971282E-2</v>
      </c>
      <c r="DW30" s="100">
        <f t="shared" si="80"/>
        <v>3.5267991325301007E-2</v>
      </c>
      <c r="DX30" s="95">
        <f t="shared" si="81"/>
        <v>300.16608801955988</v>
      </c>
      <c r="DY30" s="99">
        <f t="shared" si="82"/>
        <v>5.4002413121639913E-2</v>
      </c>
      <c r="DZ30" s="98">
        <f t="shared" si="83"/>
        <v>459.61486552567237</v>
      </c>
      <c r="EA30" s="94">
        <f t="shared" si="14"/>
        <v>2.2099588420743783E-2</v>
      </c>
      <c r="EB30" s="95">
        <f t="shared" si="84"/>
        <v>188.08973105134473</v>
      </c>
      <c r="EC30" s="103">
        <f>IFERROR(VLOOKUP(A30,PP!$E$3:$S$130,14,0),0)</f>
        <v>149</v>
      </c>
    </row>
    <row r="31" spans="1:133">
      <c r="A31" s="26">
        <v>2024</v>
      </c>
      <c r="B31" s="125">
        <v>10064</v>
      </c>
      <c r="C31" s="26" t="s">
        <v>55</v>
      </c>
      <c r="D31" s="88">
        <f>IFERROR(_xlfn.XLOOKUP($A31,CFR20252026_BenchMarkDataReport!$B:$B,CFR20252026_BenchMarkDataReport!S:S),0)</f>
        <v>1721993.29</v>
      </c>
      <c r="E31" s="88">
        <f>IFERROR(_xlfn.XLOOKUP($A31,CFR20252026_BenchMarkDataReport!$B:$B,CFR20252026_BenchMarkDataReport!T:T),0)</f>
        <v>0</v>
      </c>
      <c r="F31" s="88">
        <f>IFERROR(_xlfn.XLOOKUP($A31,CFR20252026_BenchMarkDataReport!$B:$B,CFR20252026_BenchMarkDataReport!U:U),0)</f>
        <v>136387.63</v>
      </c>
      <c r="G31" s="88">
        <f>IFERROR(_xlfn.XLOOKUP($A31,CFR20252026_BenchMarkDataReport!$B:$B,CFR20252026_BenchMarkDataReport!V:V),0)</f>
        <v>0</v>
      </c>
      <c r="H31" s="88">
        <f>IFERROR(_xlfn.XLOOKUP($A31,CFR20252026_BenchMarkDataReport!$B:$B,CFR20252026_BenchMarkDataReport!W:W),0)</f>
        <v>113140</v>
      </c>
      <c r="I31" s="88">
        <f>IFERROR(_xlfn.XLOOKUP($A31,CFR20252026_BenchMarkDataReport!$B:$B,CFR20252026_BenchMarkDataReport!X:X),0)</f>
        <v>37560.42</v>
      </c>
      <c r="J31" s="88">
        <f>IFERROR(_xlfn.XLOOKUP($A31,CFR20252026_BenchMarkDataReport!$B:$B,CFR20252026_BenchMarkDataReport!Y:Y),0)</f>
        <v>39610.6</v>
      </c>
      <c r="K31" s="88">
        <f>IFERROR(_xlfn.XLOOKUP($A31,CFR20252026_BenchMarkDataReport!$B:$B,CFR20252026_BenchMarkDataReport!Z:Z),0)</f>
        <v>3984.08</v>
      </c>
      <c r="L31" s="88">
        <f>IFERROR(_xlfn.XLOOKUP($A31,CFR20252026_BenchMarkDataReport!$B:$B,CFR20252026_BenchMarkDataReport!AA:AA),0)</f>
        <v>9624.69</v>
      </c>
      <c r="M31" s="88">
        <f>IFERROR(_xlfn.XLOOKUP($A31,CFR20252026_BenchMarkDataReport!$B:$B,CFR20252026_BenchMarkDataReport!AB:AB),0)</f>
        <v>617.02</v>
      </c>
      <c r="N31" s="88">
        <f>IFERROR(_xlfn.XLOOKUP($A31,CFR20252026_BenchMarkDataReport!$B:$B,CFR20252026_BenchMarkDataReport!AC:AC),0)</f>
        <v>0</v>
      </c>
      <c r="O31" s="88">
        <f>IFERROR(_xlfn.XLOOKUP($A31,CFR20252026_BenchMarkDataReport!$B:$B,CFR20252026_BenchMarkDataReport!AD:AD),0)</f>
        <v>0</v>
      </c>
      <c r="P31" s="88">
        <f>IFERROR(_xlfn.XLOOKUP($A31,CFR20252026_BenchMarkDataReport!$B:$B,CFR20252026_BenchMarkDataReport!AE:AE),0)</f>
        <v>55435.9</v>
      </c>
      <c r="Q31" s="88">
        <f>IFERROR(_xlfn.XLOOKUP($A31,CFR20252026_BenchMarkDataReport!$B:$B,CFR20252026_BenchMarkDataReport!AF:AF),0)</f>
        <v>3720.95</v>
      </c>
      <c r="R31" s="88">
        <f>IFERROR(_xlfn.XLOOKUP($A31,CFR20252026_BenchMarkDataReport!$B:$B,CFR20252026_BenchMarkDataReport!AG:AG),0)</f>
        <v>0</v>
      </c>
      <c r="S31" s="88">
        <f>IFERROR(_xlfn.XLOOKUP($A31,CFR20252026_BenchMarkDataReport!$B:$B,CFR20252026_BenchMarkDataReport!AH:AH),0)</f>
        <v>198014.01</v>
      </c>
      <c r="T31" s="88">
        <f>IFERROR(_xlfn.XLOOKUP($A31,CFR20252026_BenchMarkDataReport!$B:$B,CFR20252026_BenchMarkDataReport!AI:AI),0)</f>
        <v>0</v>
      </c>
      <c r="U31" s="88">
        <f>IFERROR(_xlfn.XLOOKUP($A31,CFR20252026_BenchMarkDataReport!$B:$B,CFR20252026_BenchMarkDataReport!AJ:AJ),0)</f>
        <v>765040.63</v>
      </c>
      <c r="V31" s="88">
        <f>IFERROR(_xlfn.XLOOKUP($A31,CFR20252026_BenchMarkDataReport!$B:$B,CFR20252026_BenchMarkDataReport!AK:AK),0)</f>
        <v>0</v>
      </c>
      <c r="W31" s="88">
        <f>IFERROR(_xlfn.XLOOKUP($A31,CFR20252026_BenchMarkDataReport!$B:$B,CFR20252026_BenchMarkDataReport!AL:AL),0)</f>
        <v>623937.29</v>
      </c>
      <c r="X31" s="88">
        <f>IFERROR(_xlfn.XLOOKUP($A31,CFR20252026_BenchMarkDataReport!$B:$B,CFR20252026_BenchMarkDataReport!AM:AM),0)</f>
        <v>36287.93</v>
      </c>
      <c r="Y31" s="88">
        <f>IFERROR(_xlfn.XLOOKUP($A31,CFR20252026_BenchMarkDataReport!$B:$B,CFR20252026_BenchMarkDataReport!AN:AN),0)</f>
        <v>104457.14</v>
      </c>
      <c r="Z31" s="88">
        <f>IFERROR(_xlfn.XLOOKUP($A31,CFR20252026_BenchMarkDataReport!$B:$B,CFR20252026_BenchMarkDataReport!AO:AO),0)</f>
        <v>0</v>
      </c>
      <c r="AA31" s="88">
        <f>IFERROR(_xlfn.XLOOKUP($A31,CFR20252026_BenchMarkDataReport!$B:$B,CFR20252026_BenchMarkDataReport!AP:AP),0)</f>
        <v>36168.82</v>
      </c>
      <c r="AB31" s="88">
        <f>IFERROR(_xlfn.XLOOKUP($A31,CFR20252026_BenchMarkDataReport!$B:$B,CFR20252026_BenchMarkDataReport!AQ:AQ),0)</f>
        <v>7344.12</v>
      </c>
      <c r="AC31" s="88">
        <f>IFERROR(_xlfn.XLOOKUP($A31,CFR20252026_BenchMarkDataReport!$B:$B,CFR20252026_BenchMarkDataReport!AR:AR),0)</f>
        <v>1796.41</v>
      </c>
      <c r="AD31" s="88">
        <f>IFERROR(_xlfn.XLOOKUP($A31,CFR20252026_BenchMarkDataReport!$B:$B,CFR20252026_BenchMarkDataReport!AS:AS),0)</f>
        <v>345.42</v>
      </c>
      <c r="AE31" s="88">
        <f>IFERROR(_xlfn.XLOOKUP($A31,CFR20252026_BenchMarkDataReport!$B:$B,CFR20252026_BenchMarkDataReport!AT:AT),0)</f>
        <v>0</v>
      </c>
      <c r="AF31" s="88">
        <f>IFERROR(_xlfn.XLOOKUP($A31,CFR20252026_BenchMarkDataReport!$B:$B,CFR20252026_BenchMarkDataReport!AU:AU),0)</f>
        <v>23365.93</v>
      </c>
      <c r="AG31" s="88">
        <f>IFERROR(_xlfn.XLOOKUP($A31,CFR20252026_BenchMarkDataReport!$B:$B,CFR20252026_BenchMarkDataReport!AV:AV),0)</f>
        <v>1998.98</v>
      </c>
      <c r="AH31" s="88">
        <f>IFERROR(_xlfn.XLOOKUP($A31,CFR20252026_BenchMarkDataReport!$B:$B,CFR20252026_BenchMarkDataReport!AW:AW),0)</f>
        <v>39396.71</v>
      </c>
      <c r="AI31" s="88">
        <f>IFERROR(_xlfn.XLOOKUP($A31,CFR20252026_BenchMarkDataReport!$B:$B,CFR20252026_BenchMarkDataReport!AX:AX),0)</f>
        <v>6126.5</v>
      </c>
      <c r="AJ31" s="88">
        <f>IFERROR(_xlfn.XLOOKUP($A31,CFR20252026_BenchMarkDataReport!$B:$B,CFR20252026_BenchMarkDataReport!AY:AY),0)</f>
        <v>32962.82</v>
      </c>
      <c r="AK31" s="88">
        <f>IFERROR(_xlfn.XLOOKUP($A31,CFR20252026_BenchMarkDataReport!$B:$B,CFR20252026_BenchMarkDataReport!AZ:AZ),0)</f>
        <v>67901.710000000006</v>
      </c>
      <c r="AL31" s="88">
        <f>IFERROR(_xlfn.XLOOKUP($A31,CFR20252026_BenchMarkDataReport!$B:$B,CFR20252026_BenchMarkDataReport!BA:BA),0)</f>
        <v>11655.47</v>
      </c>
      <c r="AM31" s="88">
        <f>IFERROR(_xlfn.XLOOKUP($A31,CFR20252026_BenchMarkDataReport!$B:$B,CFR20252026_BenchMarkDataReport!BB:BB),0)</f>
        <v>36399.919999999998</v>
      </c>
      <c r="AN31" s="88">
        <f>IFERROR(_xlfn.XLOOKUP($A31,CFR20252026_BenchMarkDataReport!$B:$B,CFR20252026_BenchMarkDataReport!BC:BC),0)</f>
        <v>3012.65</v>
      </c>
      <c r="AO31" s="88">
        <f>IFERROR(_xlfn.XLOOKUP($A31,CFR20252026_BenchMarkDataReport!$B:$B,CFR20252026_BenchMarkDataReport!BD:BD),0)</f>
        <v>0</v>
      </c>
      <c r="AP31" s="88">
        <f>IFERROR(_xlfn.XLOOKUP($A31,CFR20252026_BenchMarkDataReport!$B:$B,CFR20252026_BenchMarkDataReport!BE:BE),0)</f>
        <v>0</v>
      </c>
      <c r="AQ31" s="88">
        <f>IFERROR(_xlfn.XLOOKUP($A31,CFR20252026_BenchMarkDataReport!$B:$B,CFR20252026_BenchMarkDataReport!BF:BF),0)</f>
        <v>25056.35</v>
      </c>
      <c r="AR31" s="88">
        <f>IFERROR(_xlfn.XLOOKUP($A31,CFR20252026_BenchMarkDataReport!$B:$B,CFR20252026_BenchMarkDataReport!BG:BG),0)</f>
        <v>0</v>
      </c>
      <c r="AS31" s="88">
        <f>IFERROR(_xlfn.XLOOKUP($A31,CFR20252026_BenchMarkDataReport!$B:$B,CFR20252026_BenchMarkDataReport!BH:BH),0)</f>
        <v>0</v>
      </c>
      <c r="AT31" s="88">
        <f>IFERROR(_xlfn.XLOOKUP($A31,CFR20252026_BenchMarkDataReport!$B:$B,CFR20252026_BenchMarkDataReport!BI:BI),0)</f>
        <v>12530.01</v>
      </c>
      <c r="AU31" s="88">
        <f>IFERROR(_xlfn.XLOOKUP($A31,CFR20252026_BenchMarkDataReport!$B:$B,CFR20252026_BenchMarkDataReport!BJ:BJ),0)</f>
        <v>0</v>
      </c>
      <c r="AV31" s="88">
        <f>IFERROR(_xlfn.XLOOKUP($A31,CFR20252026_BenchMarkDataReport!$B:$B,CFR20252026_BenchMarkDataReport!BK:BK),0)</f>
        <v>5422.42</v>
      </c>
      <c r="AW31" s="88">
        <f>IFERROR(_xlfn.XLOOKUP($A31,CFR20252026_BenchMarkDataReport!$B:$B,CFR20252026_BenchMarkDataReport!BL:BL),0)</f>
        <v>9678.51</v>
      </c>
      <c r="AX31" s="88">
        <f>IFERROR(_xlfn.XLOOKUP($A31,CFR20252026_BenchMarkDataReport!$B:$B,CFR20252026_BenchMarkDataReport!BM:BM),0)</f>
        <v>1159.97</v>
      </c>
      <c r="AY31" s="88">
        <f>IFERROR(_xlfn.XLOOKUP($A31,CFR20252026_BenchMarkDataReport!$B:$B,CFR20252026_BenchMarkDataReport!BN:BN),0)</f>
        <v>87103.37</v>
      </c>
      <c r="AZ31" s="88">
        <f>IFERROR(_xlfn.XLOOKUP($A31,CFR20252026_BenchMarkDataReport!$B:$B,CFR20252026_BenchMarkDataReport!BO:BO),0)</f>
        <v>72619.570000000007</v>
      </c>
      <c r="BA31" s="88">
        <f>IFERROR(_xlfn.XLOOKUP($A31,CFR20252026_BenchMarkDataReport!$B:$B,CFR20252026_BenchMarkDataReport!BP:BP),0)</f>
        <v>108089.05</v>
      </c>
      <c r="BB31" s="88">
        <f>IFERROR(_xlfn.XLOOKUP($A31,CFR20252026_BenchMarkDataReport!$B:$B,CFR20252026_BenchMarkDataReport!BQ:BQ),0)</f>
        <v>36202.879999999997</v>
      </c>
      <c r="BC31" s="88">
        <f>IFERROR(_xlfn.XLOOKUP($A31,CFR20252026_BenchMarkDataReport!$B:$B,CFR20252026_BenchMarkDataReport!BR:BR),0)</f>
        <v>0</v>
      </c>
      <c r="BD31" s="88">
        <f>IFERROR(_xlfn.XLOOKUP($A31,CFR20252026_BenchMarkDataReport!$B:$B,CFR20252026_BenchMarkDataReport!BS:BS),0)</f>
        <v>0</v>
      </c>
      <c r="BE31" s="88">
        <f>IFERROR(_xlfn.XLOOKUP($A31,CFR20252026_BenchMarkDataReport!$B:$B,CFR20252026_BenchMarkDataReport!BT:BT),0)</f>
        <v>0</v>
      </c>
      <c r="BF31" s="88">
        <f>IFERROR(_xlfn.XLOOKUP($A31,CFR20252026_BenchMarkDataReport!$B:$B,CFR20252026_BenchMarkDataReport!BU:BU),0)</f>
        <v>134916.54999999999</v>
      </c>
      <c r="BG31" s="88">
        <f>IFERROR(_xlfn.XLOOKUP($A31,CFR20252026_BenchMarkDataReport!$B:$B,CFR20252026_BenchMarkDataReport!BV:BV),0)</f>
        <v>34575.46</v>
      </c>
      <c r="BH31" s="89">
        <f t="shared" si="0"/>
        <v>2122074.58</v>
      </c>
      <c r="BI31" s="90">
        <f t="shared" si="85"/>
        <v>2156060.5799999996</v>
      </c>
      <c r="BJ31" s="126">
        <f t="shared" si="86"/>
        <v>-33985.999999999534</v>
      </c>
      <c r="BK31" s="88">
        <f>IFERROR(_xlfn.XLOOKUP(A31,CFR20252026_BenchMarkDataReport!$B:$B,CFR20252026_BenchMarkDataReport!P:P)+_xlfn.XLOOKUP(A31,CFR20252026_BenchMarkDataReport!$B:$B,CFR20252026_BenchMarkDataReport!Q:Q),0)</f>
        <v>19598.75</v>
      </c>
      <c r="BL31" s="89">
        <f t="shared" si="1"/>
        <v>-14387.249999999534</v>
      </c>
      <c r="BM31" s="91">
        <f>SUMIFS(PP!I:I,PP!E:E,A31)</f>
        <v>202</v>
      </c>
      <c r="BN31" s="90">
        <f t="shared" si="21"/>
        <v>1858380.92</v>
      </c>
      <c r="BO31" t="s">
        <v>173</v>
      </c>
      <c r="BP31" s="92">
        <f t="shared" si="22"/>
        <v>0.81146690424047208</v>
      </c>
      <c r="BQ31" s="93">
        <f t="shared" si="23"/>
        <v>8524.7192574257424</v>
      </c>
      <c r="BR31" s="94">
        <f t="shared" si="24"/>
        <v>0</v>
      </c>
      <c r="BS31" s="95">
        <f t="shared" si="25"/>
        <v>0</v>
      </c>
      <c r="BT31" s="92">
        <f t="shared" si="26"/>
        <v>6.4270893815616986E-2</v>
      </c>
      <c r="BU31" s="93">
        <f t="shared" si="27"/>
        <v>675.18628712871293</v>
      </c>
      <c r="BV31" s="94">
        <f t="shared" si="28"/>
        <v>0</v>
      </c>
      <c r="BW31" s="95">
        <f t="shared" si="29"/>
        <v>0</v>
      </c>
      <c r="BX31" s="92">
        <f t="shared" si="30"/>
        <v>5.3315751042076948E-2</v>
      </c>
      <c r="BY31" s="93">
        <f t="shared" si="31"/>
        <v>560.09900990099015</v>
      </c>
      <c r="BZ31" s="94">
        <f t="shared" si="32"/>
        <v>1.7699858597806678E-2</v>
      </c>
      <c r="CA31" s="95">
        <f t="shared" si="33"/>
        <v>185.94267326732671</v>
      </c>
      <c r="CB31" s="92">
        <f t="shared" si="34"/>
        <v>1.8665979213605206E-2</v>
      </c>
      <c r="CC31" s="93">
        <f t="shared" si="35"/>
        <v>196.09207920792079</v>
      </c>
      <c r="CD31" s="94">
        <f t="shared" si="36"/>
        <v>6.4129555710525496E-3</v>
      </c>
      <c r="CE31" s="96">
        <f t="shared" si="37"/>
        <v>67.370148514851493</v>
      </c>
      <c r="CF31" s="97">
        <f t="shared" si="38"/>
        <v>2.6123445670792587E-2</v>
      </c>
      <c r="CG31" s="98">
        <f t="shared" si="39"/>
        <v>274.43514851485151</v>
      </c>
      <c r="CH31" s="94">
        <f t="shared" si="40"/>
        <v>1.7534492119499398E-3</v>
      </c>
      <c r="CI31" s="95">
        <f t="shared" si="41"/>
        <v>18.420544554455443</v>
      </c>
      <c r="CJ31" s="99">
        <f t="shared" si="42"/>
        <v>0.45074730965274867</v>
      </c>
      <c r="CK31" s="97">
        <f t="shared" si="43"/>
        <v>0.39473645643500427</v>
      </c>
      <c r="CL31" s="97">
        <f t="shared" si="44"/>
        <v>0.38851422254563928</v>
      </c>
      <c r="CM31" s="98">
        <f t="shared" si="45"/>
        <v>4146.8326732673268</v>
      </c>
      <c r="CN31" s="94">
        <f t="shared" si="46"/>
        <v>0.33574241065712196</v>
      </c>
      <c r="CO31" s="100">
        <f t="shared" si="47"/>
        <v>0.29402231942291113</v>
      </c>
      <c r="CP31" s="100">
        <f t="shared" si="48"/>
        <v>0.28938764327299199</v>
      </c>
      <c r="CQ31" s="101">
        <f t="shared" si="49"/>
        <v>3088.7984653465346</v>
      </c>
      <c r="CR31" s="99">
        <f t="shared" si="50"/>
        <v>1.9526637197717248E-2</v>
      </c>
      <c r="CS31" s="97">
        <f t="shared" si="51"/>
        <v>1.7100214262969024E-2</v>
      </c>
      <c r="CT31" s="97">
        <f t="shared" si="52"/>
        <v>1.6830663450096567E-2</v>
      </c>
      <c r="CU31" s="98">
        <f t="shared" si="53"/>
        <v>179.64321782178217</v>
      </c>
      <c r="CV31" s="94">
        <f t="shared" si="54"/>
        <v>5.6208680833851866E-2</v>
      </c>
      <c r="CW31" s="100">
        <f t="shared" si="55"/>
        <v>4.9224066385074927E-2</v>
      </c>
      <c r="CX31" s="100">
        <f t="shared" si="56"/>
        <v>4.8448147036759058E-2</v>
      </c>
      <c r="CY31" s="95">
        <f t="shared" si="57"/>
        <v>517.1145544554455</v>
      </c>
      <c r="CZ31" s="99">
        <f t="shared" si="58"/>
        <v>0.84261078724376914</v>
      </c>
      <c r="DA31" s="97">
        <f t="shared" si="59"/>
        <v>0.73790611543916607</v>
      </c>
      <c r="DB31" s="97">
        <f t="shared" si="60"/>
        <v>0.72627449549678247</v>
      </c>
      <c r="DC31" s="98">
        <f t="shared" si="61"/>
        <v>7751.9396534653461</v>
      </c>
      <c r="DD31" s="94">
        <f t="shared" si="62"/>
        <v>1.2573272652842346E-2</v>
      </c>
      <c r="DE31" s="100">
        <f t="shared" si="63"/>
        <v>1.0837325359382994E-2</v>
      </c>
      <c r="DF31" s="95">
        <f t="shared" si="64"/>
        <v>115.67292079207921</v>
      </c>
      <c r="DG31" s="99">
        <f t="shared" si="65"/>
        <v>2.8415249816403586E-3</v>
      </c>
      <c r="DH31" s="98">
        <f t="shared" si="66"/>
        <v>30.329207920792079</v>
      </c>
      <c r="DI31" s="94">
        <f t="shared" si="67"/>
        <v>1.7737386154395084E-2</v>
      </c>
      <c r="DJ31" s="100">
        <f t="shared" si="68"/>
        <v>1.5288447971160442E-2</v>
      </c>
      <c r="DK31" s="95">
        <f t="shared" si="69"/>
        <v>163.18227722772278</v>
      </c>
      <c r="DL31" s="99">
        <f t="shared" si="70"/>
        <v>6.2718411895877624E-3</v>
      </c>
      <c r="DM31" s="97">
        <f t="shared" si="71"/>
        <v>5.4059102550819797E-3</v>
      </c>
      <c r="DN31" s="102">
        <f t="shared" si="72"/>
        <v>57.700346534653463</v>
      </c>
      <c r="DO31" s="94">
        <f t="shared" si="73"/>
        <v>1.9586899331704287E-2</v>
      </c>
      <c r="DP31" s="100">
        <f t="shared" si="74"/>
        <v>1.7152988091492995E-2</v>
      </c>
      <c r="DQ31" s="100">
        <f t="shared" si="75"/>
        <v>1.6882605404343512E-2</v>
      </c>
      <c r="DR31" s="95">
        <f t="shared" si="76"/>
        <v>180.19762376237622</v>
      </c>
      <c r="DS31" s="99">
        <f t="shared" si="77"/>
        <v>2.917819453290556E-3</v>
      </c>
      <c r="DT31" s="97">
        <f t="shared" si="78"/>
        <v>2.5149664393938325E-3</v>
      </c>
      <c r="DU31" s="98">
        <f t="shared" si="87"/>
        <v>26.843663366336635</v>
      </c>
      <c r="DV31" s="94">
        <f t="shared" si="79"/>
        <v>5.8163021820090581E-2</v>
      </c>
      <c r="DW31" s="100">
        <f t="shared" si="80"/>
        <v>5.0132659073985772E-2</v>
      </c>
      <c r="DX31" s="95">
        <f t="shared" si="81"/>
        <v>535.09430693069305</v>
      </c>
      <c r="DY31" s="99">
        <f t="shared" si="82"/>
        <v>4.0399314753948153E-2</v>
      </c>
      <c r="DZ31" s="98">
        <f t="shared" si="83"/>
        <v>431.204801980198</v>
      </c>
      <c r="EA31" s="94">
        <f t="shared" si="14"/>
        <v>1.8272543158318867E-2</v>
      </c>
      <c r="EB31" s="95">
        <f t="shared" si="84"/>
        <v>195.03321782178219</v>
      </c>
      <c r="EC31" s="103">
        <f>IFERROR(VLOOKUP(A31,PP!$E$3:$S$130,14,0),0)</f>
        <v>66</v>
      </c>
    </row>
    <row r="32" spans="1:133">
      <c r="A32" s="26">
        <v>2025</v>
      </c>
      <c r="B32" s="125">
        <v>10065</v>
      </c>
      <c r="C32" s="26" t="s">
        <v>56</v>
      </c>
      <c r="D32" s="88">
        <f>IFERROR(_xlfn.XLOOKUP($A32,CFR20252026_BenchMarkDataReport!$B:$B,CFR20252026_BenchMarkDataReport!S:S),0)</f>
        <v>1742983.18</v>
      </c>
      <c r="E32" s="88">
        <f>IFERROR(_xlfn.XLOOKUP($A32,CFR20252026_BenchMarkDataReport!$B:$B,CFR20252026_BenchMarkDataReport!T:T),0)</f>
        <v>0</v>
      </c>
      <c r="F32" s="88">
        <f>IFERROR(_xlfn.XLOOKUP($A32,CFR20252026_BenchMarkDataReport!$B:$B,CFR20252026_BenchMarkDataReport!U:U),0)</f>
        <v>120158.65</v>
      </c>
      <c r="G32" s="88">
        <f>IFERROR(_xlfn.XLOOKUP($A32,CFR20252026_BenchMarkDataReport!$B:$B,CFR20252026_BenchMarkDataReport!V:V),0)</f>
        <v>0</v>
      </c>
      <c r="H32" s="88">
        <f>IFERROR(_xlfn.XLOOKUP($A32,CFR20252026_BenchMarkDataReport!$B:$B,CFR20252026_BenchMarkDataReport!W:W),0)</f>
        <v>26140</v>
      </c>
      <c r="I32" s="88">
        <f>IFERROR(_xlfn.XLOOKUP($A32,CFR20252026_BenchMarkDataReport!$B:$B,CFR20252026_BenchMarkDataReport!X:X),0)</f>
        <v>75382</v>
      </c>
      <c r="J32" s="88">
        <f>IFERROR(_xlfn.XLOOKUP($A32,CFR20252026_BenchMarkDataReport!$B:$B,CFR20252026_BenchMarkDataReport!Y:Y),0)</f>
        <v>87870.51</v>
      </c>
      <c r="K32" s="88">
        <f>IFERROR(_xlfn.XLOOKUP($A32,CFR20252026_BenchMarkDataReport!$B:$B,CFR20252026_BenchMarkDataReport!Z:Z),0)</f>
        <v>51405.77</v>
      </c>
      <c r="L32" s="88">
        <f>IFERROR(_xlfn.XLOOKUP($A32,CFR20252026_BenchMarkDataReport!$B:$B,CFR20252026_BenchMarkDataReport!AA:AA),0)</f>
        <v>28269.68</v>
      </c>
      <c r="M32" s="88">
        <f>IFERROR(_xlfn.XLOOKUP($A32,CFR20252026_BenchMarkDataReport!$B:$B,CFR20252026_BenchMarkDataReport!AB:AB),0)</f>
        <v>0</v>
      </c>
      <c r="N32" s="88">
        <f>IFERROR(_xlfn.XLOOKUP($A32,CFR20252026_BenchMarkDataReport!$B:$B,CFR20252026_BenchMarkDataReport!AC:AC),0)</f>
        <v>0</v>
      </c>
      <c r="O32" s="88">
        <f>IFERROR(_xlfn.XLOOKUP($A32,CFR20252026_BenchMarkDataReport!$B:$B,CFR20252026_BenchMarkDataReport!AD:AD),0)</f>
        <v>0</v>
      </c>
      <c r="P32" s="88">
        <f>IFERROR(_xlfn.XLOOKUP($A32,CFR20252026_BenchMarkDataReport!$B:$B,CFR20252026_BenchMarkDataReport!AE:AE),0)</f>
        <v>68990.92</v>
      </c>
      <c r="Q32" s="88">
        <f>IFERROR(_xlfn.XLOOKUP($A32,CFR20252026_BenchMarkDataReport!$B:$B,CFR20252026_BenchMarkDataReport!AF:AF),0)</f>
        <v>67490.83</v>
      </c>
      <c r="R32" s="88">
        <f>IFERROR(_xlfn.XLOOKUP($A32,CFR20252026_BenchMarkDataReport!$B:$B,CFR20252026_BenchMarkDataReport!AG:AG),0)</f>
        <v>0</v>
      </c>
      <c r="S32" s="88">
        <f>IFERROR(_xlfn.XLOOKUP($A32,CFR20252026_BenchMarkDataReport!$B:$B,CFR20252026_BenchMarkDataReport!AH:AH),0)</f>
        <v>0</v>
      </c>
      <c r="T32" s="88">
        <f>IFERROR(_xlfn.XLOOKUP($A32,CFR20252026_BenchMarkDataReport!$B:$B,CFR20252026_BenchMarkDataReport!AI:AI),0)</f>
        <v>0</v>
      </c>
      <c r="U32" s="88">
        <f>IFERROR(_xlfn.XLOOKUP($A32,CFR20252026_BenchMarkDataReport!$B:$B,CFR20252026_BenchMarkDataReport!AJ:AJ),0)</f>
        <v>1197332.53</v>
      </c>
      <c r="V32" s="88">
        <f>IFERROR(_xlfn.XLOOKUP($A32,CFR20252026_BenchMarkDataReport!$B:$B,CFR20252026_BenchMarkDataReport!AK:AK),0)</f>
        <v>0</v>
      </c>
      <c r="W32" s="88">
        <f>IFERROR(_xlfn.XLOOKUP($A32,CFR20252026_BenchMarkDataReport!$B:$B,CFR20252026_BenchMarkDataReport!AL:AL),0)</f>
        <v>353408.14</v>
      </c>
      <c r="X32" s="88">
        <f>IFERROR(_xlfn.XLOOKUP($A32,CFR20252026_BenchMarkDataReport!$B:$B,CFR20252026_BenchMarkDataReport!AM:AM),0)</f>
        <v>96820.33</v>
      </c>
      <c r="Y32" s="88">
        <f>IFERROR(_xlfn.XLOOKUP($A32,CFR20252026_BenchMarkDataReport!$B:$B,CFR20252026_BenchMarkDataReport!AN:AN),0)</f>
        <v>63885.72</v>
      </c>
      <c r="Z32" s="88">
        <f>IFERROR(_xlfn.XLOOKUP($A32,CFR20252026_BenchMarkDataReport!$B:$B,CFR20252026_BenchMarkDataReport!AO:AO),0)</f>
        <v>0</v>
      </c>
      <c r="AA32" s="88">
        <f>IFERROR(_xlfn.XLOOKUP($A32,CFR20252026_BenchMarkDataReport!$B:$B,CFR20252026_BenchMarkDataReport!AP:AP),0)</f>
        <v>56415.57</v>
      </c>
      <c r="AB32" s="88">
        <f>IFERROR(_xlfn.XLOOKUP($A32,CFR20252026_BenchMarkDataReport!$B:$B,CFR20252026_BenchMarkDataReport!AQ:AQ),0)</f>
        <v>7762.33</v>
      </c>
      <c r="AC32" s="88">
        <f>IFERROR(_xlfn.XLOOKUP($A32,CFR20252026_BenchMarkDataReport!$B:$B,CFR20252026_BenchMarkDataReport!AR:AR),0)</f>
        <v>1835</v>
      </c>
      <c r="AD32" s="88">
        <f>IFERROR(_xlfn.XLOOKUP($A32,CFR20252026_BenchMarkDataReport!$B:$B,CFR20252026_BenchMarkDataReport!AS:AS),0)</f>
        <v>542.07000000000005</v>
      </c>
      <c r="AE32" s="88">
        <f>IFERROR(_xlfn.XLOOKUP($A32,CFR20252026_BenchMarkDataReport!$B:$B,CFR20252026_BenchMarkDataReport!AT:AT),0)</f>
        <v>0</v>
      </c>
      <c r="AF32" s="88">
        <f>IFERROR(_xlfn.XLOOKUP($A32,CFR20252026_BenchMarkDataReport!$B:$B,CFR20252026_BenchMarkDataReport!AU:AU),0)</f>
        <v>11466.36</v>
      </c>
      <c r="AG32" s="88">
        <f>IFERROR(_xlfn.XLOOKUP($A32,CFR20252026_BenchMarkDataReport!$B:$B,CFR20252026_BenchMarkDataReport!AV:AV),0)</f>
        <v>0</v>
      </c>
      <c r="AH32" s="88">
        <f>IFERROR(_xlfn.XLOOKUP($A32,CFR20252026_BenchMarkDataReport!$B:$B,CFR20252026_BenchMarkDataReport!AW:AW),0)</f>
        <v>0</v>
      </c>
      <c r="AI32" s="88">
        <f>IFERROR(_xlfn.XLOOKUP($A32,CFR20252026_BenchMarkDataReport!$B:$B,CFR20252026_BenchMarkDataReport!AX:AX),0)</f>
        <v>8003.16</v>
      </c>
      <c r="AJ32" s="88">
        <f>IFERROR(_xlfn.XLOOKUP($A32,CFR20252026_BenchMarkDataReport!$B:$B,CFR20252026_BenchMarkDataReport!AY:AY),0)</f>
        <v>39826.14</v>
      </c>
      <c r="AK32" s="88">
        <f>IFERROR(_xlfn.XLOOKUP($A32,CFR20252026_BenchMarkDataReport!$B:$B,CFR20252026_BenchMarkDataReport!AZ:AZ),0)</f>
        <v>49627.93</v>
      </c>
      <c r="AL32" s="88">
        <f>IFERROR(_xlfn.XLOOKUP($A32,CFR20252026_BenchMarkDataReport!$B:$B,CFR20252026_BenchMarkDataReport!BA:BA),0)</f>
        <v>7821.47</v>
      </c>
      <c r="AM32" s="88">
        <f>IFERROR(_xlfn.XLOOKUP($A32,CFR20252026_BenchMarkDataReport!$B:$B,CFR20252026_BenchMarkDataReport!BB:BB),0)</f>
        <v>85895.8</v>
      </c>
      <c r="AN32" s="88">
        <f>IFERROR(_xlfn.XLOOKUP($A32,CFR20252026_BenchMarkDataReport!$B:$B,CFR20252026_BenchMarkDataReport!BC:BC),0)</f>
        <v>5780.11</v>
      </c>
      <c r="AO32" s="88">
        <f>IFERROR(_xlfn.XLOOKUP($A32,CFR20252026_BenchMarkDataReport!$B:$B,CFR20252026_BenchMarkDataReport!BD:BD),0)</f>
        <v>0</v>
      </c>
      <c r="AP32" s="88">
        <f>IFERROR(_xlfn.XLOOKUP($A32,CFR20252026_BenchMarkDataReport!$B:$B,CFR20252026_BenchMarkDataReport!BE:BE),0)</f>
        <v>4273.33</v>
      </c>
      <c r="AQ32" s="88">
        <f>IFERROR(_xlfn.XLOOKUP($A32,CFR20252026_BenchMarkDataReport!$B:$B,CFR20252026_BenchMarkDataReport!BF:BF),0)</f>
        <v>8155.18</v>
      </c>
      <c r="AR32" s="88">
        <f>IFERROR(_xlfn.XLOOKUP($A32,CFR20252026_BenchMarkDataReport!$B:$B,CFR20252026_BenchMarkDataReport!BG:BG),0)</f>
        <v>0</v>
      </c>
      <c r="AS32" s="88">
        <f>IFERROR(_xlfn.XLOOKUP($A32,CFR20252026_BenchMarkDataReport!$B:$B,CFR20252026_BenchMarkDataReport!BH:BH),0)</f>
        <v>181.4</v>
      </c>
      <c r="AT32" s="88">
        <f>IFERROR(_xlfn.XLOOKUP($A32,CFR20252026_BenchMarkDataReport!$B:$B,CFR20252026_BenchMarkDataReport!BI:BI),0)</f>
        <v>4750</v>
      </c>
      <c r="AU32" s="88">
        <f>IFERROR(_xlfn.XLOOKUP($A32,CFR20252026_BenchMarkDataReport!$B:$B,CFR20252026_BenchMarkDataReport!BJ:BJ),0)</f>
        <v>0</v>
      </c>
      <c r="AV32" s="88">
        <f>IFERROR(_xlfn.XLOOKUP($A32,CFR20252026_BenchMarkDataReport!$B:$B,CFR20252026_BenchMarkDataReport!BK:BK),0)</f>
        <v>5452.71</v>
      </c>
      <c r="AW32" s="88">
        <f>IFERROR(_xlfn.XLOOKUP($A32,CFR20252026_BenchMarkDataReport!$B:$B,CFR20252026_BenchMarkDataReport!BL:BL),0)</f>
        <v>13751.46</v>
      </c>
      <c r="AX32" s="88">
        <f>IFERROR(_xlfn.XLOOKUP($A32,CFR20252026_BenchMarkDataReport!$B:$B,CFR20252026_BenchMarkDataReport!BM:BM),0)</f>
        <v>6641.3</v>
      </c>
      <c r="AY32" s="88">
        <f>IFERROR(_xlfn.XLOOKUP($A32,CFR20252026_BenchMarkDataReport!$B:$B,CFR20252026_BenchMarkDataReport!BN:BN),0)</f>
        <v>138785.42000000001</v>
      </c>
      <c r="AZ32" s="88">
        <f>IFERROR(_xlfn.XLOOKUP($A32,CFR20252026_BenchMarkDataReport!$B:$B,CFR20252026_BenchMarkDataReport!BO:BO),0)</f>
        <v>3366</v>
      </c>
      <c r="BA32" s="88">
        <f>IFERROR(_xlfn.XLOOKUP($A32,CFR20252026_BenchMarkDataReport!$B:$B,CFR20252026_BenchMarkDataReport!BP:BP),0)</f>
        <v>44051.21</v>
      </c>
      <c r="BB32" s="88">
        <f>IFERROR(_xlfn.XLOOKUP($A32,CFR20252026_BenchMarkDataReport!$B:$B,CFR20252026_BenchMarkDataReport!BQ:BQ),0)</f>
        <v>30583.87</v>
      </c>
      <c r="BC32" s="88">
        <f>IFERROR(_xlfn.XLOOKUP($A32,CFR20252026_BenchMarkDataReport!$B:$B,CFR20252026_BenchMarkDataReport!BR:BR),0)</f>
        <v>300</v>
      </c>
      <c r="BD32" s="88">
        <f>IFERROR(_xlfn.XLOOKUP($A32,CFR20252026_BenchMarkDataReport!$B:$B,CFR20252026_BenchMarkDataReport!BS:BS),0)</f>
        <v>0</v>
      </c>
      <c r="BE32" s="88">
        <f>IFERROR(_xlfn.XLOOKUP($A32,CFR20252026_BenchMarkDataReport!$B:$B,CFR20252026_BenchMarkDataReport!BT:BT),0)</f>
        <v>0</v>
      </c>
      <c r="BF32" s="88">
        <f>IFERROR(_xlfn.XLOOKUP($A32,CFR20252026_BenchMarkDataReport!$B:$B,CFR20252026_BenchMarkDataReport!BU:BU),0)</f>
        <v>0</v>
      </c>
      <c r="BG32" s="88">
        <f>IFERROR(_xlfn.XLOOKUP($A32,CFR20252026_BenchMarkDataReport!$B:$B,CFR20252026_BenchMarkDataReport!BV:BV),0)</f>
        <v>0</v>
      </c>
      <c r="BH32" s="89">
        <f t="shared" si="0"/>
        <v>2268691.54</v>
      </c>
      <c r="BI32" s="90">
        <f t="shared" si="85"/>
        <v>2246714.54</v>
      </c>
      <c r="BJ32" s="126">
        <f t="shared" si="86"/>
        <v>21977</v>
      </c>
      <c r="BK32" s="88">
        <f>IFERROR(_xlfn.XLOOKUP(A32,CFR20252026_BenchMarkDataReport!$B:$B,CFR20252026_BenchMarkDataReport!P:P)+_xlfn.XLOOKUP(A32,CFR20252026_BenchMarkDataReport!$B:$B,CFR20252026_BenchMarkDataReport!Q:Q),0)</f>
        <v>79</v>
      </c>
      <c r="BL32" s="89">
        <f t="shared" si="1"/>
        <v>22056</v>
      </c>
      <c r="BM32" s="91">
        <f>SUMIFS(PP!I:I,PP!E:E,A32)</f>
        <v>317</v>
      </c>
      <c r="BN32" s="90">
        <f t="shared" si="21"/>
        <v>1863141.8299999998</v>
      </c>
      <c r="BO32" t="s">
        <v>173</v>
      </c>
      <c r="BP32" s="92">
        <f t="shared" si="22"/>
        <v>0.76827684560414056</v>
      </c>
      <c r="BQ32" s="93">
        <f t="shared" si="23"/>
        <v>5498.3696529968456</v>
      </c>
      <c r="BR32" s="94">
        <f t="shared" si="24"/>
        <v>0</v>
      </c>
      <c r="BS32" s="95">
        <f t="shared" si="25"/>
        <v>0</v>
      </c>
      <c r="BT32" s="92">
        <f t="shared" si="26"/>
        <v>5.2963855103898345E-2</v>
      </c>
      <c r="BU32" s="93">
        <f t="shared" si="27"/>
        <v>379.04936908517351</v>
      </c>
      <c r="BV32" s="94">
        <f t="shared" si="28"/>
        <v>0</v>
      </c>
      <c r="BW32" s="95">
        <f t="shared" si="29"/>
        <v>0</v>
      </c>
      <c r="BX32" s="92">
        <f t="shared" si="30"/>
        <v>1.152205998000063E-2</v>
      </c>
      <c r="BY32" s="93">
        <f t="shared" si="31"/>
        <v>82.460567823343851</v>
      </c>
      <c r="BZ32" s="94">
        <f t="shared" si="32"/>
        <v>3.3227082073925308E-2</v>
      </c>
      <c r="CA32" s="95">
        <f t="shared" si="33"/>
        <v>237.79810725552051</v>
      </c>
      <c r="CB32" s="92">
        <f t="shared" si="34"/>
        <v>3.8731801327209069E-2</v>
      </c>
      <c r="CC32" s="93">
        <f t="shared" si="35"/>
        <v>277.19403785488959</v>
      </c>
      <c r="CD32" s="94">
        <f t="shared" si="36"/>
        <v>3.5119560590418562E-2</v>
      </c>
      <c r="CE32" s="96">
        <f t="shared" si="37"/>
        <v>251.34211356466875</v>
      </c>
      <c r="CF32" s="97">
        <f t="shared" si="38"/>
        <v>3.041000452622131E-2</v>
      </c>
      <c r="CG32" s="98">
        <f t="shared" si="39"/>
        <v>217.63697160883279</v>
      </c>
      <c r="CH32" s="94">
        <f t="shared" si="40"/>
        <v>2.9748790794186152E-2</v>
      </c>
      <c r="CI32" s="95">
        <f t="shared" si="41"/>
        <v>212.90482649842272</v>
      </c>
      <c r="CJ32" s="99">
        <f t="shared" si="42"/>
        <v>0.64444827047868924</v>
      </c>
      <c r="CK32" s="97">
        <f t="shared" si="43"/>
        <v>0.52924714921800253</v>
      </c>
      <c r="CL32" s="97">
        <f t="shared" si="44"/>
        <v>0.53442415964424217</v>
      </c>
      <c r="CM32" s="98">
        <f t="shared" si="45"/>
        <v>3787.6925236593061</v>
      </c>
      <c r="CN32" s="94">
        <f t="shared" si="46"/>
        <v>0.18968397054345565</v>
      </c>
      <c r="CO32" s="100">
        <f t="shared" si="47"/>
        <v>0.15577619688219052</v>
      </c>
      <c r="CP32" s="100">
        <f t="shared" si="48"/>
        <v>0.15729997456641734</v>
      </c>
      <c r="CQ32" s="101">
        <f t="shared" si="49"/>
        <v>1114.8521766561514</v>
      </c>
      <c r="CR32" s="99">
        <f t="shared" si="50"/>
        <v>5.1966161910497181E-2</v>
      </c>
      <c r="CS32" s="97">
        <f t="shared" si="51"/>
        <v>4.2676727220484101E-2</v>
      </c>
      <c r="CT32" s="97">
        <f t="shared" si="52"/>
        <v>4.3094184096925815E-2</v>
      </c>
      <c r="CU32" s="98">
        <f t="shared" si="53"/>
        <v>305.42690851735017</v>
      </c>
      <c r="CV32" s="94">
        <f t="shared" si="54"/>
        <v>3.4289241415399928E-2</v>
      </c>
      <c r="CW32" s="100">
        <f t="shared" si="55"/>
        <v>2.8159720646730141E-2</v>
      </c>
      <c r="CX32" s="100">
        <f t="shared" si="56"/>
        <v>2.8435174501519004E-2</v>
      </c>
      <c r="CY32" s="95">
        <f t="shared" si="57"/>
        <v>201.53223974763407</v>
      </c>
      <c r="CZ32" s="99">
        <f t="shared" si="58"/>
        <v>0.94886082290364349</v>
      </c>
      <c r="DA32" s="97">
        <f t="shared" si="59"/>
        <v>0.77924312707579457</v>
      </c>
      <c r="DB32" s="97">
        <f t="shared" si="60"/>
        <v>0.78686555791818569</v>
      </c>
      <c r="DC32" s="98">
        <f t="shared" si="61"/>
        <v>5576.8526498422716</v>
      </c>
      <c r="DD32" s="94">
        <f t="shared" si="62"/>
        <v>6.1543140813922906E-3</v>
      </c>
      <c r="DE32" s="100">
        <f t="shared" si="63"/>
        <v>5.1036123173885724E-3</v>
      </c>
      <c r="DF32" s="95">
        <f t="shared" si="64"/>
        <v>36.171482649842275</v>
      </c>
      <c r="DG32" s="99">
        <f t="shared" si="65"/>
        <v>3.5621614840308105E-3</v>
      </c>
      <c r="DH32" s="98">
        <f t="shared" si="66"/>
        <v>25.246561514195584</v>
      </c>
      <c r="DI32" s="94">
        <f t="shared" si="67"/>
        <v>2.1375796173284351E-2</v>
      </c>
      <c r="DJ32" s="100">
        <f t="shared" si="68"/>
        <v>1.7726390821327927E-2</v>
      </c>
      <c r="DK32" s="95">
        <f t="shared" si="69"/>
        <v>125.63451104100946</v>
      </c>
      <c r="DL32" s="99">
        <f t="shared" si="70"/>
        <v>4.1980003207807322E-3</v>
      </c>
      <c r="DM32" s="97">
        <f t="shared" si="71"/>
        <v>3.4812922873593013E-3</v>
      </c>
      <c r="DN32" s="102">
        <f t="shared" si="72"/>
        <v>24.673406940063092</v>
      </c>
      <c r="DO32" s="94">
        <f t="shared" si="73"/>
        <v>4.6102663048470126E-2</v>
      </c>
      <c r="DP32" s="100">
        <f t="shared" si="74"/>
        <v>3.7861383306432218E-2</v>
      </c>
      <c r="DQ32" s="100">
        <f t="shared" si="75"/>
        <v>3.8231737263782518E-2</v>
      </c>
      <c r="DR32" s="95">
        <f t="shared" si="76"/>
        <v>270.96466876971607</v>
      </c>
      <c r="DS32" s="99">
        <f t="shared" si="77"/>
        <v>2.9266209969640369E-3</v>
      </c>
      <c r="DT32" s="97">
        <f t="shared" si="78"/>
        <v>2.4269705398354702E-3</v>
      </c>
      <c r="DU32" s="98">
        <f t="shared" si="87"/>
        <v>17.200977917981074</v>
      </c>
      <c r="DV32" s="94">
        <f t="shared" si="79"/>
        <v>2.3643508664072024E-2</v>
      </c>
      <c r="DW32" s="100">
        <f t="shared" si="80"/>
        <v>1.9606945704815706E-2</v>
      </c>
      <c r="DX32" s="95">
        <f t="shared" si="81"/>
        <v>138.9628075709779</v>
      </c>
      <c r="DY32" s="99">
        <f t="shared" si="82"/>
        <v>6.1772609527866416E-2</v>
      </c>
      <c r="DZ32" s="98">
        <f t="shared" si="83"/>
        <v>437.80889589905365</v>
      </c>
      <c r="EA32" s="94">
        <f t="shared" si="14"/>
        <v>0</v>
      </c>
      <c r="EB32" s="95">
        <f t="shared" si="84"/>
        <v>0</v>
      </c>
      <c r="EC32" s="103">
        <f>IFERROR(VLOOKUP(A32,PP!$E$3:$S$130,14,0),0)</f>
        <v>12</v>
      </c>
    </row>
    <row r="33" spans="1:133">
      <c r="A33" s="26">
        <v>2026</v>
      </c>
      <c r="B33" s="125">
        <v>10066</v>
      </c>
      <c r="C33" s="26" t="s">
        <v>57</v>
      </c>
      <c r="D33" s="88">
        <f>IFERROR(_xlfn.XLOOKUP($A33,CFR20252026_BenchMarkDataReport!$B:$B,CFR20252026_BenchMarkDataReport!S:S),0)</f>
        <v>2980676.93</v>
      </c>
      <c r="E33" s="88">
        <f>IFERROR(_xlfn.XLOOKUP($A33,CFR20252026_BenchMarkDataReport!$B:$B,CFR20252026_BenchMarkDataReport!T:T),0)</f>
        <v>0</v>
      </c>
      <c r="F33" s="88">
        <f>IFERROR(_xlfn.XLOOKUP($A33,CFR20252026_BenchMarkDataReport!$B:$B,CFR20252026_BenchMarkDataReport!U:U),0)</f>
        <v>154455.70000000001</v>
      </c>
      <c r="G33" s="88">
        <f>IFERROR(_xlfn.XLOOKUP($A33,CFR20252026_BenchMarkDataReport!$B:$B,CFR20252026_BenchMarkDataReport!V:V),0)</f>
        <v>0</v>
      </c>
      <c r="H33" s="88">
        <f>IFERROR(_xlfn.XLOOKUP($A33,CFR20252026_BenchMarkDataReport!$B:$B,CFR20252026_BenchMarkDataReport!W:W),0)</f>
        <v>69290</v>
      </c>
      <c r="I33" s="88">
        <f>IFERROR(_xlfn.XLOOKUP($A33,CFR20252026_BenchMarkDataReport!$B:$B,CFR20252026_BenchMarkDataReport!X:X),0)</f>
        <v>79726.350000000006</v>
      </c>
      <c r="J33" s="88">
        <f>IFERROR(_xlfn.XLOOKUP($A33,CFR20252026_BenchMarkDataReport!$B:$B,CFR20252026_BenchMarkDataReport!Y:Y),0)</f>
        <v>110838.31</v>
      </c>
      <c r="K33" s="88">
        <f>IFERROR(_xlfn.XLOOKUP($A33,CFR20252026_BenchMarkDataReport!$B:$B,CFR20252026_BenchMarkDataReport!Z:Z),0)</f>
        <v>48521.27</v>
      </c>
      <c r="L33" s="88">
        <f>IFERROR(_xlfn.XLOOKUP($A33,CFR20252026_BenchMarkDataReport!$B:$B,CFR20252026_BenchMarkDataReport!AA:AA),0)</f>
        <v>7210.64</v>
      </c>
      <c r="M33" s="88">
        <f>IFERROR(_xlfn.XLOOKUP($A33,CFR20252026_BenchMarkDataReport!$B:$B,CFR20252026_BenchMarkDataReport!AB:AB),0)</f>
        <v>7338.2</v>
      </c>
      <c r="N33" s="88">
        <f>IFERROR(_xlfn.XLOOKUP($A33,CFR20252026_BenchMarkDataReport!$B:$B,CFR20252026_BenchMarkDataReport!AC:AC),0)</f>
        <v>0</v>
      </c>
      <c r="O33" s="88">
        <f>IFERROR(_xlfn.XLOOKUP($A33,CFR20252026_BenchMarkDataReport!$B:$B,CFR20252026_BenchMarkDataReport!AD:AD),0)</f>
        <v>0</v>
      </c>
      <c r="P33" s="88">
        <f>IFERROR(_xlfn.XLOOKUP($A33,CFR20252026_BenchMarkDataReport!$B:$B,CFR20252026_BenchMarkDataReport!AE:AE),0)</f>
        <v>227810.14</v>
      </c>
      <c r="Q33" s="88">
        <f>IFERROR(_xlfn.XLOOKUP($A33,CFR20252026_BenchMarkDataReport!$B:$B,CFR20252026_BenchMarkDataReport!AF:AF),0)</f>
        <v>23971.83</v>
      </c>
      <c r="R33" s="88">
        <f>IFERROR(_xlfn.XLOOKUP($A33,CFR20252026_BenchMarkDataReport!$B:$B,CFR20252026_BenchMarkDataReport!AG:AG),0)</f>
        <v>0</v>
      </c>
      <c r="S33" s="88">
        <f>IFERROR(_xlfn.XLOOKUP($A33,CFR20252026_BenchMarkDataReport!$B:$B,CFR20252026_BenchMarkDataReport!AH:AH),0)</f>
        <v>0</v>
      </c>
      <c r="T33" s="88">
        <f>IFERROR(_xlfn.XLOOKUP($A33,CFR20252026_BenchMarkDataReport!$B:$B,CFR20252026_BenchMarkDataReport!AI:AI),0)</f>
        <v>0</v>
      </c>
      <c r="U33" s="88">
        <f>IFERROR(_xlfn.XLOOKUP($A33,CFR20252026_BenchMarkDataReport!$B:$B,CFR20252026_BenchMarkDataReport!AJ:AJ),0)</f>
        <v>1597496.06</v>
      </c>
      <c r="V33" s="88">
        <f>IFERROR(_xlfn.XLOOKUP($A33,CFR20252026_BenchMarkDataReport!$B:$B,CFR20252026_BenchMarkDataReport!AK:AK),0)</f>
        <v>0</v>
      </c>
      <c r="W33" s="88">
        <f>IFERROR(_xlfn.XLOOKUP($A33,CFR20252026_BenchMarkDataReport!$B:$B,CFR20252026_BenchMarkDataReport!AL:AL),0)</f>
        <v>828206.69</v>
      </c>
      <c r="X33" s="88">
        <f>IFERROR(_xlfn.XLOOKUP($A33,CFR20252026_BenchMarkDataReport!$B:$B,CFR20252026_BenchMarkDataReport!AM:AM),0)</f>
        <v>77315.509999999995</v>
      </c>
      <c r="Y33" s="88">
        <f>IFERROR(_xlfn.XLOOKUP($A33,CFR20252026_BenchMarkDataReport!$B:$B,CFR20252026_BenchMarkDataReport!AN:AN),0)</f>
        <v>133517.18</v>
      </c>
      <c r="Z33" s="88">
        <f>IFERROR(_xlfn.XLOOKUP($A33,CFR20252026_BenchMarkDataReport!$B:$B,CFR20252026_BenchMarkDataReport!AO:AO),0)</f>
        <v>0</v>
      </c>
      <c r="AA33" s="88">
        <f>IFERROR(_xlfn.XLOOKUP($A33,CFR20252026_BenchMarkDataReport!$B:$B,CFR20252026_BenchMarkDataReport!AP:AP),0)</f>
        <v>99433.76</v>
      </c>
      <c r="AB33" s="88">
        <f>IFERROR(_xlfn.XLOOKUP($A33,CFR20252026_BenchMarkDataReport!$B:$B,CFR20252026_BenchMarkDataReport!AQ:AQ),0)</f>
        <v>14682.46</v>
      </c>
      <c r="AC33" s="88">
        <f>IFERROR(_xlfn.XLOOKUP($A33,CFR20252026_BenchMarkDataReport!$B:$B,CFR20252026_BenchMarkDataReport!AR:AR),0)</f>
        <v>3215.06</v>
      </c>
      <c r="AD33" s="88">
        <f>IFERROR(_xlfn.XLOOKUP($A33,CFR20252026_BenchMarkDataReport!$B:$B,CFR20252026_BenchMarkDataReport!AS:AS),0)</f>
        <v>699.39</v>
      </c>
      <c r="AE33" s="88">
        <f>IFERROR(_xlfn.XLOOKUP($A33,CFR20252026_BenchMarkDataReport!$B:$B,CFR20252026_BenchMarkDataReport!AT:AT),0)</f>
        <v>0</v>
      </c>
      <c r="AF33" s="88">
        <f>IFERROR(_xlfn.XLOOKUP($A33,CFR20252026_BenchMarkDataReport!$B:$B,CFR20252026_BenchMarkDataReport!AU:AU),0)</f>
        <v>43775.839999999997</v>
      </c>
      <c r="AG33" s="88">
        <f>IFERROR(_xlfn.XLOOKUP($A33,CFR20252026_BenchMarkDataReport!$B:$B,CFR20252026_BenchMarkDataReport!AV:AV),0)</f>
        <v>4374</v>
      </c>
      <c r="AH33" s="88">
        <f>IFERROR(_xlfn.XLOOKUP($A33,CFR20252026_BenchMarkDataReport!$B:$B,CFR20252026_BenchMarkDataReport!AW:AW),0)</f>
        <v>78673</v>
      </c>
      <c r="AI33" s="88">
        <f>IFERROR(_xlfn.XLOOKUP($A33,CFR20252026_BenchMarkDataReport!$B:$B,CFR20252026_BenchMarkDataReport!AX:AX),0)</f>
        <v>-1765.07</v>
      </c>
      <c r="AJ33" s="88">
        <f>IFERROR(_xlfn.XLOOKUP($A33,CFR20252026_BenchMarkDataReport!$B:$B,CFR20252026_BenchMarkDataReport!AY:AY),0)</f>
        <v>59755.31</v>
      </c>
      <c r="AK33" s="88">
        <f>IFERROR(_xlfn.XLOOKUP($A33,CFR20252026_BenchMarkDataReport!$B:$B,CFR20252026_BenchMarkDataReport!AZ:AZ),0)</f>
        <v>58040.87</v>
      </c>
      <c r="AL33" s="88">
        <f>IFERROR(_xlfn.XLOOKUP($A33,CFR20252026_BenchMarkDataReport!$B:$B,CFR20252026_BenchMarkDataReport!BA:BA),0)</f>
        <v>18730.990000000002</v>
      </c>
      <c r="AM33" s="88">
        <f>IFERROR(_xlfn.XLOOKUP($A33,CFR20252026_BenchMarkDataReport!$B:$B,CFR20252026_BenchMarkDataReport!BB:BB),0)</f>
        <v>86340.62</v>
      </c>
      <c r="AN33" s="88">
        <f>IFERROR(_xlfn.XLOOKUP($A33,CFR20252026_BenchMarkDataReport!$B:$B,CFR20252026_BenchMarkDataReport!BC:BC),0)</f>
        <v>7245</v>
      </c>
      <c r="AO33" s="88">
        <f>IFERROR(_xlfn.XLOOKUP($A33,CFR20252026_BenchMarkDataReport!$B:$B,CFR20252026_BenchMarkDataReport!BD:BD),0)</f>
        <v>2577.6999999999998</v>
      </c>
      <c r="AP33" s="88">
        <f>IFERROR(_xlfn.XLOOKUP($A33,CFR20252026_BenchMarkDataReport!$B:$B,CFR20252026_BenchMarkDataReport!BE:BE),0)</f>
        <v>12390.3</v>
      </c>
      <c r="AQ33" s="88">
        <f>IFERROR(_xlfn.XLOOKUP($A33,CFR20252026_BenchMarkDataReport!$B:$B,CFR20252026_BenchMarkDataReport!BF:BF),0)</f>
        <v>11213.18</v>
      </c>
      <c r="AR33" s="88">
        <f>IFERROR(_xlfn.XLOOKUP($A33,CFR20252026_BenchMarkDataReport!$B:$B,CFR20252026_BenchMarkDataReport!BG:BG),0)</f>
        <v>3993.71</v>
      </c>
      <c r="AS33" s="88">
        <f>IFERROR(_xlfn.XLOOKUP($A33,CFR20252026_BenchMarkDataReport!$B:$B,CFR20252026_BenchMarkDataReport!BH:BH),0)</f>
        <v>474.85</v>
      </c>
      <c r="AT33" s="88">
        <f>IFERROR(_xlfn.XLOOKUP($A33,CFR20252026_BenchMarkDataReport!$B:$B,CFR20252026_BenchMarkDataReport!BI:BI),0)</f>
        <v>10814</v>
      </c>
      <c r="AU33" s="88">
        <f>IFERROR(_xlfn.XLOOKUP($A33,CFR20252026_BenchMarkDataReport!$B:$B,CFR20252026_BenchMarkDataReport!BJ:BJ),0)</f>
        <v>0</v>
      </c>
      <c r="AV33" s="88">
        <f>IFERROR(_xlfn.XLOOKUP($A33,CFR20252026_BenchMarkDataReport!$B:$B,CFR20252026_BenchMarkDataReport!BK:BK),0)</f>
        <v>11732.22</v>
      </c>
      <c r="AW33" s="88">
        <f>IFERROR(_xlfn.XLOOKUP($A33,CFR20252026_BenchMarkDataReport!$B:$B,CFR20252026_BenchMarkDataReport!BL:BL),0)</f>
        <v>19755.09</v>
      </c>
      <c r="AX33" s="88">
        <f>IFERROR(_xlfn.XLOOKUP($A33,CFR20252026_BenchMarkDataReport!$B:$B,CFR20252026_BenchMarkDataReport!BM:BM),0)</f>
        <v>6535.91</v>
      </c>
      <c r="AY33" s="88">
        <f>IFERROR(_xlfn.XLOOKUP($A33,CFR20252026_BenchMarkDataReport!$B:$B,CFR20252026_BenchMarkDataReport!BN:BN),0)</f>
        <v>171828.79</v>
      </c>
      <c r="AZ33" s="88">
        <f>IFERROR(_xlfn.XLOOKUP($A33,CFR20252026_BenchMarkDataReport!$B:$B,CFR20252026_BenchMarkDataReport!BO:BO),0)</f>
        <v>23574.080000000002</v>
      </c>
      <c r="BA33" s="88">
        <f>IFERROR(_xlfn.XLOOKUP($A33,CFR20252026_BenchMarkDataReport!$B:$B,CFR20252026_BenchMarkDataReport!BP:BP),0)</f>
        <v>133137.45000000001</v>
      </c>
      <c r="BB33" s="88">
        <f>IFERROR(_xlfn.XLOOKUP($A33,CFR20252026_BenchMarkDataReport!$B:$B,CFR20252026_BenchMarkDataReport!BQ:BQ),0)</f>
        <v>41094.42</v>
      </c>
      <c r="BC33" s="88">
        <f>IFERROR(_xlfn.XLOOKUP($A33,CFR20252026_BenchMarkDataReport!$B:$B,CFR20252026_BenchMarkDataReport!BR:BR),0)</f>
        <v>0</v>
      </c>
      <c r="BD33" s="88">
        <f>IFERROR(_xlfn.XLOOKUP($A33,CFR20252026_BenchMarkDataReport!$B:$B,CFR20252026_BenchMarkDataReport!BS:BS),0)</f>
        <v>0</v>
      </c>
      <c r="BE33" s="88">
        <f>IFERROR(_xlfn.XLOOKUP($A33,CFR20252026_BenchMarkDataReport!$B:$B,CFR20252026_BenchMarkDataReport!BT:BT),0)</f>
        <v>19611</v>
      </c>
      <c r="BF33" s="88">
        <f>IFERROR(_xlfn.XLOOKUP($A33,CFR20252026_BenchMarkDataReport!$B:$B,CFR20252026_BenchMarkDataReport!BU:BU),0)</f>
        <v>0</v>
      </c>
      <c r="BG33" s="88">
        <f>IFERROR(_xlfn.XLOOKUP($A33,CFR20252026_BenchMarkDataReport!$B:$B,CFR20252026_BenchMarkDataReport!BV:BV),0)</f>
        <v>0</v>
      </c>
      <c r="BH33" s="89">
        <f t="shared" si="0"/>
        <v>3709839.370000001</v>
      </c>
      <c r="BI33" s="90">
        <f t="shared" si="85"/>
        <v>3578469.370000001</v>
      </c>
      <c r="BJ33" s="126">
        <f t="shared" si="86"/>
        <v>131370</v>
      </c>
      <c r="BK33" s="88">
        <f>IFERROR(_xlfn.XLOOKUP(A33,CFR20252026_BenchMarkDataReport!$B:$B,CFR20252026_BenchMarkDataReport!P:P)+_xlfn.XLOOKUP(A33,CFR20252026_BenchMarkDataReport!$B:$B,CFR20252026_BenchMarkDataReport!Q:Q),0)</f>
        <v>76598</v>
      </c>
      <c r="BL33" s="89">
        <f t="shared" si="1"/>
        <v>207968</v>
      </c>
      <c r="BM33" s="91">
        <f>SUMIFS(PP!I:I,PP!E:E,A33)</f>
        <v>409</v>
      </c>
      <c r="BN33" s="90">
        <f t="shared" si="21"/>
        <v>3135132.6300000004</v>
      </c>
      <c r="BO33" t="s">
        <v>173</v>
      </c>
      <c r="BP33" s="92">
        <f t="shared" si="22"/>
        <v>0.80345174890954896</v>
      </c>
      <c r="BQ33" s="93">
        <f t="shared" si="23"/>
        <v>7287.7186552567246</v>
      </c>
      <c r="BR33" s="94">
        <f t="shared" si="24"/>
        <v>0</v>
      </c>
      <c r="BS33" s="95">
        <f t="shared" si="25"/>
        <v>0</v>
      </c>
      <c r="BT33" s="92">
        <f t="shared" si="26"/>
        <v>4.1634066760146533E-2</v>
      </c>
      <c r="BU33" s="93">
        <f t="shared" si="27"/>
        <v>377.64229828850858</v>
      </c>
      <c r="BV33" s="94">
        <f t="shared" si="28"/>
        <v>0</v>
      </c>
      <c r="BW33" s="95">
        <f t="shared" si="29"/>
        <v>0</v>
      </c>
      <c r="BX33" s="92">
        <f t="shared" si="30"/>
        <v>1.8677358529407159E-2</v>
      </c>
      <c r="BY33" s="93">
        <f t="shared" si="31"/>
        <v>169.41320293398533</v>
      </c>
      <c r="BZ33" s="94">
        <f t="shared" si="32"/>
        <v>2.149051267413769E-2</v>
      </c>
      <c r="CA33" s="95">
        <f t="shared" si="33"/>
        <v>194.92995110024452</v>
      </c>
      <c r="CB33" s="92">
        <f t="shared" si="34"/>
        <v>2.9876848818928773E-2</v>
      </c>
      <c r="CC33" s="93">
        <f t="shared" si="35"/>
        <v>270.99831295843518</v>
      </c>
      <c r="CD33" s="94">
        <f t="shared" si="36"/>
        <v>1.5022728598623929E-2</v>
      </c>
      <c r="CE33" s="96">
        <f t="shared" si="37"/>
        <v>136.26383863080684</v>
      </c>
      <c r="CF33" s="97">
        <f t="shared" si="38"/>
        <v>6.1407009112634421E-2</v>
      </c>
      <c r="CG33" s="98">
        <f t="shared" si="39"/>
        <v>556.99300733496341</v>
      </c>
      <c r="CH33" s="94">
        <f t="shared" si="40"/>
        <v>6.4616894720161411E-3</v>
      </c>
      <c r="CI33" s="95">
        <f t="shared" si="41"/>
        <v>58.610831295843525</v>
      </c>
      <c r="CJ33" s="99">
        <f t="shared" si="42"/>
        <v>0.51706588885204519</v>
      </c>
      <c r="CK33" s="97">
        <f t="shared" si="43"/>
        <v>0.43696504843550671</v>
      </c>
      <c r="CL33" s="97">
        <f t="shared" si="44"/>
        <v>0.45300657135427702</v>
      </c>
      <c r="CM33" s="98">
        <f t="shared" si="45"/>
        <v>3963.4966748166262</v>
      </c>
      <c r="CN33" s="94">
        <f t="shared" si="46"/>
        <v>0.26416958634378407</v>
      </c>
      <c r="CO33" s="100">
        <f t="shared" si="47"/>
        <v>0.22324597035046284</v>
      </c>
      <c r="CP33" s="100">
        <f t="shared" si="48"/>
        <v>0.23144160376032497</v>
      </c>
      <c r="CQ33" s="101">
        <f t="shared" si="49"/>
        <v>2024.9552322738384</v>
      </c>
      <c r="CR33" s="99">
        <f t="shared" si="50"/>
        <v>2.4661001343346672E-2</v>
      </c>
      <c r="CS33" s="97">
        <f t="shared" si="51"/>
        <v>2.084066243547358E-2</v>
      </c>
      <c r="CT33" s="97">
        <f t="shared" si="52"/>
        <v>2.1605748717083463E-2</v>
      </c>
      <c r="CU33" s="98">
        <f t="shared" si="53"/>
        <v>189.03547677261614</v>
      </c>
      <c r="CV33" s="94">
        <f t="shared" si="54"/>
        <v>4.2587410408854054E-2</v>
      </c>
      <c r="CW33" s="100">
        <f t="shared" si="55"/>
        <v>3.5990016462626506E-2</v>
      </c>
      <c r="CX33" s="100">
        <f t="shared" si="56"/>
        <v>3.7311254113095833E-2</v>
      </c>
      <c r="CY33" s="95">
        <f t="shared" si="57"/>
        <v>326.4478728606357</v>
      </c>
      <c r="CZ33" s="99">
        <f t="shared" si="58"/>
        <v>0.87268052835136334</v>
      </c>
      <c r="DA33" s="97">
        <f t="shared" si="59"/>
        <v>0.73748993612087277</v>
      </c>
      <c r="DB33" s="97">
        <f t="shared" si="60"/>
        <v>0.76456409629684741</v>
      </c>
      <c r="DC33" s="98">
        <f t="shared" si="61"/>
        <v>6689.411246943765</v>
      </c>
      <c r="DD33" s="94">
        <f t="shared" si="62"/>
        <v>1.3962994605430773E-2</v>
      </c>
      <c r="DE33" s="100">
        <f t="shared" si="63"/>
        <v>1.2233118541405871E-2</v>
      </c>
      <c r="DF33" s="95">
        <f t="shared" si="64"/>
        <v>107.03139364303178</v>
      </c>
      <c r="DG33" s="99">
        <f t="shared" si="65"/>
        <v>-4.9324720082765425E-4</v>
      </c>
      <c r="DH33" s="98">
        <f t="shared" si="66"/>
        <v>-4.3155745721271392</v>
      </c>
      <c r="DI33" s="94">
        <f t="shared" si="67"/>
        <v>1.9059898591913794E-2</v>
      </c>
      <c r="DJ33" s="100">
        <f t="shared" si="68"/>
        <v>1.6698566851223316E-2</v>
      </c>
      <c r="DK33" s="95">
        <f t="shared" si="69"/>
        <v>146.10100244498776</v>
      </c>
      <c r="DL33" s="99">
        <f t="shared" si="70"/>
        <v>5.9745446877633368E-3</v>
      </c>
      <c r="DM33" s="97">
        <f t="shared" si="71"/>
        <v>5.234358062983782E-3</v>
      </c>
      <c r="DN33" s="102">
        <f t="shared" si="72"/>
        <v>45.797041564792181</v>
      </c>
      <c r="DO33" s="94">
        <f t="shared" si="73"/>
        <v>2.7539702522888159E-2</v>
      </c>
      <c r="DP33" s="100">
        <f t="shared" si="74"/>
        <v>2.327341196985571E-2</v>
      </c>
      <c r="DQ33" s="100">
        <f t="shared" si="75"/>
        <v>2.4127807470935535E-2</v>
      </c>
      <c r="DR33" s="95">
        <f t="shared" si="76"/>
        <v>211.10176039119804</v>
      </c>
      <c r="DS33" s="99">
        <f t="shared" si="77"/>
        <v>3.7421766108823276E-3</v>
      </c>
      <c r="DT33" s="97">
        <f t="shared" si="78"/>
        <v>3.2785581730436874E-3</v>
      </c>
      <c r="DU33" s="98">
        <f t="shared" si="87"/>
        <v>28.685134474327626</v>
      </c>
      <c r="DV33" s="94">
        <f t="shared" si="79"/>
        <v>4.2466289536210143E-2</v>
      </c>
      <c r="DW33" s="100">
        <f t="shared" si="80"/>
        <v>3.7205138911109353E-2</v>
      </c>
      <c r="DX33" s="95">
        <f t="shared" si="81"/>
        <v>325.51943765281175</v>
      </c>
      <c r="DY33" s="99">
        <f t="shared" si="82"/>
        <v>4.8017398567253899E-2</v>
      </c>
      <c r="DZ33" s="98">
        <f t="shared" si="83"/>
        <v>420.11929095354526</v>
      </c>
      <c r="EA33" s="94">
        <f t="shared" si="14"/>
        <v>2.1985098058838484E-2</v>
      </c>
      <c r="EB33" s="95">
        <f t="shared" si="84"/>
        <v>192.35452322738385</v>
      </c>
      <c r="EC33" s="103">
        <f>IFERROR(VLOOKUP(A33,PP!$E$3:$S$130,14,0),0)</f>
        <v>44</v>
      </c>
    </row>
    <row r="34" spans="1:133">
      <c r="A34" s="26">
        <v>2028</v>
      </c>
      <c r="B34" s="125">
        <v>10068</v>
      </c>
      <c r="C34" s="26" t="s">
        <v>58</v>
      </c>
      <c r="D34" s="88">
        <f>IFERROR(_xlfn.XLOOKUP($A34,CFR20252026_BenchMarkDataReport!$B:$B,CFR20252026_BenchMarkDataReport!S:S),0)</f>
        <v>1288730.75</v>
      </c>
      <c r="E34" s="88">
        <f>IFERROR(_xlfn.XLOOKUP($A34,CFR20252026_BenchMarkDataReport!$B:$B,CFR20252026_BenchMarkDataReport!T:T),0)</f>
        <v>0</v>
      </c>
      <c r="F34" s="88">
        <f>IFERROR(_xlfn.XLOOKUP($A34,CFR20252026_BenchMarkDataReport!$B:$B,CFR20252026_BenchMarkDataReport!U:U),0)</f>
        <v>136838.93</v>
      </c>
      <c r="G34" s="88">
        <f>IFERROR(_xlfn.XLOOKUP($A34,CFR20252026_BenchMarkDataReport!$B:$B,CFR20252026_BenchMarkDataReport!V:V),0)</f>
        <v>0</v>
      </c>
      <c r="H34" s="88">
        <f>IFERROR(_xlfn.XLOOKUP($A34,CFR20252026_BenchMarkDataReport!$B:$B,CFR20252026_BenchMarkDataReport!W:W),0)</f>
        <v>57570</v>
      </c>
      <c r="I34" s="88">
        <f>IFERROR(_xlfn.XLOOKUP($A34,CFR20252026_BenchMarkDataReport!$B:$B,CFR20252026_BenchMarkDataReport!X:X),0)</f>
        <v>77396</v>
      </c>
      <c r="J34" s="88">
        <f>IFERROR(_xlfn.XLOOKUP($A34,CFR20252026_BenchMarkDataReport!$B:$B,CFR20252026_BenchMarkDataReport!Y:Y),0)</f>
        <v>500</v>
      </c>
      <c r="K34" s="88">
        <f>IFERROR(_xlfn.XLOOKUP($A34,CFR20252026_BenchMarkDataReport!$B:$B,CFR20252026_BenchMarkDataReport!Z:Z),0)</f>
        <v>16529</v>
      </c>
      <c r="L34" s="88">
        <f>IFERROR(_xlfn.XLOOKUP($A34,CFR20252026_BenchMarkDataReport!$B:$B,CFR20252026_BenchMarkDataReport!AA:AA),0)</f>
        <v>2307.65</v>
      </c>
      <c r="M34" s="88">
        <f>IFERROR(_xlfn.XLOOKUP($A34,CFR20252026_BenchMarkDataReport!$B:$B,CFR20252026_BenchMarkDataReport!AB:AB),0)</f>
        <v>2895.27</v>
      </c>
      <c r="N34" s="88">
        <f>IFERROR(_xlfn.XLOOKUP($A34,CFR20252026_BenchMarkDataReport!$B:$B,CFR20252026_BenchMarkDataReport!AC:AC),0)</f>
        <v>0</v>
      </c>
      <c r="O34" s="88">
        <f>IFERROR(_xlfn.XLOOKUP($A34,CFR20252026_BenchMarkDataReport!$B:$B,CFR20252026_BenchMarkDataReport!AD:AD),0)</f>
        <v>0</v>
      </c>
      <c r="P34" s="88">
        <f>IFERROR(_xlfn.XLOOKUP($A34,CFR20252026_BenchMarkDataReport!$B:$B,CFR20252026_BenchMarkDataReport!AE:AE),0)</f>
        <v>7593.81</v>
      </c>
      <c r="Q34" s="88">
        <f>IFERROR(_xlfn.XLOOKUP($A34,CFR20252026_BenchMarkDataReport!$B:$B,CFR20252026_BenchMarkDataReport!AF:AF),0)</f>
        <v>5831.64</v>
      </c>
      <c r="R34" s="88">
        <f>IFERROR(_xlfn.XLOOKUP($A34,CFR20252026_BenchMarkDataReport!$B:$B,CFR20252026_BenchMarkDataReport!AG:AG),0)</f>
        <v>0</v>
      </c>
      <c r="S34" s="88">
        <f>IFERROR(_xlfn.XLOOKUP($A34,CFR20252026_BenchMarkDataReport!$B:$B,CFR20252026_BenchMarkDataReport!AH:AH),0)</f>
        <v>0</v>
      </c>
      <c r="T34" s="88">
        <f>IFERROR(_xlfn.XLOOKUP($A34,CFR20252026_BenchMarkDataReport!$B:$B,CFR20252026_BenchMarkDataReport!AI:AI),0)</f>
        <v>0</v>
      </c>
      <c r="U34" s="88">
        <f>IFERROR(_xlfn.XLOOKUP($A34,CFR20252026_BenchMarkDataReport!$B:$B,CFR20252026_BenchMarkDataReport!AJ:AJ),0)</f>
        <v>771036.76</v>
      </c>
      <c r="V34" s="88">
        <f>IFERROR(_xlfn.XLOOKUP($A34,CFR20252026_BenchMarkDataReport!$B:$B,CFR20252026_BenchMarkDataReport!AK:AK),0)</f>
        <v>0</v>
      </c>
      <c r="W34" s="88">
        <f>IFERROR(_xlfn.XLOOKUP($A34,CFR20252026_BenchMarkDataReport!$B:$B,CFR20252026_BenchMarkDataReport!AL:AL),0)</f>
        <v>254966.18</v>
      </c>
      <c r="X34" s="88">
        <f>IFERROR(_xlfn.XLOOKUP($A34,CFR20252026_BenchMarkDataReport!$B:$B,CFR20252026_BenchMarkDataReport!AM:AM),0)</f>
        <v>46401.4</v>
      </c>
      <c r="Y34" s="88">
        <f>IFERROR(_xlfn.XLOOKUP($A34,CFR20252026_BenchMarkDataReport!$B:$B,CFR20252026_BenchMarkDataReport!AN:AN),0)</f>
        <v>110891.83</v>
      </c>
      <c r="Z34" s="88">
        <f>IFERROR(_xlfn.XLOOKUP($A34,CFR20252026_BenchMarkDataReport!$B:$B,CFR20252026_BenchMarkDataReport!AO:AO),0)</f>
        <v>0</v>
      </c>
      <c r="AA34" s="88">
        <f>IFERROR(_xlfn.XLOOKUP($A34,CFR20252026_BenchMarkDataReport!$B:$B,CFR20252026_BenchMarkDataReport!AP:AP),0)</f>
        <v>31700.33</v>
      </c>
      <c r="AB34" s="88">
        <f>IFERROR(_xlfn.XLOOKUP($A34,CFR20252026_BenchMarkDataReport!$B:$B,CFR20252026_BenchMarkDataReport!AQ:AQ),0)</f>
        <v>8044.97</v>
      </c>
      <c r="AC34" s="88">
        <f>IFERROR(_xlfn.XLOOKUP($A34,CFR20252026_BenchMarkDataReport!$B:$B,CFR20252026_BenchMarkDataReport!AR:AR),0)</f>
        <v>1500</v>
      </c>
      <c r="AD34" s="88">
        <f>IFERROR(_xlfn.XLOOKUP($A34,CFR20252026_BenchMarkDataReport!$B:$B,CFR20252026_BenchMarkDataReport!AS:AS),0)</f>
        <v>324.89999999999998</v>
      </c>
      <c r="AE34" s="88">
        <f>IFERROR(_xlfn.XLOOKUP($A34,CFR20252026_BenchMarkDataReport!$B:$B,CFR20252026_BenchMarkDataReport!AT:AT),0)</f>
        <v>0</v>
      </c>
      <c r="AF34" s="88">
        <f>IFERROR(_xlfn.XLOOKUP($A34,CFR20252026_BenchMarkDataReport!$B:$B,CFR20252026_BenchMarkDataReport!AU:AU),0)</f>
        <v>6651.43</v>
      </c>
      <c r="AG34" s="88">
        <f>IFERROR(_xlfn.XLOOKUP($A34,CFR20252026_BenchMarkDataReport!$B:$B,CFR20252026_BenchMarkDataReport!AV:AV),0)</f>
        <v>3492.7</v>
      </c>
      <c r="AH34" s="88">
        <f>IFERROR(_xlfn.XLOOKUP($A34,CFR20252026_BenchMarkDataReport!$B:$B,CFR20252026_BenchMarkDataReport!AW:AW),0)</f>
        <v>23946.78</v>
      </c>
      <c r="AI34" s="88">
        <f>IFERROR(_xlfn.XLOOKUP($A34,CFR20252026_BenchMarkDataReport!$B:$B,CFR20252026_BenchMarkDataReport!AX:AX),0)</f>
        <v>3417.73</v>
      </c>
      <c r="AJ34" s="88">
        <f>IFERROR(_xlfn.XLOOKUP($A34,CFR20252026_BenchMarkDataReport!$B:$B,CFR20252026_BenchMarkDataReport!AY:AY),0)</f>
        <v>16910.82</v>
      </c>
      <c r="AK34" s="88">
        <f>IFERROR(_xlfn.XLOOKUP($A34,CFR20252026_BenchMarkDataReport!$B:$B,CFR20252026_BenchMarkDataReport!AZ:AZ),0)</f>
        <v>4453.53</v>
      </c>
      <c r="AL34" s="88">
        <f>IFERROR(_xlfn.XLOOKUP($A34,CFR20252026_BenchMarkDataReport!$B:$B,CFR20252026_BenchMarkDataReport!BA:BA),0)</f>
        <v>9807.83</v>
      </c>
      <c r="AM34" s="88">
        <f>IFERROR(_xlfn.XLOOKUP($A34,CFR20252026_BenchMarkDataReport!$B:$B,CFR20252026_BenchMarkDataReport!BB:BB),0)</f>
        <v>17767.07</v>
      </c>
      <c r="AN34" s="88">
        <f>IFERROR(_xlfn.XLOOKUP($A34,CFR20252026_BenchMarkDataReport!$B:$B,CFR20252026_BenchMarkDataReport!BC:BC),0)</f>
        <v>3974.72</v>
      </c>
      <c r="AO34" s="88">
        <f>IFERROR(_xlfn.XLOOKUP($A34,CFR20252026_BenchMarkDataReport!$B:$B,CFR20252026_BenchMarkDataReport!BD:BD),0)</f>
        <v>0</v>
      </c>
      <c r="AP34" s="88">
        <f>IFERROR(_xlfn.XLOOKUP($A34,CFR20252026_BenchMarkDataReport!$B:$B,CFR20252026_BenchMarkDataReport!BE:BE),0)</f>
        <v>3260.15</v>
      </c>
      <c r="AQ34" s="88">
        <f>IFERROR(_xlfn.XLOOKUP($A34,CFR20252026_BenchMarkDataReport!$B:$B,CFR20252026_BenchMarkDataReport!BF:BF),0)</f>
        <v>8421.44</v>
      </c>
      <c r="AR34" s="88">
        <f>IFERROR(_xlfn.XLOOKUP($A34,CFR20252026_BenchMarkDataReport!$B:$B,CFR20252026_BenchMarkDataReport!BG:BG),0)</f>
        <v>0</v>
      </c>
      <c r="AS34" s="88">
        <f>IFERROR(_xlfn.XLOOKUP($A34,CFR20252026_BenchMarkDataReport!$B:$B,CFR20252026_BenchMarkDataReport!BH:BH),0)</f>
        <v>0</v>
      </c>
      <c r="AT34" s="88">
        <f>IFERROR(_xlfn.XLOOKUP($A34,CFR20252026_BenchMarkDataReport!$B:$B,CFR20252026_BenchMarkDataReport!BI:BI),0)</f>
        <v>7221.5</v>
      </c>
      <c r="AU34" s="88">
        <f>IFERROR(_xlfn.XLOOKUP($A34,CFR20252026_BenchMarkDataReport!$B:$B,CFR20252026_BenchMarkDataReport!BJ:BJ),0)</f>
        <v>0</v>
      </c>
      <c r="AV34" s="88">
        <f>IFERROR(_xlfn.XLOOKUP($A34,CFR20252026_BenchMarkDataReport!$B:$B,CFR20252026_BenchMarkDataReport!BK:BK),0)</f>
        <v>4329.55</v>
      </c>
      <c r="AW34" s="88">
        <f>IFERROR(_xlfn.XLOOKUP($A34,CFR20252026_BenchMarkDataReport!$B:$B,CFR20252026_BenchMarkDataReport!BL:BL),0)</f>
        <v>8242.35</v>
      </c>
      <c r="AX34" s="88">
        <f>IFERROR(_xlfn.XLOOKUP($A34,CFR20252026_BenchMarkDataReport!$B:$B,CFR20252026_BenchMarkDataReport!BM:BM),0)</f>
        <v>927.66</v>
      </c>
      <c r="AY34" s="88">
        <f>IFERROR(_xlfn.XLOOKUP($A34,CFR20252026_BenchMarkDataReport!$B:$B,CFR20252026_BenchMarkDataReport!BN:BN),0)</f>
        <v>77858.7</v>
      </c>
      <c r="AZ34" s="88">
        <f>IFERROR(_xlfn.XLOOKUP($A34,CFR20252026_BenchMarkDataReport!$B:$B,CFR20252026_BenchMarkDataReport!BO:BO),0)</f>
        <v>79191.289999999994</v>
      </c>
      <c r="BA34" s="88">
        <f>IFERROR(_xlfn.XLOOKUP($A34,CFR20252026_BenchMarkDataReport!$B:$B,CFR20252026_BenchMarkDataReport!BP:BP),0)</f>
        <v>264216.49</v>
      </c>
      <c r="BB34" s="88">
        <f>IFERROR(_xlfn.XLOOKUP($A34,CFR20252026_BenchMarkDataReport!$B:$B,CFR20252026_BenchMarkDataReport!BQ:BQ),0)</f>
        <v>39152.94</v>
      </c>
      <c r="BC34" s="88">
        <f>IFERROR(_xlfn.XLOOKUP($A34,CFR20252026_BenchMarkDataReport!$B:$B,CFR20252026_BenchMarkDataReport!BR:BR),0)</f>
        <v>0</v>
      </c>
      <c r="BD34" s="88">
        <f>IFERROR(_xlfn.XLOOKUP($A34,CFR20252026_BenchMarkDataReport!$B:$B,CFR20252026_BenchMarkDataReport!BS:BS),0)</f>
        <v>0</v>
      </c>
      <c r="BE34" s="88">
        <f>IFERROR(_xlfn.XLOOKUP($A34,CFR20252026_BenchMarkDataReport!$B:$B,CFR20252026_BenchMarkDataReport!BT:BT),0)</f>
        <v>0</v>
      </c>
      <c r="BF34" s="88">
        <f>IFERROR(_xlfn.XLOOKUP($A34,CFR20252026_BenchMarkDataReport!$B:$B,CFR20252026_BenchMarkDataReport!BU:BU),0)</f>
        <v>0</v>
      </c>
      <c r="BG34" s="88">
        <f>IFERROR(_xlfn.XLOOKUP($A34,CFR20252026_BenchMarkDataReport!$B:$B,CFR20252026_BenchMarkDataReport!BV:BV),0)</f>
        <v>0</v>
      </c>
      <c r="BH34" s="89">
        <f t="shared" si="0"/>
        <v>1596193.0499999998</v>
      </c>
      <c r="BI34" s="90">
        <f t="shared" si="85"/>
        <v>1808111.0499999998</v>
      </c>
      <c r="BJ34" s="126">
        <f t="shared" si="86"/>
        <v>-211918</v>
      </c>
      <c r="BK34" s="88">
        <f>IFERROR(_xlfn.XLOOKUP(A34,CFR20252026_BenchMarkDataReport!$B:$B,CFR20252026_BenchMarkDataReport!P:P)+_xlfn.XLOOKUP(A34,CFR20252026_BenchMarkDataReport!$B:$B,CFR20252026_BenchMarkDataReport!Q:Q),0)</f>
        <v>-228252</v>
      </c>
      <c r="BL34" s="89">
        <f t="shared" si="1"/>
        <v>-440170</v>
      </c>
      <c r="BM34" s="91">
        <f>SUMIFS(PP!I:I,PP!E:E,A34)</f>
        <v>190</v>
      </c>
      <c r="BN34" s="90">
        <f t="shared" si="21"/>
        <v>1425569.68</v>
      </c>
      <c r="BO34" t="s">
        <v>173</v>
      </c>
      <c r="BP34" s="92">
        <f t="shared" si="22"/>
        <v>0.80737774794847039</v>
      </c>
      <c r="BQ34" s="93">
        <f t="shared" si="23"/>
        <v>6782.7934210526319</v>
      </c>
      <c r="BR34" s="94">
        <f t="shared" si="24"/>
        <v>0</v>
      </c>
      <c r="BS34" s="95">
        <f t="shared" si="25"/>
        <v>0</v>
      </c>
      <c r="BT34" s="92">
        <f t="shared" si="26"/>
        <v>8.5728308364705644E-2</v>
      </c>
      <c r="BU34" s="93">
        <f t="shared" si="27"/>
        <v>720.20489473684211</v>
      </c>
      <c r="BV34" s="94">
        <f t="shared" si="28"/>
        <v>0</v>
      </c>
      <c r="BW34" s="95">
        <f t="shared" si="29"/>
        <v>0</v>
      </c>
      <c r="BX34" s="92">
        <f t="shared" si="30"/>
        <v>3.606706594794408E-2</v>
      </c>
      <c r="BY34" s="93">
        <f t="shared" si="31"/>
        <v>303</v>
      </c>
      <c r="BZ34" s="94">
        <f t="shared" si="32"/>
        <v>4.848786930879069E-2</v>
      </c>
      <c r="CA34" s="95">
        <f t="shared" si="33"/>
        <v>407.34736842105264</v>
      </c>
      <c r="CB34" s="92">
        <f t="shared" si="34"/>
        <v>3.132453182902908E-4</v>
      </c>
      <c r="CC34" s="93">
        <f t="shared" si="35"/>
        <v>2.6315789473684212</v>
      </c>
      <c r="CD34" s="94">
        <f t="shared" si="36"/>
        <v>1.1800984849545613E-2</v>
      </c>
      <c r="CE34" s="96">
        <f t="shared" si="37"/>
        <v>99.140263157894751</v>
      </c>
      <c r="CF34" s="97">
        <f t="shared" si="38"/>
        <v>4.7574508609719863E-3</v>
      </c>
      <c r="CG34" s="98">
        <f t="shared" si="39"/>
        <v>39.967421052631579</v>
      </c>
      <c r="CH34" s="94">
        <f t="shared" si="40"/>
        <v>3.6534678559087832E-3</v>
      </c>
      <c r="CI34" s="95">
        <f t="shared" si="41"/>
        <v>30.692842105263161</v>
      </c>
      <c r="CJ34" s="99">
        <f t="shared" si="42"/>
        <v>0.59641283195641481</v>
      </c>
      <c r="CK34" s="97">
        <f t="shared" si="43"/>
        <v>0.53265991228316656</v>
      </c>
      <c r="CL34" s="97">
        <f t="shared" si="44"/>
        <v>0.47022999499947754</v>
      </c>
      <c r="CM34" s="98">
        <f t="shared" si="45"/>
        <v>4474.8844736842111</v>
      </c>
      <c r="CN34" s="94">
        <f t="shared" si="46"/>
        <v>0.17885213439724673</v>
      </c>
      <c r="CO34" s="100">
        <f t="shared" si="47"/>
        <v>0.15973392441471915</v>
      </c>
      <c r="CP34" s="100">
        <f t="shared" si="48"/>
        <v>0.14101245606568247</v>
      </c>
      <c r="CQ34" s="101">
        <f t="shared" si="49"/>
        <v>1341.9272631578947</v>
      </c>
      <c r="CR34" s="99">
        <f t="shared" si="50"/>
        <v>3.2549373524835348E-2</v>
      </c>
      <c r="CS34" s="97">
        <f t="shared" si="51"/>
        <v>2.90700426242302E-2</v>
      </c>
      <c r="CT34" s="97">
        <f t="shared" si="52"/>
        <v>2.5662914896737127E-2</v>
      </c>
      <c r="CU34" s="98">
        <f t="shared" si="53"/>
        <v>244.21789473684211</v>
      </c>
      <c r="CV34" s="94">
        <f t="shared" si="54"/>
        <v>7.7787730446118919E-2</v>
      </c>
      <c r="CW34" s="100">
        <f t="shared" si="55"/>
        <v>6.9472693168285637E-2</v>
      </c>
      <c r="CX34" s="100">
        <f t="shared" si="56"/>
        <v>6.1330209778873934E-2</v>
      </c>
      <c r="CY34" s="95">
        <f t="shared" si="57"/>
        <v>583.64121052631583</v>
      </c>
      <c r="CZ34" s="99">
        <f t="shared" si="58"/>
        <v>0.85228839883856122</v>
      </c>
      <c r="DA34" s="97">
        <f t="shared" si="59"/>
        <v>0.76118393072817858</v>
      </c>
      <c r="DB34" s="97">
        <f t="shared" si="60"/>
        <v>0.67197006511298085</v>
      </c>
      <c r="DC34" s="98">
        <f t="shared" si="61"/>
        <v>6394.7184210526311</v>
      </c>
      <c r="DD34" s="94">
        <f t="shared" si="62"/>
        <v>4.6658049012377988E-3</v>
      </c>
      <c r="DE34" s="100">
        <f t="shared" si="63"/>
        <v>3.6786623255247518E-3</v>
      </c>
      <c r="DF34" s="95">
        <f t="shared" si="64"/>
        <v>35.007526315789477</v>
      </c>
      <c r="DG34" s="99">
        <f t="shared" si="65"/>
        <v>1.8902212892288892E-3</v>
      </c>
      <c r="DH34" s="98">
        <f t="shared" si="66"/>
        <v>17.988052631578949</v>
      </c>
      <c r="DI34" s="94">
        <f t="shared" si="67"/>
        <v>1.1862499769215069E-2</v>
      </c>
      <c r="DJ34" s="100">
        <f t="shared" si="68"/>
        <v>9.3527551861374899E-3</v>
      </c>
      <c r="DK34" s="95">
        <f t="shared" si="69"/>
        <v>89.004315789473679</v>
      </c>
      <c r="DL34" s="99">
        <f t="shared" si="70"/>
        <v>6.8799372893508792E-3</v>
      </c>
      <c r="DM34" s="97">
        <f t="shared" si="71"/>
        <v>5.4243515629197672E-3</v>
      </c>
      <c r="DN34" s="102">
        <f t="shared" si="72"/>
        <v>51.620157894736842</v>
      </c>
      <c r="DO34" s="94">
        <f t="shared" si="73"/>
        <v>1.2463136842248217E-2</v>
      </c>
      <c r="DP34" s="100">
        <f t="shared" si="74"/>
        <v>1.1130902994471753E-2</v>
      </c>
      <c r="DQ34" s="100">
        <f t="shared" si="75"/>
        <v>9.8263157011290875E-3</v>
      </c>
      <c r="DR34" s="95">
        <f t="shared" si="76"/>
        <v>93.510894736842104</v>
      </c>
      <c r="DS34" s="99">
        <f t="shared" si="77"/>
        <v>3.0370665571394589E-3</v>
      </c>
      <c r="DT34" s="97">
        <f t="shared" si="78"/>
        <v>2.3945155359788332E-3</v>
      </c>
      <c r="DU34" s="98">
        <f t="shared" si="87"/>
        <v>22.787105263157894</v>
      </c>
      <c r="DV34" s="94">
        <f t="shared" si="79"/>
        <v>0.1853409859278152</v>
      </c>
      <c r="DW34" s="100">
        <f t="shared" si="80"/>
        <v>0.14612846373567598</v>
      </c>
      <c r="DX34" s="95">
        <f t="shared" si="81"/>
        <v>1390.6131052631579</v>
      </c>
      <c r="DY34" s="99">
        <f t="shared" si="82"/>
        <v>4.3060795408556354E-2</v>
      </c>
      <c r="DZ34" s="98">
        <f t="shared" si="83"/>
        <v>409.78263157894736</v>
      </c>
      <c r="EA34" s="94">
        <f t="shared" si="14"/>
        <v>1.3244086971317388E-2</v>
      </c>
      <c r="EB34" s="95">
        <f t="shared" si="84"/>
        <v>126.03568421052631</v>
      </c>
      <c r="EC34" s="103">
        <f>IFERROR(VLOOKUP(A34,PP!$E$3:$S$130,14,0),0)</f>
        <v>38</v>
      </c>
    </row>
    <row r="35" spans="1:133">
      <c r="A35" s="26">
        <v>2027</v>
      </c>
      <c r="B35" s="125">
        <v>10067</v>
      </c>
      <c r="C35" s="26" t="s">
        <v>59</v>
      </c>
      <c r="D35" s="88">
        <f>IFERROR(_xlfn.XLOOKUP($A35,CFR20252026_BenchMarkDataReport!$B:$B,CFR20252026_BenchMarkDataReport!S:S),0)</f>
        <v>2113537.2400000002</v>
      </c>
      <c r="E35" s="88">
        <f>IFERROR(_xlfn.XLOOKUP($A35,CFR20252026_BenchMarkDataReport!$B:$B,CFR20252026_BenchMarkDataReport!T:T),0)</f>
        <v>0</v>
      </c>
      <c r="F35" s="88">
        <f>IFERROR(_xlfn.XLOOKUP($A35,CFR20252026_BenchMarkDataReport!$B:$B,CFR20252026_BenchMarkDataReport!U:U),0)</f>
        <v>197283.75</v>
      </c>
      <c r="G35" s="88">
        <f>IFERROR(_xlfn.XLOOKUP($A35,CFR20252026_BenchMarkDataReport!$B:$B,CFR20252026_BenchMarkDataReport!V:V),0)</f>
        <v>0</v>
      </c>
      <c r="H35" s="88">
        <f>IFERROR(_xlfn.XLOOKUP($A35,CFR20252026_BenchMarkDataReport!$B:$B,CFR20252026_BenchMarkDataReport!W:W),0)</f>
        <v>160190</v>
      </c>
      <c r="I35" s="88">
        <f>IFERROR(_xlfn.XLOOKUP($A35,CFR20252026_BenchMarkDataReport!$B:$B,CFR20252026_BenchMarkDataReport!X:X),0)</f>
        <v>21974.61</v>
      </c>
      <c r="J35" s="88">
        <f>IFERROR(_xlfn.XLOOKUP($A35,CFR20252026_BenchMarkDataReport!$B:$B,CFR20252026_BenchMarkDataReport!Y:Y),0)</f>
        <v>121347.24</v>
      </c>
      <c r="K35" s="88">
        <f>IFERROR(_xlfn.XLOOKUP($A35,CFR20252026_BenchMarkDataReport!$B:$B,CFR20252026_BenchMarkDataReport!Z:Z),0)</f>
        <v>15563.5</v>
      </c>
      <c r="L35" s="88">
        <f>IFERROR(_xlfn.XLOOKUP($A35,CFR20252026_BenchMarkDataReport!$B:$B,CFR20252026_BenchMarkDataReport!AA:AA),0)</f>
        <v>15251.62</v>
      </c>
      <c r="M35" s="88">
        <f>IFERROR(_xlfn.XLOOKUP($A35,CFR20252026_BenchMarkDataReport!$B:$B,CFR20252026_BenchMarkDataReport!AB:AB),0)</f>
        <v>4601.59</v>
      </c>
      <c r="N35" s="88">
        <f>IFERROR(_xlfn.XLOOKUP($A35,CFR20252026_BenchMarkDataReport!$B:$B,CFR20252026_BenchMarkDataReport!AC:AC),0)</f>
        <v>0</v>
      </c>
      <c r="O35" s="88">
        <f>IFERROR(_xlfn.XLOOKUP($A35,CFR20252026_BenchMarkDataReport!$B:$B,CFR20252026_BenchMarkDataReport!AD:AD),0)</f>
        <v>0</v>
      </c>
      <c r="P35" s="88">
        <f>IFERROR(_xlfn.XLOOKUP($A35,CFR20252026_BenchMarkDataReport!$B:$B,CFR20252026_BenchMarkDataReport!AE:AE),0)</f>
        <v>34894.800000000003</v>
      </c>
      <c r="Q35" s="88">
        <f>IFERROR(_xlfn.XLOOKUP($A35,CFR20252026_BenchMarkDataReport!$B:$B,CFR20252026_BenchMarkDataReport!AF:AF),0)</f>
        <v>12868.23</v>
      </c>
      <c r="R35" s="88">
        <f>IFERROR(_xlfn.XLOOKUP($A35,CFR20252026_BenchMarkDataReport!$B:$B,CFR20252026_BenchMarkDataReport!AG:AG),0)</f>
        <v>0</v>
      </c>
      <c r="S35" s="88">
        <f>IFERROR(_xlfn.XLOOKUP($A35,CFR20252026_BenchMarkDataReport!$B:$B,CFR20252026_BenchMarkDataReport!AH:AH),0)</f>
        <v>0</v>
      </c>
      <c r="T35" s="88">
        <f>IFERROR(_xlfn.XLOOKUP($A35,CFR20252026_BenchMarkDataReport!$B:$B,CFR20252026_BenchMarkDataReport!AI:AI),0)</f>
        <v>0</v>
      </c>
      <c r="U35" s="88">
        <f>IFERROR(_xlfn.XLOOKUP($A35,CFR20252026_BenchMarkDataReport!$B:$B,CFR20252026_BenchMarkDataReport!AJ:AJ),0)</f>
        <v>1105297.06</v>
      </c>
      <c r="V35" s="88">
        <f>IFERROR(_xlfn.XLOOKUP($A35,CFR20252026_BenchMarkDataReport!$B:$B,CFR20252026_BenchMarkDataReport!AK:AK),0)</f>
        <v>0</v>
      </c>
      <c r="W35" s="88">
        <f>IFERROR(_xlfn.XLOOKUP($A35,CFR20252026_BenchMarkDataReport!$B:$B,CFR20252026_BenchMarkDataReport!AL:AL),0)</f>
        <v>242377.25</v>
      </c>
      <c r="X35" s="88">
        <f>IFERROR(_xlfn.XLOOKUP($A35,CFR20252026_BenchMarkDataReport!$B:$B,CFR20252026_BenchMarkDataReport!AM:AM),0)</f>
        <v>46401.96</v>
      </c>
      <c r="Y35" s="88">
        <f>IFERROR(_xlfn.XLOOKUP($A35,CFR20252026_BenchMarkDataReport!$B:$B,CFR20252026_BenchMarkDataReport!AN:AN),0)</f>
        <v>112125.37</v>
      </c>
      <c r="Z35" s="88">
        <f>IFERROR(_xlfn.XLOOKUP($A35,CFR20252026_BenchMarkDataReport!$B:$B,CFR20252026_BenchMarkDataReport!AO:AO),0)</f>
        <v>0</v>
      </c>
      <c r="AA35" s="88">
        <f>IFERROR(_xlfn.XLOOKUP($A35,CFR20252026_BenchMarkDataReport!$B:$B,CFR20252026_BenchMarkDataReport!AP:AP),0)</f>
        <v>27877.439999999999</v>
      </c>
      <c r="AB35" s="88">
        <f>IFERROR(_xlfn.XLOOKUP($A35,CFR20252026_BenchMarkDataReport!$B:$B,CFR20252026_BenchMarkDataReport!AQ:AQ),0)</f>
        <v>13078.19</v>
      </c>
      <c r="AC35" s="88">
        <f>IFERROR(_xlfn.XLOOKUP($A35,CFR20252026_BenchMarkDataReport!$B:$B,CFR20252026_BenchMarkDataReport!AR:AR),0)</f>
        <v>4655</v>
      </c>
      <c r="AD35" s="88">
        <f>IFERROR(_xlfn.XLOOKUP($A35,CFR20252026_BenchMarkDataReport!$B:$B,CFR20252026_BenchMarkDataReport!AS:AS),0)</f>
        <v>588.24</v>
      </c>
      <c r="AE35" s="88">
        <f>IFERROR(_xlfn.XLOOKUP($A35,CFR20252026_BenchMarkDataReport!$B:$B,CFR20252026_BenchMarkDataReport!AT:AT),0)</f>
        <v>0</v>
      </c>
      <c r="AF35" s="88">
        <f>IFERROR(_xlfn.XLOOKUP($A35,CFR20252026_BenchMarkDataReport!$B:$B,CFR20252026_BenchMarkDataReport!AU:AU),0)</f>
        <v>13636.09</v>
      </c>
      <c r="AG35" s="88">
        <f>IFERROR(_xlfn.XLOOKUP($A35,CFR20252026_BenchMarkDataReport!$B:$B,CFR20252026_BenchMarkDataReport!AV:AV),0)</f>
        <v>4225.09</v>
      </c>
      <c r="AH35" s="88">
        <f>IFERROR(_xlfn.XLOOKUP($A35,CFR20252026_BenchMarkDataReport!$B:$B,CFR20252026_BenchMarkDataReport!AW:AW),0)</f>
        <v>31570.21</v>
      </c>
      <c r="AI35" s="88">
        <f>IFERROR(_xlfn.XLOOKUP($A35,CFR20252026_BenchMarkDataReport!$B:$B,CFR20252026_BenchMarkDataReport!AX:AX),0)</f>
        <v>5126.6099999999997</v>
      </c>
      <c r="AJ35" s="88">
        <f>IFERROR(_xlfn.XLOOKUP($A35,CFR20252026_BenchMarkDataReport!$B:$B,CFR20252026_BenchMarkDataReport!AY:AY),0)</f>
        <v>25337.89</v>
      </c>
      <c r="AK35" s="88">
        <f>IFERROR(_xlfn.XLOOKUP($A35,CFR20252026_BenchMarkDataReport!$B:$B,CFR20252026_BenchMarkDataReport!AZ:AZ),0)</f>
        <v>4453.53</v>
      </c>
      <c r="AL35" s="88">
        <f>IFERROR(_xlfn.XLOOKUP($A35,CFR20252026_BenchMarkDataReport!$B:$B,CFR20252026_BenchMarkDataReport!BA:BA),0)</f>
        <v>11353.12</v>
      </c>
      <c r="AM35" s="88">
        <f>IFERROR(_xlfn.XLOOKUP($A35,CFR20252026_BenchMarkDataReport!$B:$B,CFR20252026_BenchMarkDataReport!BB:BB),0)</f>
        <v>62123.1</v>
      </c>
      <c r="AN35" s="88">
        <f>IFERROR(_xlfn.XLOOKUP($A35,CFR20252026_BenchMarkDataReport!$B:$B,CFR20252026_BenchMarkDataReport!BC:BC),0)</f>
        <v>3975.72</v>
      </c>
      <c r="AO35" s="88">
        <f>IFERROR(_xlfn.XLOOKUP($A35,CFR20252026_BenchMarkDataReport!$B:$B,CFR20252026_BenchMarkDataReport!BD:BD),0)</f>
        <v>0</v>
      </c>
      <c r="AP35" s="88">
        <f>IFERROR(_xlfn.XLOOKUP($A35,CFR20252026_BenchMarkDataReport!$B:$B,CFR20252026_BenchMarkDataReport!BE:BE),0)</f>
        <v>2396.6</v>
      </c>
      <c r="AQ35" s="88">
        <f>IFERROR(_xlfn.XLOOKUP($A35,CFR20252026_BenchMarkDataReport!$B:$B,CFR20252026_BenchMarkDataReport!BF:BF),0)</f>
        <v>12807.7</v>
      </c>
      <c r="AR35" s="88">
        <f>IFERROR(_xlfn.XLOOKUP($A35,CFR20252026_BenchMarkDataReport!$B:$B,CFR20252026_BenchMarkDataReport!BG:BG),0)</f>
        <v>0</v>
      </c>
      <c r="AS35" s="88">
        <f>IFERROR(_xlfn.XLOOKUP($A35,CFR20252026_BenchMarkDataReport!$B:$B,CFR20252026_BenchMarkDataReport!BH:BH),0)</f>
        <v>1388.85</v>
      </c>
      <c r="AT35" s="88">
        <f>IFERROR(_xlfn.XLOOKUP($A35,CFR20252026_BenchMarkDataReport!$B:$B,CFR20252026_BenchMarkDataReport!BI:BI),0)</f>
        <v>10778.5</v>
      </c>
      <c r="AU35" s="88">
        <f>IFERROR(_xlfn.XLOOKUP($A35,CFR20252026_BenchMarkDataReport!$B:$B,CFR20252026_BenchMarkDataReport!BJ:BJ),0)</f>
        <v>0</v>
      </c>
      <c r="AV35" s="88">
        <f>IFERROR(_xlfn.XLOOKUP($A35,CFR20252026_BenchMarkDataReport!$B:$B,CFR20252026_BenchMarkDataReport!BK:BK),0)</f>
        <v>4701.3</v>
      </c>
      <c r="AW35" s="88">
        <f>IFERROR(_xlfn.XLOOKUP($A35,CFR20252026_BenchMarkDataReport!$B:$B,CFR20252026_BenchMarkDataReport!BL:BL),0)</f>
        <v>14922.94</v>
      </c>
      <c r="AX35" s="88">
        <f>IFERROR(_xlfn.XLOOKUP($A35,CFR20252026_BenchMarkDataReport!$B:$B,CFR20252026_BenchMarkDataReport!BM:BM),0)</f>
        <v>12377.64</v>
      </c>
      <c r="AY35" s="88">
        <f>IFERROR(_xlfn.XLOOKUP($A35,CFR20252026_BenchMarkDataReport!$B:$B,CFR20252026_BenchMarkDataReport!BN:BN),0)</f>
        <v>123888.5</v>
      </c>
      <c r="AZ35" s="88">
        <f>IFERROR(_xlfn.XLOOKUP($A35,CFR20252026_BenchMarkDataReport!$B:$B,CFR20252026_BenchMarkDataReport!BO:BO),0)</f>
        <v>239891.3</v>
      </c>
      <c r="BA35" s="88">
        <f>IFERROR(_xlfn.XLOOKUP($A35,CFR20252026_BenchMarkDataReport!$B:$B,CFR20252026_BenchMarkDataReport!BP:BP),0)</f>
        <v>483439.48</v>
      </c>
      <c r="BB35" s="88">
        <f>IFERROR(_xlfn.XLOOKUP($A35,CFR20252026_BenchMarkDataReport!$B:$B,CFR20252026_BenchMarkDataReport!BQ:BQ),0)</f>
        <v>41986.9</v>
      </c>
      <c r="BC35" s="88">
        <f>IFERROR(_xlfn.XLOOKUP($A35,CFR20252026_BenchMarkDataReport!$B:$B,CFR20252026_BenchMarkDataReport!BR:BR),0)</f>
        <v>0</v>
      </c>
      <c r="BD35" s="88">
        <f>IFERROR(_xlfn.XLOOKUP($A35,CFR20252026_BenchMarkDataReport!$B:$B,CFR20252026_BenchMarkDataReport!BS:BS),0)</f>
        <v>0</v>
      </c>
      <c r="BE35" s="88">
        <f>IFERROR(_xlfn.XLOOKUP($A35,CFR20252026_BenchMarkDataReport!$B:$B,CFR20252026_BenchMarkDataReport!BT:BT),0)</f>
        <v>0</v>
      </c>
      <c r="BF35" s="88">
        <f>IFERROR(_xlfn.XLOOKUP($A35,CFR20252026_BenchMarkDataReport!$B:$B,CFR20252026_BenchMarkDataReport!BU:BU),0)</f>
        <v>0</v>
      </c>
      <c r="BG35" s="88">
        <f>IFERROR(_xlfn.XLOOKUP($A35,CFR20252026_BenchMarkDataReport!$B:$B,CFR20252026_BenchMarkDataReport!BV:BV),0)</f>
        <v>0</v>
      </c>
      <c r="BH35" s="89">
        <f t="shared" si="0"/>
        <v>2697512.58</v>
      </c>
      <c r="BI35" s="90">
        <f t="shared" si="85"/>
        <v>2662781.58</v>
      </c>
      <c r="BJ35" s="126">
        <f t="shared" si="86"/>
        <v>34731</v>
      </c>
      <c r="BK35" s="88">
        <f>IFERROR(_xlfn.XLOOKUP(A35,CFR20252026_BenchMarkDataReport!$B:$B,CFR20252026_BenchMarkDataReport!P:P)+_xlfn.XLOOKUP(A35,CFR20252026_BenchMarkDataReport!$B:$B,CFR20252026_BenchMarkDataReport!Q:Q),0)</f>
        <v>-247743</v>
      </c>
      <c r="BL35" s="89">
        <f t="shared" si="1"/>
        <v>-213012</v>
      </c>
      <c r="BM35" s="91">
        <f>SUMIFS(PP!I:I,PP!E:E,A35)</f>
        <v>344</v>
      </c>
      <c r="BN35" s="90">
        <f t="shared" si="21"/>
        <v>2310820.9900000002</v>
      </c>
      <c r="BO35" t="s">
        <v>173</v>
      </c>
      <c r="BP35" s="92">
        <f t="shared" si="22"/>
        <v>0.78351339514420359</v>
      </c>
      <c r="BQ35" s="93">
        <f t="shared" si="23"/>
        <v>6144.0036046511632</v>
      </c>
      <c r="BR35" s="94">
        <f t="shared" si="24"/>
        <v>0</v>
      </c>
      <c r="BS35" s="95">
        <f t="shared" si="25"/>
        <v>0</v>
      </c>
      <c r="BT35" s="92">
        <f t="shared" si="26"/>
        <v>7.3135432791939001E-2</v>
      </c>
      <c r="BU35" s="93">
        <f t="shared" si="27"/>
        <v>573.49927325581393</v>
      </c>
      <c r="BV35" s="94">
        <f t="shared" si="28"/>
        <v>0</v>
      </c>
      <c r="BW35" s="95">
        <f t="shared" si="29"/>
        <v>0</v>
      </c>
      <c r="BX35" s="92">
        <f t="shared" si="30"/>
        <v>5.9384338441157515E-2</v>
      </c>
      <c r="BY35" s="93">
        <f t="shared" si="31"/>
        <v>465.66860465116281</v>
      </c>
      <c r="BZ35" s="94">
        <f t="shared" si="32"/>
        <v>8.1462493123943096E-3</v>
      </c>
      <c r="CA35" s="95">
        <f t="shared" si="33"/>
        <v>63.879680232558144</v>
      </c>
      <c r="CB35" s="92">
        <f t="shared" si="34"/>
        <v>4.4984865279108353E-2</v>
      </c>
      <c r="CC35" s="93">
        <f t="shared" si="35"/>
        <v>352.75360465116279</v>
      </c>
      <c r="CD35" s="94">
        <f t="shared" si="36"/>
        <v>1.1423531526218129E-2</v>
      </c>
      <c r="CE35" s="96">
        <f t="shared" si="37"/>
        <v>89.578837209302336</v>
      </c>
      <c r="CF35" s="97">
        <f t="shared" si="38"/>
        <v>1.2935917429530579E-2</v>
      </c>
      <c r="CG35" s="98">
        <f t="shared" si="39"/>
        <v>101.43837209302326</v>
      </c>
      <c r="CH35" s="94">
        <f t="shared" si="40"/>
        <v>4.7704059270781973E-3</v>
      </c>
      <c r="CI35" s="95">
        <f t="shared" si="41"/>
        <v>37.407645348837207</v>
      </c>
      <c r="CJ35" s="99">
        <f t="shared" si="42"/>
        <v>0.5821257318594808</v>
      </c>
      <c r="CK35" s="97">
        <f t="shared" si="43"/>
        <v>0.49867732590889347</v>
      </c>
      <c r="CL35" s="97">
        <f t="shared" si="44"/>
        <v>0.50518163791714377</v>
      </c>
      <c r="CM35" s="98">
        <f t="shared" si="45"/>
        <v>3910.4312790697677</v>
      </c>
      <c r="CN35" s="94">
        <f t="shared" si="46"/>
        <v>0.10488793855035909</v>
      </c>
      <c r="CO35" s="100">
        <f t="shared" si="47"/>
        <v>8.9852129623803276E-2</v>
      </c>
      <c r="CP35" s="100">
        <f t="shared" si="48"/>
        <v>9.1024082418355912E-2</v>
      </c>
      <c r="CQ35" s="101">
        <f t="shared" si="49"/>
        <v>704.58502906976742</v>
      </c>
      <c r="CR35" s="99">
        <f t="shared" si="50"/>
        <v>2.0080291896604242E-2</v>
      </c>
      <c r="CS35" s="97">
        <f t="shared" si="51"/>
        <v>1.7201758517841646E-2</v>
      </c>
      <c r="CT35" s="97">
        <f t="shared" si="52"/>
        <v>1.7426123249658351E-2</v>
      </c>
      <c r="CU35" s="98">
        <f t="shared" si="53"/>
        <v>134.88941860465115</v>
      </c>
      <c r="CV35" s="94">
        <f t="shared" si="54"/>
        <v>4.8521876201237026E-2</v>
      </c>
      <c r="CW35" s="100">
        <f t="shared" si="55"/>
        <v>4.1566208377052313E-2</v>
      </c>
      <c r="CX35" s="100">
        <f t="shared" si="56"/>
        <v>4.2108361738028843E-2</v>
      </c>
      <c r="CY35" s="95">
        <f t="shared" si="57"/>
        <v>325.9458430232558</v>
      </c>
      <c r="CZ35" s="99">
        <f t="shared" si="58"/>
        <v>0.66386755470833758</v>
      </c>
      <c r="DA35" s="97">
        <f t="shared" si="59"/>
        <v>0.56870136264573046</v>
      </c>
      <c r="DB35" s="97">
        <f t="shared" si="60"/>
        <v>0.57611900710233999</v>
      </c>
      <c r="DC35" s="98">
        <f t="shared" si="61"/>
        <v>4459.532209302326</v>
      </c>
      <c r="DD35" s="94">
        <f t="shared" si="62"/>
        <v>5.900972017741625E-3</v>
      </c>
      <c r="DE35" s="100">
        <f t="shared" si="63"/>
        <v>5.1209945653897752E-3</v>
      </c>
      <c r="DF35" s="95">
        <f t="shared" si="64"/>
        <v>39.639796511627907</v>
      </c>
      <c r="DG35" s="99">
        <f t="shared" si="65"/>
        <v>1.9252837102771304E-3</v>
      </c>
      <c r="DH35" s="98">
        <f t="shared" si="66"/>
        <v>14.902936046511627</v>
      </c>
      <c r="DI35" s="94">
        <f t="shared" si="67"/>
        <v>1.0964886553155291E-2</v>
      </c>
      <c r="DJ35" s="100">
        <f t="shared" si="68"/>
        <v>9.5155720582985256E-3</v>
      </c>
      <c r="DK35" s="95">
        <f t="shared" si="69"/>
        <v>73.656656976744188</v>
      </c>
      <c r="DL35" s="99">
        <f t="shared" si="70"/>
        <v>4.9130244398550319E-3</v>
      </c>
      <c r="DM35" s="97">
        <f t="shared" si="71"/>
        <v>4.2636317170257733E-3</v>
      </c>
      <c r="DN35" s="102">
        <f t="shared" si="72"/>
        <v>33.003255813953494</v>
      </c>
      <c r="DO35" s="94">
        <f t="shared" si="73"/>
        <v>2.6883562278876474E-2</v>
      </c>
      <c r="DP35" s="100">
        <f t="shared" si="74"/>
        <v>2.3029772116947827E-2</v>
      </c>
      <c r="DQ35" s="100">
        <f t="shared" si="75"/>
        <v>2.3330152373969779E-2</v>
      </c>
      <c r="DR35" s="95">
        <f t="shared" si="76"/>
        <v>180.59040697674419</v>
      </c>
      <c r="DS35" s="99">
        <f t="shared" si="77"/>
        <v>2.0344717398468842E-3</v>
      </c>
      <c r="DT35" s="97">
        <f t="shared" si="78"/>
        <v>1.7655597572520387E-3</v>
      </c>
      <c r="DU35" s="98">
        <f t="shared" si="87"/>
        <v>13.66656976744186</v>
      </c>
      <c r="DV35" s="94">
        <f t="shared" si="79"/>
        <v>0.20920680662503413</v>
      </c>
      <c r="DW35" s="100">
        <f t="shared" si="80"/>
        <v>0.18155431284003398</v>
      </c>
      <c r="DX35" s="95">
        <f t="shared" si="81"/>
        <v>1405.3473255813954</v>
      </c>
      <c r="DY35" s="99">
        <f t="shared" si="82"/>
        <v>4.6525971536876862E-2</v>
      </c>
      <c r="DZ35" s="98">
        <f t="shared" si="83"/>
        <v>360.14098837209303</v>
      </c>
      <c r="EA35" s="94">
        <f t="shared" si="14"/>
        <v>1.1856101993915701E-2</v>
      </c>
      <c r="EB35" s="95">
        <f t="shared" si="84"/>
        <v>91.773866279069765</v>
      </c>
      <c r="EC35" s="103">
        <f>IFERROR(VLOOKUP(A35,PP!$E$3:$S$130,14,0),0)</f>
        <v>104</v>
      </c>
    </row>
    <row r="36" spans="1:133">
      <c r="A36" s="26">
        <v>2029</v>
      </c>
      <c r="B36" s="125">
        <v>10069</v>
      </c>
      <c r="C36" s="26" t="s">
        <v>60</v>
      </c>
      <c r="D36" s="88">
        <f>IFERROR(_xlfn.XLOOKUP($A36,CFR20252026_BenchMarkDataReport!$B:$B,CFR20252026_BenchMarkDataReport!S:S),0)</f>
        <v>3030479.81</v>
      </c>
      <c r="E36" s="88">
        <f>IFERROR(_xlfn.XLOOKUP($A36,CFR20252026_BenchMarkDataReport!$B:$B,CFR20252026_BenchMarkDataReport!T:T),0)</f>
        <v>0</v>
      </c>
      <c r="F36" s="88">
        <f>IFERROR(_xlfn.XLOOKUP($A36,CFR20252026_BenchMarkDataReport!$B:$B,CFR20252026_BenchMarkDataReport!U:U),0)</f>
        <v>263977.58</v>
      </c>
      <c r="G36" s="88">
        <f>IFERROR(_xlfn.XLOOKUP($A36,CFR20252026_BenchMarkDataReport!$B:$B,CFR20252026_BenchMarkDataReport!V:V),0)</f>
        <v>0</v>
      </c>
      <c r="H36" s="88">
        <f>IFERROR(_xlfn.XLOOKUP($A36,CFR20252026_BenchMarkDataReport!$B:$B,CFR20252026_BenchMarkDataReport!W:W),0)</f>
        <v>266817</v>
      </c>
      <c r="I36" s="88">
        <f>IFERROR(_xlfn.XLOOKUP($A36,CFR20252026_BenchMarkDataReport!$B:$B,CFR20252026_BenchMarkDataReport!X:X),0)</f>
        <v>72264</v>
      </c>
      <c r="J36" s="88">
        <f>IFERROR(_xlfn.XLOOKUP($A36,CFR20252026_BenchMarkDataReport!$B:$B,CFR20252026_BenchMarkDataReport!Y:Y),0)</f>
        <v>81094.63</v>
      </c>
      <c r="K36" s="88">
        <f>IFERROR(_xlfn.XLOOKUP($A36,CFR20252026_BenchMarkDataReport!$B:$B,CFR20252026_BenchMarkDataReport!Z:Z),0)</f>
        <v>0</v>
      </c>
      <c r="L36" s="88">
        <f>IFERROR(_xlfn.XLOOKUP($A36,CFR20252026_BenchMarkDataReport!$B:$B,CFR20252026_BenchMarkDataReport!AA:AA),0)</f>
        <v>55175.73</v>
      </c>
      <c r="M36" s="88">
        <f>IFERROR(_xlfn.XLOOKUP($A36,CFR20252026_BenchMarkDataReport!$B:$B,CFR20252026_BenchMarkDataReport!AB:AB),0)</f>
        <v>6864.65</v>
      </c>
      <c r="N36" s="88">
        <f>IFERROR(_xlfn.XLOOKUP($A36,CFR20252026_BenchMarkDataReport!$B:$B,CFR20252026_BenchMarkDataReport!AC:AC),0)</f>
        <v>0</v>
      </c>
      <c r="O36" s="88">
        <f>IFERROR(_xlfn.XLOOKUP($A36,CFR20252026_BenchMarkDataReport!$B:$B,CFR20252026_BenchMarkDataReport!AD:AD),0)</f>
        <v>0</v>
      </c>
      <c r="P36" s="88">
        <f>IFERROR(_xlfn.XLOOKUP($A36,CFR20252026_BenchMarkDataReport!$B:$B,CFR20252026_BenchMarkDataReport!AE:AE),0)</f>
        <v>36087.39</v>
      </c>
      <c r="Q36" s="88">
        <f>IFERROR(_xlfn.XLOOKUP($A36,CFR20252026_BenchMarkDataReport!$B:$B,CFR20252026_BenchMarkDataReport!AF:AF),0)</f>
        <v>7798.43</v>
      </c>
      <c r="R36" s="88">
        <f>IFERROR(_xlfn.XLOOKUP($A36,CFR20252026_BenchMarkDataReport!$B:$B,CFR20252026_BenchMarkDataReport!AG:AG),0)</f>
        <v>0</v>
      </c>
      <c r="S36" s="88">
        <f>IFERROR(_xlfn.XLOOKUP($A36,CFR20252026_BenchMarkDataReport!$B:$B,CFR20252026_BenchMarkDataReport!AH:AH),0)</f>
        <v>0</v>
      </c>
      <c r="T36" s="88">
        <f>IFERROR(_xlfn.XLOOKUP($A36,CFR20252026_BenchMarkDataReport!$B:$B,CFR20252026_BenchMarkDataReport!AI:AI),0)</f>
        <v>0</v>
      </c>
      <c r="U36" s="88">
        <f>IFERROR(_xlfn.XLOOKUP($A36,CFR20252026_BenchMarkDataReport!$B:$B,CFR20252026_BenchMarkDataReport!AJ:AJ),0)</f>
        <v>1529074.05</v>
      </c>
      <c r="V36" s="88">
        <f>IFERROR(_xlfn.XLOOKUP($A36,CFR20252026_BenchMarkDataReport!$B:$B,CFR20252026_BenchMarkDataReport!AK:AK),0)</f>
        <v>0</v>
      </c>
      <c r="W36" s="88">
        <f>IFERROR(_xlfn.XLOOKUP($A36,CFR20252026_BenchMarkDataReport!$B:$B,CFR20252026_BenchMarkDataReport!AL:AL),0)</f>
        <v>932778.25</v>
      </c>
      <c r="X36" s="88">
        <f>IFERROR(_xlfn.XLOOKUP($A36,CFR20252026_BenchMarkDataReport!$B:$B,CFR20252026_BenchMarkDataReport!AM:AM),0)</f>
        <v>165259.01</v>
      </c>
      <c r="Y36" s="88">
        <f>IFERROR(_xlfn.XLOOKUP($A36,CFR20252026_BenchMarkDataReport!$B:$B,CFR20252026_BenchMarkDataReport!AN:AN),0)</f>
        <v>81161.509999999995</v>
      </c>
      <c r="Z36" s="88">
        <f>IFERROR(_xlfn.XLOOKUP($A36,CFR20252026_BenchMarkDataReport!$B:$B,CFR20252026_BenchMarkDataReport!AO:AO),0)</f>
        <v>96476.18</v>
      </c>
      <c r="AA36" s="88">
        <f>IFERROR(_xlfn.XLOOKUP($A36,CFR20252026_BenchMarkDataReport!$B:$B,CFR20252026_BenchMarkDataReport!AP:AP),0)</f>
        <v>208019.65</v>
      </c>
      <c r="AB36" s="88">
        <f>IFERROR(_xlfn.XLOOKUP($A36,CFR20252026_BenchMarkDataReport!$B:$B,CFR20252026_BenchMarkDataReport!AQ:AQ),0)</f>
        <v>14848.58</v>
      </c>
      <c r="AC36" s="88">
        <f>IFERROR(_xlfn.XLOOKUP($A36,CFR20252026_BenchMarkDataReport!$B:$B,CFR20252026_BenchMarkDataReport!AR:AR),0)</f>
        <v>4666</v>
      </c>
      <c r="AD36" s="88">
        <f>IFERROR(_xlfn.XLOOKUP($A36,CFR20252026_BenchMarkDataReport!$B:$B,CFR20252026_BenchMarkDataReport!AS:AS),0)</f>
        <v>721.62</v>
      </c>
      <c r="AE36" s="88">
        <f>IFERROR(_xlfn.XLOOKUP($A36,CFR20252026_BenchMarkDataReport!$B:$B,CFR20252026_BenchMarkDataReport!AT:AT),0)</f>
        <v>0</v>
      </c>
      <c r="AF36" s="88">
        <f>IFERROR(_xlfn.XLOOKUP($A36,CFR20252026_BenchMarkDataReport!$B:$B,CFR20252026_BenchMarkDataReport!AU:AU),0)</f>
        <v>23408.46</v>
      </c>
      <c r="AG36" s="88">
        <f>IFERROR(_xlfn.XLOOKUP($A36,CFR20252026_BenchMarkDataReport!$B:$B,CFR20252026_BenchMarkDataReport!AV:AV),0)</f>
        <v>2210.61</v>
      </c>
      <c r="AH36" s="88">
        <f>IFERROR(_xlfn.XLOOKUP($A36,CFR20252026_BenchMarkDataReport!$B:$B,CFR20252026_BenchMarkDataReport!AW:AW),0)</f>
        <v>9804.3799999999992</v>
      </c>
      <c r="AI36" s="88">
        <f>IFERROR(_xlfn.XLOOKUP($A36,CFR20252026_BenchMarkDataReport!$B:$B,CFR20252026_BenchMarkDataReport!AX:AX),0)</f>
        <v>7405.35</v>
      </c>
      <c r="AJ36" s="88">
        <f>IFERROR(_xlfn.XLOOKUP($A36,CFR20252026_BenchMarkDataReport!$B:$B,CFR20252026_BenchMarkDataReport!AY:AY),0)</f>
        <v>49248.22</v>
      </c>
      <c r="AK36" s="88">
        <f>IFERROR(_xlfn.XLOOKUP($A36,CFR20252026_BenchMarkDataReport!$B:$B,CFR20252026_BenchMarkDataReport!AZ:AZ),0)</f>
        <v>33954.75</v>
      </c>
      <c r="AL36" s="88">
        <f>IFERROR(_xlfn.XLOOKUP($A36,CFR20252026_BenchMarkDataReport!$B:$B,CFR20252026_BenchMarkDataReport!BA:BA),0)</f>
        <v>27623.78</v>
      </c>
      <c r="AM36" s="88">
        <f>IFERROR(_xlfn.XLOOKUP($A36,CFR20252026_BenchMarkDataReport!$B:$B,CFR20252026_BenchMarkDataReport!BB:BB),0)</f>
        <v>75138.64</v>
      </c>
      <c r="AN36" s="88">
        <f>IFERROR(_xlfn.XLOOKUP($A36,CFR20252026_BenchMarkDataReport!$B:$B,CFR20252026_BenchMarkDataReport!BC:BC),0)</f>
        <v>23634.27</v>
      </c>
      <c r="AO36" s="88">
        <f>IFERROR(_xlfn.XLOOKUP($A36,CFR20252026_BenchMarkDataReport!$B:$B,CFR20252026_BenchMarkDataReport!BD:BD),0)</f>
        <v>0</v>
      </c>
      <c r="AP36" s="88">
        <f>IFERROR(_xlfn.XLOOKUP($A36,CFR20252026_BenchMarkDataReport!$B:$B,CFR20252026_BenchMarkDataReport!BE:BE),0)</f>
        <v>0</v>
      </c>
      <c r="AQ36" s="88">
        <f>IFERROR(_xlfn.XLOOKUP($A36,CFR20252026_BenchMarkDataReport!$B:$B,CFR20252026_BenchMarkDataReport!BF:BF),0)</f>
        <v>0</v>
      </c>
      <c r="AR36" s="88">
        <f>IFERROR(_xlfn.XLOOKUP($A36,CFR20252026_BenchMarkDataReport!$B:$B,CFR20252026_BenchMarkDataReport!BG:BG),0)</f>
        <v>0</v>
      </c>
      <c r="AS36" s="88">
        <f>IFERROR(_xlfn.XLOOKUP($A36,CFR20252026_BenchMarkDataReport!$B:$B,CFR20252026_BenchMarkDataReport!BH:BH),0)</f>
        <v>0</v>
      </c>
      <c r="AT36" s="88">
        <f>IFERROR(_xlfn.XLOOKUP($A36,CFR20252026_BenchMarkDataReport!$B:$B,CFR20252026_BenchMarkDataReport!BI:BI),0)</f>
        <v>0</v>
      </c>
      <c r="AU36" s="88">
        <f>IFERROR(_xlfn.XLOOKUP($A36,CFR20252026_BenchMarkDataReport!$B:$B,CFR20252026_BenchMarkDataReport!BJ:BJ),0)</f>
        <v>0</v>
      </c>
      <c r="AV36" s="88">
        <f>IFERROR(_xlfn.XLOOKUP($A36,CFR20252026_BenchMarkDataReport!$B:$B,CFR20252026_BenchMarkDataReport!BK:BK),0)</f>
        <v>32963.42</v>
      </c>
      <c r="AW36" s="88">
        <f>IFERROR(_xlfn.XLOOKUP($A36,CFR20252026_BenchMarkDataReport!$B:$B,CFR20252026_BenchMarkDataReport!BL:BL),0)</f>
        <v>12990.91</v>
      </c>
      <c r="AX36" s="88">
        <f>IFERROR(_xlfn.XLOOKUP($A36,CFR20252026_BenchMarkDataReport!$B:$B,CFR20252026_BenchMarkDataReport!BM:BM),0)</f>
        <v>27770.639999999999</v>
      </c>
      <c r="AY36" s="88">
        <f>IFERROR(_xlfn.XLOOKUP($A36,CFR20252026_BenchMarkDataReport!$B:$B,CFR20252026_BenchMarkDataReport!BN:BN),0)</f>
        <v>93917.13</v>
      </c>
      <c r="AZ36" s="88">
        <f>IFERROR(_xlfn.XLOOKUP($A36,CFR20252026_BenchMarkDataReport!$B:$B,CFR20252026_BenchMarkDataReport!BO:BO),0)</f>
        <v>50199.8</v>
      </c>
      <c r="BA36" s="88">
        <f>IFERROR(_xlfn.XLOOKUP($A36,CFR20252026_BenchMarkDataReport!$B:$B,CFR20252026_BenchMarkDataReport!BP:BP),0)</f>
        <v>229243.38</v>
      </c>
      <c r="BB36" s="88">
        <f>IFERROR(_xlfn.XLOOKUP($A36,CFR20252026_BenchMarkDataReport!$B:$B,CFR20252026_BenchMarkDataReport!BQ:BQ),0)</f>
        <v>64101.63</v>
      </c>
      <c r="BC36" s="88">
        <f>IFERROR(_xlfn.XLOOKUP($A36,CFR20252026_BenchMarkDataReport!$B:$B,CFR20252026_BenchMarkDataReport!BR:BR),0)</f>
        <v>0</v>
      </c>
      <c r="BD36" s="88">
        <f>IFERROR(_xlfn.XLOOKUP($A36,CFR20252026_BenchMarkDataReport!$B:$B,CFR20252026_BenchMarkDataReport!BS:BS),0)</f>
        <v>0</v>
      </c>
      <c r="BE36" s="88">
        <f>IFERROR(_xlfn.XLOOKUP($A36,CFR20252026_BenchMarkDataReport!$B:$B,CFR20252026_BenchMarkDataReport!BT:BT),0)</f>
        <v>0</v>
      </c>
      <c r="BF36" s="88">
        <f>IFERROR(_xlfn.XLOOKUP($A36,CFR20252026_BenchMarkDataReport!$B:$B,CFR20252026_BenchMarkDataReport!BU:BU),0)</f>
        <v>0</v>
      </c>
      <c r="BG36" s="88">
        <f>IFERROR(_xlfn.XLOOKUP($A36,CFR20252026_BenchMarkDataReport!$B:$B,CFR20252026_BenchMarkDataReport!BV:BV),0)</f>
        <v>0</v>
      </c>
      <c r="BH36" s="89">
        <f t="shared" si="0"/>
        <v>3820559.22</v>
      </c>
      <c r="BI36" s="90">
        <f t="shared" si="85"/>
        <v>3796620.2199999993</v>
      </c>
      <c r="BJ36" s="126">
        <f t="shared" si="86"/>
        <v>23939.000000000931</v>
      </c>
      <c r="BK36" s="88">
        <f>IFERROR(_xlfn.XLOOKUP(A36,CFR20252026_BenchMarkDataReport!$B:$B,CFR20252026_BenchMarkDataReport!P:P)+_xlfn.XLOOKUP(A36,CFR20252026_BenchMarkDataReport!$B:$B,CFR20252026_BenchMarkDataReport!Q:Q),0)</f>
        <v>-251251</v>
      </c>
      <c r="BL36" s="89">
        <f t="shared" si="1"/>
        <v>-227311.99999999907</v>
      </c>
      <c r="BM36" s="91">
        <f>SUMIFS(PP!I:I,PP!E:E,A36)</f>
        <v>422</v>
      </c>
      <c r="BN36" s="90">
        <f t="shared" si="21"/>
        <v>3294457.39</v>
      </c>
      <c r="BO36" t="s">
        <v>173</v>
      </c>
      <c r="BP36" s="92">
        <f t="shared" si="22"/>
        <v>0.79320320285468571</v>
      </c>
      <c r="BQ36" s="93">
        <f t="shared" si="23"/>
        <v>7181.2317772511851</v>
      </c>
      <c r="BR36" s="94">
        <f t="shared" si="24"/>
        <v>0</v>
      </c>
      <c r="BS36" s="95">
        <f t="shared" si="25"/>
        <v>0</v>
      </c>
      <c r="BT36" s="92">
        <f t="shared" si="26"/>
        <v>6.9093963684195944E-2</v>
      </c>
      <c r="BU36" s="93">
        <f t="shared" si="27"/>
        <v>625.53928909952606</v>
      </c>
      <c r="BV36" s="94">
        <f t="shared" si="28"/>
        <v>0</v>
      </c>
      <c r="BW36" s="95">
        <f t="shared" si="29"/>
        <v>0</v>
      </c>
      <c r="BX36" s="92">
        <f t="shared" si="30"/>
        <v>6.9837158550836442E-2</v>
      </c>
      <c r="BY36" s="93">
        <f t="shared" si="31"/>
        <v>632.26777251184831</v>
      </c>
      <c r="BZ36" s="94">
        <f t="shared" si="32"/>
        <v>1.8914508541500896E-2</v>
      </c>
      <c r="CA36" s="95">
        <f t="shared" si="33"/>
        <v>171.24170616113744</v>
      </c>
      <c r="CB36" s="92">
        <f t="shared" si="34"/>
        <v>2.1225853423625245E-2</v>
      </c>
      <c r="CC36" s="93">
        <f t="shared" si="35"/>
        <v>192.16736966824647</v>
      </c>
      <c r="CD36" s="94">
        <f t="shared" si="36"/>
        <v>1.4441794204147946E-2</v>
      </c>
      <c r="CE36" s="96">
        <f t="shared" si="37"/>
        <v>130.74817535545026</v>
      </c>
      <c r="CF36" s="97">
        <f t="shared" si="38"/>
        <v>9.4455779696041454E-3</v>
      </c>
      <c r="CG36" s="98">
        <f t="shared" si="39"/>
        <v>85.515142180094784</v>
      </c>
      <c r="CH36" s="94">
        <f t="shared" si="40"/>
        <v>2.0411750089297138E-3</v>
      </c>
      <c r="CI36" s="95">
        <f t="shared" si="41"/>
        <v>18.479691943127964</v>
      </c>
      <c r="CJ36" s="99">
        <f t="shared" si="42"/>
        <v>0.47937297801869583</v>
      </c>
      <c r="CK36" s="97">
        <f t="shared" si="43"/>
        <v>0.41336196066082703</v>
      </c>
      <c r="CL36" s="97">
        <f t="shared" si="44"/>
        <v>0.41596835039771252</v>
      </c>
      <c r="CM36" s="98">
        <f t="shared" si="45"/>
        <v>3742.3550947867302</v>
      </c>
      <c r="CN36" s="94">
        <f t="shared" si="46"/>
        <v>0.28313562434632067</v>
      </c>
      <c r="CO36" s="100">
        <f t="shared" si="47"/>
        <v>0.24414704662004949</v>
      </c>
      <c r="CP36" s="100">
        <f t="shared" si="48"/>
        <v>0.24568647795907281</v>
      </c>
      <c r="CQ36" s="101">
        <f t="shared" si="49"/>
        <v>2210.375</v>
      </c>
      <c r="CR36" s="99">
        <f t="shared" si="50"/>
        <v>5.0162740153090885E-2</v>
      </c>
      <c r="CS36" s="97">
        <f t="shared" si="51"/>
        <v>4.325518869983646E-2</v>
      </c>
      <c r="CT36" s="97">
        <f t="shared" si="52"/>
        <v>4.3527927583970998E-2</v>
      </c>
      <c r="CU36" s="98">
        <f t="shared" si="53"/>
        <v>391.609028436019</v>
      </c>
      <c r="CV36" s="94">
        <f t="shared" si="54"/>
        <v>2.463577469429647E-2</v>
      </c>
      <c r="CW36" s="100">
        <f t="shared" si="55"/>
        <v>2.124335871438213E-2</v>
      </c>
      <c r="CX36" s="100">
        <f t="shared" si="56"/>
        <v>2.1377305418238544E-2</v>
      </c>
      <c r="CY36" s="95">
        <f t="shared" si="57"/>
        <v>192.32585308056872</v>
      </c>
      <c r="CZ36" s="99">
        <f t="shared" si="58"/>
        <v>0.91449616533058253</v>
      </c>
      <c r="DA36" s="97">
        <f t="shared" si="59"/>
        <v>0.78856745217523394</v>
      </c>
      <c r="DB36" s="97">
        <f t="shared" si="60"/>
        <v>0.79353964195028182</v>
      </c>
      <c r="DC36" s="98">
        <f t="shared" si="61"/>
        <v>7139.262203791468</v>
      </c>
      <c r="DD36" s="94">
        <f t="shared" si="62"/>
        <v>7.1054068178432253E-3</v>
      </c>
      <c r="DE36" s="100">
        <f t="shared" si="63"/>
        <v>6.1656048389269772E-3</v>
      </c>
      <c r="DF36" s="95">
        <f t="shared" si="64"/>
        <v>55.470284360189574</v>
      </c>
      <c r="DG36" s="99">
        <f t="shared" si="65"/>
        <v>1.9505111311870962E-3</v>
      </c>
      <c r="DH36" s="98">
        <f t="shared" si="66"/>
        <v>17.548222748815167</v>
      </c>
      <c r="DI36" s="94">
        <f t="shared" si="67"/>
        <v>1.4948810735718758E-2</v>
      </c>
      <c r="DJ36" s="100">
        <f t="shared" si="68"/>
        <v>1.2971595036176679E-2</v>
      </c>
      <c r="DK36" s="95">
        <f t="shared" si="69"/>
        <v>116.70194312796208</v>
      </c>
      <c r="DL36" s="99">
        <f t="shared" si="70"/>
        <v>8.3849255673633088E-3</v>
      </c>
      <c r="DM36" s="97">
        <f t="shared" si="71"/>
        <v>7.2758870783235742E-3</v>
      </c>
      <c r="DN36" s="102">
        <f t="shared" si="72"/>
        <v>65.4591943127962</v>
      </c>
      <c r="DO36" s="94">
        <f t="shared" si="73"/>
        <v>2.2807591996204267E-2</v>
      </c>
      <c r="DP36" s="100">
        <f t="shared" si="74"/>
        <v>1.9666921953901816E-2</v>
      </c>
      <c r="DQ36" s="100">
        <f t="shared" si="75"/>
        <v>1.9790928680246036E-2</v>
      </c>
      <c r="DR36" s="95">
        <f t="shared" si="76"/>
        <v>178.05364928909952</v>
      </c>
      <c r="DS36" s="99">
        <f t="shared" si="77"/>
        <v>1.0005720547504182E-2</v>
      </c>
      <c r="DT36" s="97">
        <f t="shared" si="78"/>
        <v>8.6823063909194486E-3</v>
      </c>
      <c r="DU36" s="98">
        <f t="shared" si="87"/>
        <v>78.112369668246444</v>
      </c>
      <c r="DV36" s="94">
        <f t="shared" si="79"/>
        <v>6.958456366618844E-2</v>
      </c>
      <c r="DW36" s="100">
        <f t="shared" si="80"/>
        <v>6.0380908997002616E-2</v>
      </c>
      <c r="DX36" s="95">
        <f t="shared" si="81"/>
        <v>543.2307582938389</v>
      </c>
      <c r="DY36" s="99">
        <f t="shared" si="82"/>
        <v>2.4737035720681071E-2</v>
      </c>
      <c r="DZ36" s="98">
        <f t="shared" si="83"/>
        <v>222.55244075829384</v>
      </c>
      <c r="EA36" s="94">
        <f t="shared" si="14"/>
        <v>2.5823968245104064E-3</v>
      </c>
      <c r="EB36" s="95">
        <f t="shared" si="84"/>
        <v>23.233127962085305</v>
      </c>
      <c r="EC36" s="103">
        <f>IFERROR(VLOOKUP(A36,PP!$E$3:$S$130,14,0),0)</f>
        <v>171</v>
      </c>
    </row>
    <row r="37" spans="1:133">
      <c r="A37" s="26">
        <v>3516</v>
      </c>
      <c r="B37" s="125">
        <v>10121</v>
      </c>
      <c r="C37" s="26" t="s">
        <v>61</v>
      </c>
      <c r="D37" s="88">
        <f>IFERROR(_xlfn.XLOOKUP($A37,CFR20252026_BenchMarkDataReport!$B:$B,CFR20252026_BenchMarkDataReport!S:S),0)</f>
        <v>1217555.55</v>
      </c>
      <c r="E37" s="88">
        <f>IFERROR(_xlfn.XLOOKUP($A37,CFR20252026_BenchMarkDataReport!$B:$B,CFR20252026_BenchMarkDataReport!T:T),0)</f>
        <v>0</v>
      </c>
      <c r="F37" s="88">
        <f>IFERROR(_xlfn.XLOOKUP($A37,CFR20252026_BenchMarkDataReport!$B:$B,CFR20252026_BenchMarkDataReport!U:U),0)</f>
        <v>188044.02</v>
      </c>
      <c r="G37" s="88">
        <f>IFERROR(_xlfn.XLOOKUP($A37,CFR20252026_BenchMarkDataReport!$B:$B,CFR20252026_BenchMarkDataReport!V:V),0)</f>
        <v>0</v>
      </c>
      <c r="H37" s="88">
        <f>IFERROR(_xlfn.XLOOKUP($A37,CFR20252026_BenchMarkDataReport!$B:$B,CFR20252026_BenchMarkDataReport!W:W),0)</f>
        <v>56955</v>
      </c>
      <c r="I37" s="88">
        <f>IFERROR(_xlfn.XLOOKUP($A37,CFR20252026_BenchMarkDataReport!$B:$B,CFR20252026_BenchMarkDataReport!X:X),0)</f>
        <v>93602.19</v>
      </c>
      <c r="J37" s="88">
        <f>IFERROR(_xlfn.XLOOKUP($A37,CFR20252026_BenchMarkDataReport!$B:$B,CFR20252026_BenchMarkDataReport!Y:Y),0)</f>
        <v>73584.539999999994</v>
      </c>
      <c r="K37" s="88">
        <f>IFERROR(_xlfn.XLOOKUP($A37,CFR20252026_BenchMarkDataReport!$B:$B,CFR20252026_BenchMarkDataReport!Z:Z),0)</f>
        <v>0</v>
      </c>
      <c r="L37" s="88">
        <f>IFERROR(_xlfn.XLOOKUP($A37,CFR20252026_BenchMarkDataReport!$B:$B,CFR20252026_BenchMarkDataReport!AA:AA),0)</f>
        <v>6729</v>
      </c>
      <c r="M37" s="88">
        <f>IFERROR(_xlfn.XLOOKUP($A37,CFR20252026_BenchMarkDataReport!$B:$B,CFR20252026_BenchMarkDataReport!AB:AB),0)</f>
        <v>12557</v>
      </c>
      <c r="N37" s="88">
        <f>IFERROR(_xlfn.XLOOKUP($A37,CFR20252026_BenchMarkDataReport!$B:$B,CFR20252026_BenchMarkDataReport!AC:AC),0)</f>
        <v>6920</v>
      </c>
      <c r="O37" s="88">
        <f>IFERROR(_xlfn.XLOOKUP($A37,CFR20252026_BenchMarkDataReport!$B:$B,CFR20252026_BenchMarkDataReport!AD:AD),0)</f>
        <v>0</v>
      </c>
      <c r="P37" s="88">
        <f>IFERROR(_xlfn.XLOOKUP($A37,CFR20252026_BenchMarkDataReport!$B:$B,CFR20252026_BenchMarkDataReport!AE:AE),0)</f>
        <v>20440.43</v>
      </c>
      <c r="Q37" s="88">
        <f>IFERROR(_xlfn.XLOOKUP($A37,CFR20252026_BenchMarkDataReport!$B:$B,CFR20252026_BenchMarkDataReport!AF:AF),0)</f>
        <v>124500</v>
      </c>
      <c r="R37" s="88">
        <f>IFERROR(_xlfn.XLOOKUP($A37,CFR20252026_BenchMarkDataReport!$B:$B,CFR20252026_BenchMarkDataReport!AG:AG),0)</f>
        <v>0</v>
      </c>
      <c r="S37" s="88">
        <f>IFERROR(_xlfn.XLOOKUP($A37,CFR20252026_BenchMarkDataReport!$B:$B,CFR20252026_BenchMarkDataReport!AH:AH),0)</f>
        <v>0</v>
      </c>
      <c r="T37" s="88">
        <f>IFERROR(_xlfn.XLOOKUP($A37,CFR20252026_BenchMarkDataReport!$B:$B,CFR20252026_BenchMarkDataReport!AI:AI),0)</f>
        <v>0</v>
      </c>
      <c r="U37" s="88">
        <f>IFERROR(_xlfn.XLOOKUP($A37,CFR20252026_BenchMarkDataReport!$B:$B,CFR20252026_BenchMarkDataReport!AJ:AJ),0)</f>
        <v>931321.67</v>
      </c>
      <c r="V37" s="88">
        <f>IFERROR(_xlfn.XLOOKUP($A37,CFR20252026_BenchMarkDataReport!$B:$B,CFR20252026_BenchMarkDataReport!AK:AK),0)</f>
        <v>0</v>
      </c>
      <c r="W37" s="88">
        <f>IFERROR(_xlfn.XLOOKUP($A37,CFR20252026_BenchMarkDataReport!$B:$B,CFR20252026_BenchMarkDataReport!AL:AL),0)</f>
        <v>384171.99</v>
      </c>
      <c r="X37" s="88">
        <f>IFERROR(_xlfn.XLOOKUP($A37,CFR20252026_BenchMarkDataReport!$B:$B,CFR20252026_BenchMarkDataReport!AM:AM),0)</f>
        <v>75576.45</v>
      </c>
      <c r="Y37" s="88">
        <f>IFERROR(_xlfn.XLOOKUP($A37,CFR20252026_BenchMarkDataReport!$B:$B,CFR20252026_BenchMarkDataReport!AN:AN),0)</f>
        <v>130195.35</v>
      </c>
      <c r="Z37" s="88">
        <f>IFERROR(_xlfn.XLOOKUP($A37,CFR20252026_BenchMarkDataReport!$B:$B,CFR20252026_BenchMarkDataReport!AO:AO),0)</f>
        <v>0</v>
      </c>
      <c r="AA37" s="88">
        <f>IFERROR(_xlfn.XLOOKUP($A37,CFR20252026_BenchMarkDataReport!$B:$B,CFR20252026_BenchMarkDataReport!AP:AP),0)</f>
        <v>28491.38</v>
      </c>
      <c r="AB37" s="88">
        <f>IFERROR(_xlfn.XLOOKUP($A37,CFR20252026_BenchMarkDataReport!$B:$B,CFR20252026_BenchMarkDataReport!AQ:AQ),0)</f>
        <v>680.89</v>
      </c>
      <c r="AC37" s="88">
        <f>IFERROR(_xlfn.XLOOKUP($A37,CFR20252026_BenchMarkDataReport!$B:$B,CFR20252026_BenchMarkDataReport!AR:AR),0)</f>
        <v>3687.78</v>
      </c>
      <c r="AD37" s="88">
        <f>IFERROR(_xlfn.XLOOKUP($A37,CFR20252026_BenchMarkDataReport!$B:$B,CFR20252026_BenchMarkDataReport!AS:AS),0)</f>
        <v>11838.86</v>
      </c>
      <c r="AE37" s="88">
        <f>IFERROR(_xlfn.XLOOKUP($A37,CFR20252026_BenchMarkDataReport!$B:$B,CFR20252026_BenchMarkDataReport!AT:AT),0)</f>
        <v>955</v>
      </c>
      <c r="AF37" s="88">
        <f>IFERROR(_xlfn.XLOOKUP($A37,CFR20252026_BenchMarkDataReport!$B:$B,CFR20252026_BenchMarkDataReport!AU:AU),0)</f>
        <v>7061.41</v>
      </c>
      <c r="AG37" s="88">
        <f>IFERROR(_xlfn.XLOOKUP($A37,CFR20252026_BenchMarkDataReport!$B:$B,CFR20252026_BenchMarkDataReport!AV:AV),0)</f>
        <v>3118.4</v>
      </c>
      <c r="AH37" s="88">
        <f>IFERROR(_xlfn.XLOOKUP($A37,CFR20252026_BenchMarkDataReport!$B:$B,CFR20252026_BenchMarkDataReport!AW:AW),0)</f>
        <v>873.77</v>
      </c>
      <c r="AI37" s="88">
        <f>IFERROR(_xlfn.XLOOKUP($A37,CFR20252026_BenchMarkDataReport!$B:$B,CFR20252026_BenchMarkDataReport!AX:AX),0)</f>
        <v>3302.29</v>
      </c>
      <c r="AJ37" s="88">
        <f>IFERROR(_xlfn.XLOOKUP($A37,CFR20252026_BenchMarkDataReport!$B:$B,CFR20252026_BenchMarkDataReport!AY:AY),0)</f>
        <v>24539.02</v>
      </c>
      <c r="AK37" s="88">
        <f>IFERROR(_xlfn.XLOOKUP($A37,CFR20252026_BenchMarkDataReport!$B:$B,CFR20252026_BenchMarkDataReport!AZ:AZ),0)</f>
        <v>8998.2900000000009</v>
      </c>
      <c r="AL37" s="88">
        <f>IFERROR(_xlfn.XLOOKUP($A37,CFR20252026_BenchMarkDataReport!$B:$B,CFR20252026_BenchMarkDataReport!BA:BA),0)</f>
        <v>76195.58</v>
      </c>
      <c r="AM37" s="88">
        <f>IFERROR(_xlfn.XLOOKUP($A37,CFR20252026_BenchMarkDataReport!$B:$B,CFR20252026_BenchMarkDataReport!BB:BB),0)</f>
        <v>59129.83</v>
      </c>
      <c r="AN37" s="88">
        <f>IFERROR(_xlfn.XLOOKUP($A37,CFR20252026_BenchMarkDataReport!$B:$B,CFR20252026_BenchMarkDataReport!BC:BC),0)</f>
        <v>4453.76</v>
      </c>
      <c r="AO37" s="88">
        <f>IFERROR(_xlfn.XLOOKUP($A37,CFR20252026_BenchMarkDataReport!$B:$B,CFR20252026_BenchMarkDataReport!BD:BD),0)</f>
        <v>0</v>
      </c>
      <c r="AP37" s="88">
        <f>IFERROR(_xlfn.XLOOKUP($A37,CFR20252026_BenchMarkDataReport!$B:$B,CFR20252026_BenchMarkDataReport!BE:BE),0)</f>
        <v>6111</v>
      </c>
      <c r="AQ37" s="88">
        <f>IFERROR(_xlfn.XLOOKUP($A37,CFR20252026_BenchMarkDataReport!$B:$B,CFR20252026_BenchMarkDataReport!BF:BF),0)</f>
        <v>7057.85</v>
      </c>
      <c r="AR37" s="88">
        <f>IFERROR(_xlfn.XLOOKUP($A37,CFR20252026_BenchMarkDataReport!$B:$B,CFR20252026_BenchMarkDataReport!BG:BG),0)</f>
        <v>0</v>
      </c>
      <c r="AS37" s="88">
        <f>IFERROR(_xlfn.XLOOKUP($A37,CFR20252026_BenchMarkDataReport!$B:$B,CFR20252026_BenchMarkDataReport!BH:BH),0)</f>
        <v>2222.73</v>
      </c>
      <c r="AT37" s="88">
        <f>IFERROR(_xlfn.XLOOKUP($A37,CFR20252026_BenchMarkDataReport!$B:$B,CFR20252026_BenchMarkDataReport!BI:BI),0)</f>
        <v>5741.92</v>
      </c>
      <c r="AU37" s="88">
        <f>IFERROR(_xlfn.XLOOKUP($A37,CFR20252026_BenchMarkDataReport!$B:$B,CFR20252026_BenchMarkDataReport!BJ:BJ),0)</f>
        <v>0</v>
      </c>
      <c r="AV37" s="88">
        <f>IFERROR(_xlfn.XLOOKUP($A37,CFR20252026_BenchMarkDataReport!$B:$B,CFR20252026_BenchMarkDataReport!BK:BK),0)</f>
        <v>3504.53</v>
      </c>
      <c r="AW37" s="88">
        <f>IFERROR(_xlfn.XLOOKUP($A37,CFR20252026_BenchMarkDataReport!$B:$B,CFR20252026_BenchMarkDataReport!BL:BL),0)</f>
        <v>8113</v>
      </c>
      <c r="AX37" s="88">
        <f>IFERROR(_xlfn.XLOOKUP($A37,CFR20252026_BenchMarkDataReport!$B:$B,CFR20252026_BenchMarkDataReport!BM:BM),0)</f>
        <v>500</v>
      </c>
      <c r="AY37" s="88">
        <f>IFERROR(_xlfn.XLOOKUP($A37,CFR20252026_BenchMarkDataReport!$B:$B,CFR20252026_BenchMarkDataReport!BN:BN),0)</f>
        <v>50865.85</v>
      </c>
      <c r="AZ37" s="88">
        <f>IFERROR(_xlfn.XLOOKUP($A37,CFR20252026_BenchMarkDataReport!$B:$B,CFR20252026_BenchMarkDataReport!BO:BO),0)</f>
        <v>13552.3</v>
      </c>
      <c r="BA37" s="88">
        <f>IFERROR(_xlfn.XLOOKUP($A37,CFR20252026_BenchMarkDataReport!$B:$B,CFR20252026_BenchMarkDataReport!BP:BP),0)</f>
        <v>24544.66</v>
      </c>
      <c r="BB37" s="88">
        <f>IFERROR(_xlfn.XLOOKUP($A37,CFR20252026_BenchMarkDataReport!$B:$B,CFR20252026_BenchMarkDataReport!BQ:BQ),0)</f>
        <v>13446.02</v>
      </c>
      <c r="BC37" s="88">
        <f>IFERROR(_xlfn.XLOOKUP($A37,CFR20252026_BenchMarkDataReport!$B:$B,CFR20252026_BenchMarkDataReport!BR:BR),0)</f>
        <v>0</v>
      </c>
      <c r="BD37" s="88">
        <f>IFERROR(_xlfn.XLOOKUP($A37,CFR20252026_BenchMarkDataReport!$B:$B,CFR20252026_BenchMarkDataReport!BS:BS),0)</f>
        <v>0</v>
      </c>
      <c r="BE37" s="88">
        <f>IFERROR(_xlfn.XLOOKUP($A37,CFR20252026_BenchMarkDataReport!$B:$B,CFR20252026_BenchMarkDataReport!BT:BT),0)</f>
        <v>0</v>
      </c>
      <c r="BF37" s="88">
        <f>IFERROR(_xlfn.XLOOKUP($A37,CFR20252026_BenchMarkDataReport!$B:$B,CFR20252026_BenchMarkDataReport!BU:BU),0)</f>
        <v>0</v>
      </c>
      <c r="BG37" s="88">
        <f>IFERROR(_xlfn.XLOOKUP($A37,CFR20252026_BenchMarkDataReport!$B:$B,CFR20252026_BenchMarkDataReport!BV:BV),0)</f>
        <v>0</v>
      </c>
      <c r="BH37" s="89">
        <f t="shared" si="0"/>
        <v>1800887.73</v>
      </c>
      <c r="BI37" s="90">
        <f t="shared" ref="BI37:BI66" si="88">SUM(U37:BE37)</f>
        <v>1890251.5800000003</v>
      </c>
      <c r="BJ37" s="126">
        <f t="shared" ref="BJ37:BJ66" si="89">BH37-BI37</f>
        <v>-89363.850000000326</v>
      </c>
      <c r="BK37" s="88">
        <f>IFERROR(_xlfn.XLOOKUP(A37,CFR20252026_BenchMarkDataReport!$B:$B,CFR20252026_BenchMarkDataReport!P:P)+_xlfn.XLOOKUP(A37,CFR20252026_BenchMarkDataReport!$B:$B,CFR20252026_BenchMarkDataReport!Q:Q),0)</f>
        <v>-79220</v>
      </c>
      <c r="BL37" s="89">
        <f t="shared" si="1"/>
        <v>-168583.85000000033</v>
      </c>
      <c r="BM37" s="91">
        <f>SUMIFS(PP!I:I,PP!E:E,A37)</f>
        <v>182</v>
      </c>
      <c r="BN37" s="90">
        <f t="shared" si="21"/>
        <v>1405599.57</v>
      </c>
      <c r="BO37" t="s">
        <v>173</v>
      </c>
      <c r="BP37" s="92">
        <f t="shared" si="22"/>
        <v>0.67608631549730203</v>
      </c>
      <c r="BQ37" s="93">
        <f t="shared" si="23"/>
        <v>6689.8656593406595</v>
      </c>
      <c r="BR37" s="94">
        <f t="shared" si="24"/>
        <v>0</v>
      </c>
      <c r="BS37" s="95">
        <f t="shared" si="25"/>
        <v>0</v>
      </c>
      <c r="BT37" s="92">
        <f t="shared" si="26"/>
        <v>0.10441740307709242</v>
      </c>
      <c r="BU37" s="93">
        <f t="shared" si="27"/>
        <v>1033.2089010989012</v>
      </c>
      <c r="BV37" s="94">
        <f t="shared" si="28"/>
        <v>0</v>
      </c>
      <c r="BW37" s="95">
        <f t="shared" si="29"/>
        <v>0</v>
      </c>
      <c r="BX37" s="92">
        <f t="shared" si="30"/>
        <v>3.1626069216430276E-2</v>
      </c>
      <c r="BY37" s="93">
        <f t="shared" si="31"/>
        <v>312.93956043956047</v>
      </c>
      <c r="BZ37" s="94">
        <f t="shared" si="32"/>
        <v>5.1975583175304325E-2</v>
      </c>
      <c r="CA37" s="95">
        <f t="shared" si="33"/>
        <v>514.29774725274729</v>
      </c>
      <c r="CB37" s="92">
        <f t="shared" si="34"/>
        <v>4.0860148455784076E-2</v>
      </c>
      <c r="CC37" s="93">
        <f t="shared" si="35"/>
        <v>404.3106593406593</v>
      </c>
      <c r="CD37" s="94">
        <f t="shared" si="36"/>
        <v>3.7364905584647413E-3</v>
      </c>
      <c r="CE37" s="96">
        <f t="shared" si="37"/>
        <v>36.972527472527474</v>
      </c>
      <c r="CF37" s="97">
        <f t="shared" si="38"/>
        <v>1.1350196716593765E-2</v>
      </c>
      <c r="CG37" s="98">
        <f t="shared" si="39"/>
        <v>112.31005494505494</v>
      </c>
      <c r="CH37" s="94">
        <f t="shared" si="40"/>
        <v>6.9132571634546031E-2</v>
      </c>
      <c r="CI37" s="95">
        <f t="shared" si="41"/>
        <v>684.06593406593402</v>
      </c>
      <c r="CJ37" s="99">
        <f t="shared" si="42"/>
        <v>0.67222129984003909</v>
      </c>
      <c r="CK37" s="97">
        <f t="shared" si="43"/>
        <v>0.52467122423006352</v>
      </c>
      <c r="CL37" s="97">
        <f t="shared" si="44"/>
        <v>0.49986677963787229</v>
      </c>
      <c r="CM37" s="98">
        <f t="shared" si="45"/>
        <v>5191.6152197802203</v>
      </c>
      <c r="CN37" s="94">
        <f t="shared" si="46"/>
        <v>0.27331538668583966</v>
      </c>
      <c r="CO37" s="100">
        <f t="shared" si="47"/>
        <v>0.21332367565189642</v>
      </c>
      <c r="CP37" s="100">
        <f t="shared" si="48"/>
        <v>0.20323854986540993</v>
      </c>
      <c r="CQ37" s="101">
        <f t="shared" si="49"/>
        <v>2110.8351098901098</v>
      </c>
      <c r="CR37" s="99">
        <f t="shared" si="50"/>
        <v>5.3768122595541201E-2</v>
      </c>
      <c r="CS37" s="97">
        <f t="shared" si="51"/>
        <v>4.1966219626583826E-2</v>
      </c>
      <c r="CT37" s="97">
        <f t="shared" si="52"/>
        <v>3.9982217605129572E-2</v>
      </c>
      <c r="CU37" s="98">
        <f t="shared" si="53"/>
        <v>415.25521978021976</v>
      </c>
      <c r="CV37" s="94">
        <f t="shared" si="54"/>
        <v>9.2626202212056738E-2</v>
      </c>
      <c r="CW37" s="100">
        <f t="shared" si="55"/>
        <v>7.2295095263934087E-2</v>
      </c>
      <c r="CX37" s="100">
        <f t="shared" si="56"/>
        <v>6.8877260242787355E-2</v>
      </c>
      <c r="CY37" s="95">
        <f t="shared" si="57"/>
        <v>715.35906593406594</v>
      </c>
      <c r="CZ37" s="99">
        <f t="shared" si="58"/>
        <v>1.1025592729798572</v>
      </c>
      <c r="DA37" s="97">
        <f t="shared" si="59"/>
        <v>0.86055161250945944</v>
      </c>
      <c r="DB37" s="97">
        <f t="shared" si="60"/>
        <v>0.81986803047666268</v>
      </c>
      <c r="DC37" s="98">
        <f t="shared" si="61"/>
        <v>8515.1474725274729</v>
      </c>
      <c r="DD37" s="94">
        <f t="shared" si="62"/>
        <v>5.0237707457465993E-3</v>
      </c>
      <c r="DE37" s="100">
        <f t="shared" si="63"/>
        <v>3.7356985042170943E-3</v>
      </c>
      <c r="DF37" s="95">
        <f t="shared" si="64"/>
        <v>38.798956043956046</v>
      </c>
      <c r="DG37" s="99">
        <f t="shared" si="65"/>
        <v>1.7470108396893918E-3</v>
      </c>
      <c r="DH37" s="98">
        <f t="shared" si="66"/>
        <v>18.14445054945055</v>
      </c>
      <c r="DI37" s="94">
        <f t="shared" si="67"/>
        <v>1.7458044612236184E-2</v>
      </c>
      <c r="DJ37" s="100">
        <f t="shared" si="68"/>
        <v>1.2981880433079705E-2</v>
      </c>
      <c r="DK37" s="95">
        <f t="shared" si="69"/>
        <v>134.82978021978022</v>
      </c>
      <c r="DL37" s="99">
        <f t="shared" si="70"/>
        <v>5.4208596549300311E-2</v>
      </c>
      <c r="DM37" s="97">
        <f t="shared" si="71"/>
        <v>4.0309756016709684E-2</v>
      </c>
      <c r="DN37" s="102">
        <f t="shared" si="72"/>
        <v>418.65703296703299</v>
      </c>
      <c r="DO37" s="94">
        <f t="shared" si="73"/>
        <v>4.2067336432096376E-2</v>
      </c>
      <c r="DP37" s="100">
        <f t="shared" si="74"/>
        <v>3.2833712515771322E-2</v>
      </c>
      <c r="DQ37" s="100">
        <f t="shared" si="75"/>
        <v>3.1281460428669493E-2</v>
      </c>
      <c r="DR37" s="95">
        <f t="shared" si="76"/>
        <v>324.88917582417582</v>
      </c>
      <c r="DS37" s="99">
        <f t="shared" si="77"/>
        <v>2.4932634263682934E-3</v>
      </c>
      <c r="DT37" s="97">
        <f t="shared" si="78"/>
        <v>1.8540018889972305E-3</v>
      </c>
      <c r="DU37" s="98">
        <f t="shared" si="87"/>
        <v>19.255659340659342</v>
      </c>
      <c r="DV37" s="94">
        <f t="shared" si="79"/>
        <v>1.7462057134806891E-2</v>
      </c>
      <c r="DW37" s="100">
        <f t="shared" si="80"/>
        <v>1.298486416289624E-2</v>
      </c>
      <c r="DX37" s="95">
        <f t="shared" si="81"/>
        <v>134.86076923076922</v>
      </c>
      <c r="DY37" s="99">
        <f t="shared" si="82"/>
        <v>2.6909566185893619E-2</v>
      </c>
      <c r="DZ37" s="98">
        <f t="shared" si="83"/>
        <v>279.48269230769228</v>
      </c>
      <c r="EA37" s="94">
        <f t="shared" si="14"/>
        <v>4.6225063861605125E-4</v>
      </c>
      <c r="EB37" s="95">
        <f t="shared" si="84"/>
        <v>4.800934065934066</v>
      </c>
      <c r="EC37" s="103">
        <f>IFERROR(VLOOKUP(A37,PP!$E$3:$S$130,14,0),0)</f>
        <v>37</v>
      </c>
    </row>
    <row r="38" spans="1:133">
      <c r="A38" s="26">
        <v>2031</v>
      </c>
      <c r="B38" s="125">
        <v>10071</v>
      </c>
      <c r="C38" s="26" t="s">
        <v>62</v>
      </c>
      <c r="D38" s="88">
        <f>IFERROR(_xlfn.XLOOKUP($A38,CFR20252026_BenchMarkDataReport!$B:$B,CFR20252026_BenchMarkDataReport!S:S),0)</f>
        <v>1369400.22</v>
      </c>
      <c r="E38" s="88">
        <f>IFERROR(_xlfn.XLOOKUP($A38,CFR20252026_BenchMarkDataReport!$B:$B,CFR20252026_BenchMarkDataReport!T:T),0)</f>
        <v>0</v>
      </c>
      <c r="F38" s="88">
        <f>IFERROR(_xlfn.XLOOKUP($A38,CFR20252026_BenchMarkDataReport!$B:$B,CFR20252026_BenchMarkDataReport!U:U),0)</f>
        <v>186372.47</v>
      </c>
      <c r="G38" s="88">
        <f>IFERROR(_xlfn.XLOOKUP($A38,CFR20252026_BenchMarkDataReport!$B:$B,CFR20252026_BenchMarkDataReport!V:V),0)</f>
        <v>0</v>
      </c>
      <c r="H38" s="88">
        <f>IFERROR(_xlfn.XLOOKUP($A38,CFR20252026_BenchMarkDataReport!$B:$B,CFR20252026_BenchMarkDataReport!W:W),0)</f>
        <v>125345</v>
      </c>
      <c r="I38" s="88">
        <f>IFERROR(_xlfn.XLOOKUP($A38,CFR20252026_BenchMarkDataReport!$B:$B,CFR20252026_BenchMarkDataReport!X:X),0)</f>
        <v>65191</v>
      </c>
      <c r="J38" s="88">
        <f>IFERROR(_xlfn.XLOOKUP($A38,CFR20252026_BenchMarkDataReport!$B:$B,CFR20252026_BenchMarkDataReport!Y:Y),0)</f>
        <v>34684.33</v>
      </c>
      <c r="K38" s="88">
        <f>IFERROR(_xlfn.XLOOKUP($A38,CFR20252026_BenchMarkDataReport!$B:$B,CFR20252026_BenchMarkDataReport!Z:Z),0)</f>
        <v>35599.72</v>
      </c>
      <c r="L38" s="88">
        <f>IFERROR(_xlfn.XLOOKUP($A38,CFR20252026_BenchMarkDataReport!$B:$B,CFR20252026_BenchMarkDataReport!AA:AA),0)</f>
        <v>0</v>
      </c>
      <c r="M38" s="88">
        <f>IFERROR(_xlfn.XLOOKUP($A38,CFR20252026_BenchMarkDataReport!$B:$B,CFR20252026_BenchMarkDataReport!AB:AB),0)</f>
        <v>1756.91</v>
      </c>
      <c r="N38" s="88">
        <f>IFERROR(_xlfn.XLOOKUP($A38,CFR20252026_BenchMarkDataReport!$B:$B,CFR20252026_BenchMarkDataReport!AC:AC),0)</f>
        <v>0</v>
      </c>
      <c r="O38" s="88">
        <f>IFERROR(_xlfn.XLOOKUP($A38,CFR20252026_BenchMarkDataReport!$B:$B,CFR20252026_BenchMarkDataReport!AD:AD),0)</f>
        <v>0</v>
      </c>
      <c r="P38" s="88">
        <f>IFERROR(_xlfn.XLOOKUP($A38,CFR20252026_BenchMarkDataReport!$B:$B,CFR20252026_BenchMarkDataReport!AE:AE),0)</f>
        <v>16588.169999999998</v>
      </c>
      <c r="Q38" s="88">
        <f>IFERROR(_xlfn.XLOOKUP($A38,CFR20252026_BenchMarkDataReport!$B:$B,CFR20252026_BenchMarkDataReport!AF:AF),0)</f>
        <v>16955.080000000002</v>
      </c>
      <c r="R38" s="88">
        <f>IFERROR(_xlfn.XLOOKUP($A38,CFR20252026_BenchMarkDataReport!$B:$B,CFR20252026_BenchMarkDataReport!AG:AG),0)</f>
        <v>0</v>
      </c>
      <c r="S38" s="88">
        <f>IFERROR(_xlfn.XLOOKUP($A38,CFR20252026_BenchMarkDataReport!$B:$B,CFR20252026_BenchMarkDataReport!AH:AH),0)</f>
        <v>0</v>
      </c>
      <c r="T38" s="88">
        <f>IFERROR(_xlfn.XLOOKUP($A38,CFR20252026_BenchMarkDataReport!$B:$B,CFR20252026_BenchMarkDataReport!AI:AI),0)</f>
        <v>0</v>
      </c>
      <c r="U38" s="88">
        <f>IFERROR(_xlfn.XLOOKUP($A38,CFR20252026_BenchMarkDataReport!$B:$B,CFR20252026_BenchMarkDataReport!AJ:AJ),0)</f>
        <v>838948.49</v>
      </c>
      <c r="V38" s="88">
        <f>IFERROR(_xlfn.XLOOKUP($A38,CFR20252026_BenchMarkDataReport!$B:$B,CFR20252026_BenchMarkDataReport!AK:AK),0)</f>
        <v>0</v>
      </c>
      <c r="W38" s="88">
        <f>IFERROR(_xlfn.XLOOKUP($A38,CFR20252026_BenchMarkDataReport!$B:$B,CFR20252026_BenchMarkDataReport!AL:AL),0)</f>
        <v>500036.89</v>
      </c>
      <c r="X38" s="88">
        <f>IFERROR(_xlfn.XLOOKUP($A38,CFR20252026_BenchMarkDataReport!$B:$B,CFR20252026_BenchMarkDataReport!AM:AM),0)</f>
        <v>30682.26</v>
      </c>
      <c r="Y38" s="88">
        <f>IFERROR(_xlfn.XLOOKUP($A38,CFR20252026_BenchMarkDataReport!$B:$B,CFR20252026_BenchMarkDataReport!AN:AN),0)</f>
        <v>108471.33</v>
      </c>
      <c r="Z38" s="88">
        <f>IFERROR(_xlfn.XLOOKUP($A38,CFR20252026_BenchMarkDataReport!$B:$B,CFR20252026_BenchMarkDataReport!AO:AO),0)</f>
        <v>0</v>
      </c>
      <c r="AA38" s="88">
        <f>IFERROR(_xlfn.XLOOKUP($A38,CFR20252026_BenchMarkDataReport!$B:$B,CFR20252026_BenchMarkDataReport!AP:AP),0)</f>
        <v>50864.87</v>
      </c>
      <c r="AB38" s="88">
        <f>IFERROR(_xlfn.XLOOKUP($A38,CFR20252026_BenchMarkDataReport!$B:$B,CFR20252026_BenchMarkDataReport!AQ:AQ),0)</f>
        <v>3029.45</v>
      </c>
      <c r="AC38" s="88">
        <f>IFERROR(_xlfn.XLOOKUP($A38,CFR20252026_BenchMarkDataReport!$B:$B,CFR20252026_BenchMarkDataReport!AR:AR),0)</f>
        <v>4655</v>
      </c>
      <c r="AD38" s="88">
        <f>IFERROR(_xlfn.XLOOKUP($A38,CFR20252026_BenchMarkDataReport!$B:$B,CFR20252026_BenchMarkDataReport!AS:AS),0)</f>
        <v>0</v>
      </c>
      <c r="AE38" s="88">
        <f>IFERROR(_xlfn.XLOOKUP($A38,CFR20252026_BenchMarkDataReport!$B:$B,CFR20252026_BenchMarkDataReport!AT:AT),0)</f>
        <v>0</v>
      </c>
      <c r="AF38" s="88">
        <f>IFERROR(_xlfn.XLOOKUP($A38,CFR20252026_BenchMarkDataReport!$B:$B,CFR20252026_BenchMarkDataReport!AU:AU),0)</f>
        <v>17444.63</v>
      </c>
      <c r="AG38" s="88">
        <f>IFERROR(_xlfn.XLOOKUP($A38,CFR20252026_BenchMarkDataReport!$B:$B,CFR20252026_BenchMarkDataReport!AV:AV),0)</f>
        <v>4800</v>
      </c>
      <c r="AH38" s="88">
        <f>IFERROR(_xlfn.XLOOKUP($A38,CFR20252026_BenchMarkDataReport!$B:$B,CFR20252026_BenchMarkDataReport!AW:AW),0)</f>
        <v>28503.119999999999</v>
      </c>
      <c r="AI38" s="88">
        <f>IFERROR(_xlfn.XLOOKUP($A38,CFR20252026_BenchMarkDataReport!$B:$B,CFR20252026_BenchMarkDataReport!AX:AX),0)</f>
        <v>5980.34</v>
      </c>
      <c r="AJ38" s="88">
        <f>IFERROR(_xlfn.XLOOKUP($A38,CFR20252026_BenchMarkDataReport!$B:$B,CFR20252026_BenchMarkDataReport!AY:AY),0)</f>
        <v>19655.77</v>
      </c>
      <c r="AK38" s="88">
        <f>IFERROR(_xlfn.XLOOKUP($A38,CFR20252026_BenchMarkDataReport!$B:$B,CFR20252026_BenchMarkDataReport!AZ:AZ),0)</f>
        <v>4953.59</v>
      </c>
      <c r="AL38" s="88">
        <f>IFERROR(_xlfn.XLOOKUP($A38,CFR20252026_BenchMarkDataReport!$B:$B,CFR20252026_BenchMarkDataReport!BA:BA),0)</f>
        <v>16245.94</v>
      </c>
      <c r="AM38" s="88">
        <f>IFERROR(_xlfn.XLOOKUP($A38,CFR20252026_BenchMarkDataReport!$B:$B,CFR20252026_BenchMarkDataReport!BB:BB),0)</f>
        <v>33828.32</v>
      </c>
      <c r="AN38" s="88">
        <f>IFERROR(_xlfn.XLOOKUP($A38,CFR20252026_BenchMarkDataReport!$B:$B,CFR20252026_BenchMarkDataReport!BC:BC),0)</f>
        <v>5790.69</v>
      </c>
      <c r="AO38" s="88">
        <f>IFERROR(_xlfn.XLOOKUP($A38,CFR20252026_BenchMarkDataReport!$B:$B,CFR20252026_BenchMarkDataReport!BD:BD),0)</f>
        <v>0</v>
      </c>
      <c r="AP38" s="88">
        <f>IFERROR(_xlfn.XLOOKUP($A38,CFR20252026_BenchMarkDataReport!$B:$B,CFR20252026_BenchMarkDataReport!BE:BE),0)</f>
        <v>2979.51</v>
      </c>
      <c r="AQ38" s="88">
        <f>IFERROR(_xlfn.XLOOKUP($A38,CFR20252026_BenchMarkDataReport!$B:$B,CFR20252026_BenchMarkDataReport!BF:BF),0)</f>
        <v>7045.5</v>
      </c>
      <c r="AR38" s="88">
        <f>IFERROR(_xlfn.XLOOKUP($A38,CFR20252026_BenchMarkDataReport!$B:$B,CFR20252026_BenchMarkDataReport!BG:BG),0)</f>
        <v>9532.07</v>
      </c>
      <c r="AS38" s="88">
        <f>IFERROR(_xlfn.XLOOKUP($A38,CFR20252026_BenchMarkDataReport!$B:$B,CFR20252026_BenchMarkDataReport!BH:BH),0)</f>
        <v>0</v>
      </c>
      <c r="AT38" s="88">
        <f>IFERROR(_xlfn.XLOOKUP($A38,CFR20252026_BenchMarkDataReport!$B:$B,CFR20252026_BenchMarkDataReport!BI:BI),0)</f>
        <v>400</v>
      </c>
      <c r="AU38" s="88">
        <f>IFERROR(_xlfn.XLOOKUP($A38,CFR20252026_BenchMarkDataReport!$B:$B,CFR20252026_BenchMarkDataReport!BJ:BJ),0)</f>
        <v>0</v>
      </c>
      <c r="AV38" s="88">
        <f>IFERROR(_xlfn.XLOOKUP($A38,CFR20252026_BenchMarkDataReport!$B:$B,CFR20252026_BenchMarkDataReport!BK:BK),0)</f>
        <v>903.65</v>
      </c>
      <c r="AW38" s="88">
        <f>IFERROR(_xlfn.XLOOKUP($A38,CFR20252026_BenchMarkDataReport!$B:$B,CFR20252026_BenchMarkDataReport!BL:BL),0)</f>
        <v>10633.62</v>
      </c>
      <c r="AX38" s="88">
        <f>IFERROR(_xlfn.XLOOKUP($A38,CFR20252026_BenchMarkDataReport!$B:$B,CFR20252026_BenchMarkDataReport!BM:BM),0)</f>
        <v>6404.7</v>
      </c>
      <c r="AY38" s="88">
        <f>IFERROR(_xlfn.XLOOKUP($A38,CFR20252026_BenchMarkDataReport!$B:$B,CFR20252026_BenchMarkDataReport!BN:BN),0)</f>
        <v>72411.27</v>
      </c>
      <c r="AZ38" s="88">
        <f>IFERROR(_xlfn.XLOOKUP($A38,CFR20252026_BenchMarkDataReport!$B:$B,CFR20252026_BenchMarkDataReport!BO:BO),0)</f>
        <v>48872.46</v>
      </c>
      <c r="BA38" s="88">
        <f>IFERROR(_xlfn.XLOOKUP($A38,CFR20252026_BenchMarkDataReport!$B:$B,CFR20252026_BenchMarkDataReport!BP:BP),0)</f>
        <v>87702.94</v>
      </c>
      <c r="BB38" s="88">
        <f>IFERROR(_xlfn.XLOOKUP($A38,CFR20252026_BenchMarkDataReport!$B:$B,CFR20252026_BenchMarkDataReport!BQ:BQ),0)</f>
        <v>39377.49</v>
      </c>
      <c r="BC38" s="88">
        <f>IFERROR(_xlfn.XLOOKUP($A38,CFR20252026_BenchMarkDataReport!$B:$B,CFR20252026_BenchMarkDataReport!BR:BR),0)</f>
        <v>0</v>
      </c>
      <c r="BD38" s="88">
        <f>IFERROR(_xlfn.XLOOKUP($A38,CFR20252026_BenchMarkDataReport!$B:$B,CFR20252026_BenchMarkDataReport!BS:BS),0)</f>
        <v>0</v>
      </c>
      <c r="BE38" s="88">
        <f>IFERROR(_xlfn.XLOOKUP($A38,CFR20252026_BenchMarkDataReport!$B:$B,CFR20252026_BenchMarkDataReport!BT:BT),0)</f>
        <v>0</v>
      </c>
      <c r="BF38" s="88">
        <f>IFERROR(_xlfn.XLOOKUP($A38,CFR20252026_BenchMarkDataReport!$B:$B,CFR20252026_BenchMarkDataReport!BU:BU),0)</f>
        <v>0</v>
      </c>
      <c r="BG38" s="88">
        <f>IFERROR(_xlfn.XLOOKUP($A38,CFR20252026_BenchMarkDataReport!$B:$B,CFR20252026_BenchMarkDataReport!BV:BV),0)</f>
        <v>0</v>
      </c>
      <c r="BH38" s="89">
        <f t="shared" si="0"/>
        <v>1851892.9</v>
      </c>
      <c r="BI38" s="90">
        <f t="shared" si="88"/>
        <v>1960153.9000000001</v>
      </c>
      <c r="BJ38" s="126">
        <f t="shared" si="89"/>
        <v>-108261.00000000023</v>
      </c>
      <c r="BK38" s="88">
        <f>IFERROR(_xlfn.XLOOKUP(A38,CFR20252026_BenchMarkDataReport!$B:$B,CFR20252026_BenchMarkDataReport!P:P)+_xlfn.XLOOKUP(A38,CFR20252026_BenchMarkDataReport!$B:$B,CFR20252026_BenchMarkDataReport!Q:Q),0)</f>
        <v>-273425</v>
      </c>
      <c r="BL38" s="89">
        <f t="shared" si="1"/>
        <v>-381686.00000000023</v>
      </c>
      <c r="BM38" s="91">
        <f>SUMIFS(PP!I:I,PP!E:E,A38)</f>
        <v>189</v>
      </c>
      <c r="BN38" s="90">
        <f t="shared" si="21"/>
        <v>1555772.69</v>
      </c>
      <c r="BO38" t="s">
        <v>173</v>
      </c>
      <c r="BP38" s="92">
        <f t="shared" si="22"/>
        <v>0.73945972793567061</v>
      </c>
      <c r="BQ38" s="93">
        <f t="shared" si="23"/>
        <v>7245.5038095238097</v>
      </c>
      <c r="BR38" s="94">
        <f t="shared" si="24"/>
        <v>0</v>
      </c>
      <c r="BS38" s="95">
        <f t="shared" si="25"/>
        <v>0</v>
      </c>
      <c r="BT38" s="92">
        <f t="shared" si="26"/>
        <v>0.10063890303807527</v>
      </c>
      <c r="BU38" s="93">
        <f t="shared" si="27"/>
        <v>986.09772486772488</v>
      </c>
      <c r="BV38" s="94">
        <f t="shared" si="28"/>
        <v>0</v>
      </c>
      <c r="BW38" s="95">
        <f t="shared" si="29"/>
        <v>0</v>
      </c>
      <c r="BX38" s="92">
        <f t="shared" si="30"/>
        <v>6.7684799698729883E-2</v>
      </c>
      <c r="BY38" s="93">
        <f t="shared" si="31"/>
        <v>663.20105820105823</v>
      </c>
      <c r="BZ38" s="94">
        <f t="shared" si="32"/>
        <v>3.5202359704494791E-2</v>
      </c>
      <c r="CA38" s="95">
        <f t="shared" si="33"/>
        <v>344.92592592592592</v>
      </c>
      <c r="CB38" s="92">
        <f t="shared" si="34"/>
        <v>1.8729123050258471E-2</v>
      </c>
      <c r="CC38" s="93">
        <f t="shared" si="35"/>
        <v>183.51497354497354</v>
      </c>
      <c r="CD38" s="94">
        <f t="shared" si="36"/>
        <v>1.9223422693612574E-2</v>
      </c>
      <c r="CE38" s="96">
        <f t="shared" si="37"/>
        <v>188.35830687830688</v>
      </c>
      <c r="CF38" s="97">
        <f t="shared" si="38"/>
        <v>8.9574132499779004E-3</v>
      </c>
      <c r="CG38" s="98">
        <f t="shared" si="39"/>
        <v>87.768095238095228</v>
      </c>
      <c r="CH38" s="94">
        <f t="shared" si="40"/>
        <v>9.1555402582946359E-3</v>
      </c>
      <c r="CI38" s="95">
        <f t="shared" si="41"/>
        <v>89.709417989418</v>
      </c>
      <c r="CJ38" s="99">
        <f t="shared" si="42"/>
        <v>0.57066238256181245</v>
      </c>
      <c r="CK38" s="97">
        <f t="shared" si="43"/>
        <v>0.47941268633839462</v>
      </c>
      <c r="CL38" s="97">
        <f t="shared" si="44"/>
        <v>0.45293430786225503</v>
      </c>
      <c r="CM38" s="98">
        <f t="shared" si="45"/>
        <v>4697.4653439153435</v>
      </c>
      <c r="CN38" s="94">
        <f t="shared" si="46"/>
        <v>0.32140742231437425</v>
      </c>
      <c r="CO38" s="100">
        <f t="shared" si="47"/>
        <v>0.27001393547110636</v>
      </c>
      <c r="CP38" s="100">
        <f t="shared" si="48"/>
        <v>0.25510083162347608</v>
      </c>
      <c r="CQ38" s="101">
        <f t="shared" si="49"/>
        <v>2645.6978306878309</v>
      </c>
      <c r="CR38" s="99">
        <f t="shared" si="50"/>
        <v>1.9721557138273199E-2</v>
      </c>
      <c r="CS38" s="97">
        <f t="shared" si="51"/>
        <v>1.6568053152533822E-2</v>
      </c>
      <c r="CT38" s="97">
        <f t="shared" si="52"/>
        <v>1.5652985206926862E-2</v>
      </c>
      <c r="CU38" s="98">
        <f t="shared" si="53"/>
        <v>162.34</v>
      </c>
      <c r="CV38" s="94">
        <f t="shared" si="54"/>
        <v>6.9721837063485156E-2</v>
      </c>
      <c r="CW38" s="100">
        <f t="shared" si="55"/>
        <v>5.8573219866008455E-2</v>
      </c>
      <c r="CX38" s="100">
        <f t="shared" si="56"/>
        <v>5.5338170130416794E-2</v>
      </c>
      <c r="CY38" s="95">
        <f t="shared" si="57"/>
        <v>573.92238095238099</v>
      </c>
      <c r="CZ38" s="99">
        <f t="shared" si="58"/>
        <v>0.98279385531571462</v>
      </c>
      <c r="DA38" s="97">
        <f t="shared" si="59"/>
        <v>0.82564377238014153</v>
      </c>
      <c r="DB38" s="97">
        <f t="shared" si="60"/>
        <v>0.78004275072482832</v>
      </c>
      <c r="DC38" s="98">
        <f t="shared" si="61"/>
        <v>8089.9674074074082</v>
      </c>
      <c r="DD38" s="94">
        <f t="shared" si="62"/>
        <v>1.1212839839732629E-2</v>
      </c>
      <c r="DE38" s="100">
        <f t="shared" si="63"/>
        <v>8.8996226265702916E-3</v>
      </c>
      <c r="DF38" s="95">
        <f t="shared" si="64"/>
        <v>92.299629629629635</v>
      </c>
      <c r="DG38" s="99">
        <f t="shared" si="65"/>
        <v>3.0509543153728895E-3</v>
      </c>
      <c r="DH38" s="98">
        <f t="shared" si="66"/>
        <v>31.642010582010581</v>
      </c>
      <c r="DI38" s="94">
        <f t="shared" si="67"/>
        <v>1.2634088595551835E-2</v>
      </c>
      <c r="DJ38" s="100">
        <f t="shared" si="68"/>
        <v>1.0027666705150038E-2</v>
      </c>
      <c r="DK38" s="95">
        <f t="shared" si="69"/>
        <v>103.99878306878307</v>
      </c>
      <c r="DL38" s="99">
        <f t="shared" si="70"/>
        <v>1.0442360959556373E-2</v>
      </c>
      <c r="DM38" s="97">
        <f t="shared" si="71"/>
        <v>8.2880941134265019E-3</v>
      </c>
      <c r="DN38" s="102">
        <f t="shared" si="72"/>
        <v>85.957354497354501</v>
      </c>
      <c r="DO38" s="94">
        <f t="shared" si="73"/>
        <v>2.174374201156597E-2</v>
      </c>
      <c r="DP38" s="100">
        <f t="shared" si="74"/>
        <v>1.8266887896162893E-2</v>
      </c>
      <c r="DQ38" s="100">
        <f t="shared" si="75"/>
        <v>1.7257991834212609E-2</v>
      </c>
      <c r="DR38" s="95">
        <f t="shared" si="76"/>
        <v>178.9858201058201</v>
      </c>
      <c r="DS38" s="99">
        <f t="shared" si="77"/>
        <v>5.808367802111246E-4</v>
      </c>
      <c r="DT38" s="97">
        <f t="shared" si="78"/>
        <v>4.6100971969598913E-4</v>
      </c>
      <c r="DU38" s="98">
        <f t="shared" si="87"/>
        <v>4.7812169312169308</v>
      </c>
      <c r="DV38" s="94">
        <f t="shared" si="79"/>
        <v>5.6372592579703916E-2</v>
      </c>
      <c r="DW38" s="100">
        <f t="shared" si="80"/>
        <v>4.4742884729612298E-2</v>
      </c>
      <c r="DX38" s="95">
        <f t="shared" si="81"/>
        <v>464.03671957671958</v>
      </c>
      <c r="DY38" s="99">
        <f t="shared" si="82"/>
        <v>3.6941624838743525E-2</v>
      </c>
      <c r="DZ38" s="98">
        <f t="shared" si="83"/>
        <v>383.12841269841272</v>
      </c>
      <c r="EA38" s="94">
        <f t="shared" si="14"/>
        <v>1.4541266377094164E-2</v>
      </c>
      <c r="EB38" s="95">
        <f t="shared" si="84"/>
        <v>150.81015873015872</v>
      </c>
      <c r="EC38" s="103">
        <f>IFERROR(VLOOKUP(A38,PP!$E$3:$S$130,14,0),0)</f>
        <v>81</v>
      </c>
    </row>
    <row r="39" spans="1:133">
      <c r="A39" s="26">
        <v>2032</v>
      </c>
      <c r="B39" s="125">
        <v>10072</v>
      </c>
      <c r="C39" s="26" t="s">
        <v>63</v>
      </c>
      <c r="D39" s="88">
        <f>IFERROR(_xlfn.XLOOKUP($A39,CFR20252026_BenchMarkDataReport!$B:$B,CFR20252026_BenchMarkDataReport!S:S),0)</f>
        <v>2456474.7200000002</v>
      </c>
      <c r="E39" s="88">
        <f>IFERROR(_xlfn.XLOOKUP($A39,CFR20252026_BenchMarkDataReport!$B:$B,CFR20252026_BenchMarkDataReport!T:T),0)</f>
        <v>0</v>
      </c>
      <c r="F39" s="88">
        <f>IFERROR(_xlfn.XLOOKUP($A39,CFR20252026_BenchMarkDataReport!$B:$B,CFR20252026_BenchMarkDataReport!U:U),0)</f>
        <v>227613.12</v>
      </c>
      <c r="G39" s="88">
        <f>IFERROR(_xlfn.XLOOKUP($A39,CFR20252026_BenchMarkDataReport!$B:$B,CFR20252026_BenchMarkDataReport!V:V),0)</f>
        <v>0</v>
      </c>
      <c r="H39" s="88">
        <f>IFERROR(_xlfn.XLOOKUP($A39,CFR20252026_BenchMarkDataReport!$B:$B,CFR20252026_BenchMarkDataReport!W:W),0)</f>
        <v>131560.19</v>
      </c>
      <c r="I39" s="88">
        <f>IFERROR(_xlfn.XLOOKUP($A39,CFR20252026_BenchMarkDataReport!$B:$B,CFR20252026_BenchMarkDataReport!X:X),0)</f>
        <v>68537</v>
      </c>
      <c r="J39" s="88">
        <f>IFERROR(_xlfn.XLOOKUP($A39,CFR20252026_BenchMarkDataReport!$B:$B,CFR20252026_BenchMarkDataReport!Y:Y),0)</f>
        <v>92445.59</v>
      </c>
      <c r="K39" s="88">
        <f>IFERROR(_xlfn.XLOOKUP($A39,CFR20252026_BenchMarkDataReport!$B:$B,CFR20252026_BenchMarkDataReport!Z:Z),0)</f>
        <v>75869.25</v>
      </c>
      <c r="L39" s="88">
        <f>IFERROR(_xlfn.XLOOKUP($A39,CFR20252026_BenchMarkDataReport!$B:$B,CFR20252026_BenchMarkDataReport!AA:AA),0)</f>
        <v>0</v>
      </c>
      <c r="M39" s="88">
        <f>IFERROR(_xlfn.XLOOKUP($A39,CFR20252026_BenchMarkDataReport!$B:$B,CFR20252026_BenchMarkDataReport!AB:AB),0)</f>
        <v>3516.89</v>
      </c>
      <c r="N39" s="88">
        <f>IFERROR(_xlfn.XLOOKUP($A39,CFR20252026_BenchMarkDataReport!$B:$B,CFR20252026_BenchMarkDataReport!AC:AC),0)</f>
        <v>0</v>
      </c>
      <c r="O39" s="88">
        <f>IFERROR(_xlfn.XLOOKUP($A39,CFR20252026_BenchMarkDataReport!$B:$B,CFR20252026_BenchMarkDataReport!AD:AD),0)</f>
        <v>0</v>
      </c>
      <c r="P39" s="88">
        <f>IFERROR(_xlfn.XLOOKUP($A39,CFR20252026_BenchMarkDataReport!$B:$B,CFR20252026_BenchMarkDataReport!AE:AE),0)</f>
        <v>47669.87</v>
      </c>
      <c r="Q39" s="88">
        <f>IFERROR(_xlfn.XLOOKUP($A39,CFR20252026_BenchMarkDataReport!$B:$B,CFR20252026_BenchMarkDataReport!AF:AF),0)</f>
        <v>19148.77</v>
      </c>
      <c r="R39" s="88">
        <f>IFERROR(_xlfn.XLOOKUP($A39,CFR20252026_BenchMarkDataReport!$B:$B,CFR20252026_BenchMarkDataReport!AG:AG),0)</f>
        <v>0</v>
      </c>
      <c r="S39" s="88">
        <f>IFERROR(_xlfn.XLOOKUP($A39,CFR20252026_BenchMarkDataReport!$B:$B,CFR20252026_BenchMarkDataReport!AH:AH),0)</f>
        <v>0</v>
      </c>
      <c r="T39" s="88">
        <f>IFERROR(_xlfn.XLOOKUP($A39,CFR20252026_BenchMarkDataReport!$B:$B,CFR20252026_BenchMarkDataReport!AI:AI),0)</f>
        <v>0</v>
      </c>
      <c r="U39" s="88">
        <f>IFERROR(_xlfn.XLOOKUP($A39,CFR20252026_BenchMarkDataReport!$B:$B,CFR20252026_BenchMarkDataReport!AJ:AJ),0)</f>
        <v>1613387.79</v>
      </c>
      <c r="V39" s="88">
        <f>IFERROR(_xlfn.XLOOKUP($A39,CFR20252026_BenchMarkDataReport!$B:$B,CFR20252026_BenchMarkDataReport!AK:AK),0)</f>
        <v>66421.119999999995</v>
      </c>
      <c r="W39" s="88">
        <f>IFERROR(_xlfn.XLOOKUP($A39,CFR20252026_BenchMarkDataReport!$B:$B,CFR20252026_BenchMarkDataReport!AL:AL),0)</f>
        <v>750643.84</v>
      </c>
      <c r="X39" s="88">
        <f>IFERROR(_xlfn.XLOOKUP($A39,CFR20252026_BenchMarkDataReport!$B:$B,CFR20252026_BenchMarkDataReport!AM:AM),0)</f>
        <v>49520.4</v>
      </c>
      <c r="Y39" s="88">
        <f>IFERROR(_xlfn.XLOOKUP($A39,CFR20252026_BenchMarkDataReport!$B:$B,CFR20252026_BenchMarkDataReport!AN:AN),0)</f>
        <v>59305.49</v>
      </c>
      <c r="Z39" s="88">
        <f>IFERROR(_xlfn.XLOOKUP($A39,CFR20252026_BenchMarkDataReport!$B:$B,CFR20252026_BenchMarkDataReport!AO:AO),0)</f>
        <v>0</v>
      </c>
      <c r="AA39" s="88">
        <f>IFERROR(_xlfn.XLOOKUP($A39,CFR20252026_BenchMarkDataReport!$B:$B,CFR20252026_BenchMarkDataReport!AP:AP),0)</f>
        <v>54818.39</v>
      </c>
      <c r="AB39" s="88">
        <f>IFERROR(_xlfn.XLOOKUP($A39,CFR20252026_BenchMarkDataReport!$B:$B,CFR20252026_BenchMarkDataReport!AQ:AQ),0)</f>
        <v>11945.66</v>
      </c>
      <c r="AC39" s="88">
        <f>IFERROR(_xlfn.XLOOKUP($A39,CFR20252026_BenchMarkDataReport!$B:$B,CFR20252026_BenchMarkDataReport!AR:AR),0)</f>
        <v>7063</v>
      </c>
      <c r="AD39" s="88">
        <f>IFERROR(_xlfn.XLOOKUP($A39,CFR20252026_BenchMarkDataReport!$B:$B,CFR20252026_BenchMarkDataReport!AS:AS),0)</f>
        <v>668.61</v>
      </c>
      <c r="AE39" s="88">
        <f>IFERROR(_xlfn.XLOOKUP($A39,CFR20252026_BenchMarkDataReport!$B:$B,CFR20252026_BenchMarkDataReport!AT:AT),0)</f>
        <v>0</v>
      </c>
      <c r="AF39" s="88">
        <f>IFERROR(_xlfn.XLOOKUP($A39,CFR20252026_BenchMarkDataReport!$B:$B,CFR20252026_BenchMarkDataReport!AU:AU),0)</f>
        <v>17683.439999999999</v>
      </c>
      <c r="AG39" s="88">
        <f>IFERROR(_xlfn.XLOOKUP($A39,CFR20252026_BenchMarkDataReport!$B:$B,CFR20252026_BenchMarkDataReport!AV:AV),0)</f>
        <v>2939.98</v>
      </c>
      <c r="AH39" s="88">
        <f>IFERROR(_xlfn.XLOOKUP($A39,CFR20252026_BenchMarkDataReport!$B:$B,CFR20252026_BenchMarkDataReport!AW:AW),0)</f>
        <v>80186.149999999994</v>
      </c>
      <c r="AI39" s="88">
        <f>IFERROR(_xlfn.XLOOKUP($A39,CFR20252026_BenchMarkDataReport!$B:$B,CFR20252026_BenchMarkDataReport!AX:AX),0)</f>
        <v>14019.09</v>
      </c>
      <c r="AJ39" s="88">
        <f>IFERROR(_xlfn.XLOOKUP($A39,CFR20252026_BenchMarkDataReport!$B:$B,CFR20252026_BenchMarkDataReport!AY:AY),0)</f>
        <v>55242.7</v>
      </c>
      <c r="AK39" s="88">
        <f>IFERROR(_xlfn.XLOOKUP($A39,CFR20252026_BenchMarkDataReport!$B:$B,CFR20252026_BenchMarkDataReport!AZ:AZ),0)</f>
        <v>33001.15</v>
      </c>
      <c r="AL39" s="88">
        <f>IFERROR(_xlfn.XLOOKUP($A39,CFR20252026_BenchMarkDataReport!$B:$B,CFR20252026_BenchMarkDataReport!BA:BA),0)</f>
        <v>9811.5400000000009</v>
      </c>
      <c r="AM39" s="88">
        <f>IFERROR(_xlfn.XLOOKUP($A39,CFR20252026_BenchMarkDataReport!$B:$B,CFR20252026_BenchMarkDataReport!BB:BB),0)</f>
        <v>110206.84</v>
      </c>
      <c r="AN39" s="88">
        <f>IFERROR(_xlfn.XLOOKUP($A39,CFR20252026_BenchMarkDataReport!$B:$B,CFR20252026_BenchMarkDataReport!BC:BC),0)</f>
        <v>7495</v>
      </c>
      <c r="AO39" s="88">
        <f>IFERROR(_xlfn.XLOOKUP($A39,CFR20252026_BenchMarkDataReport!$B:$B,CFR20252026_BenchMarkDataReport!BD:BD),0)</f>
        <v>0</v>
      </c>
      <c r="AP39" s="88">
        <f>IFERROR(_xlfn.XLOOKUP($A39,CFR20252026_BenchMarkDataReport!$B:$B,CFR20252026_BenchMarkDataReport!BE:BE),0)</f>
        <v>2979</v>
      </c>
      <c r="AQ39" s="88">
        <f>IFERROR(_xlfn.XLOOKUP($A39,CFR20252026_BenchMarkDataReport!$B:$B,CFR20252026_BenchMarkDataReport!BF:BF),0)</f>
        <v>3440</v>
      </c>
      <c r="AR39" s="88">
        <f>IFERROR(_xlfn.XLOOKUP($A39,CFR20252026_BenchMarkDataReport!$B:$B,CFR20252026_BenchMarkDataReport!BG:BG),0)</f>
        <v>3907.87</v>
      </c>
      <c r="AS39" s="88">
        <f>IFERROR(_xlfn.XLOOKUP($A39,CFR20252026_BenchMarkDataReport!$B:$B,CFR20252026_BenchMarkDataReport!BH:BH),0)</f>
        <v>0</v>
      </c>
      <c r="AT39" s="88">
        <f>IFERROR(_xlfn.XLOOKUP($A39,CFR20252026_BenchMarkDataReport!$B:$B,CFR20252026_BenchMarkDataReport!BI:BI),0)</f>
        <v>0</v>
      </c>
      <c r="AU39" s="88">
        <f>IFERROR(_xlfn.XLOOKUP($A39,CFR20252026_BenchMarkDataReport!$B:$B,CFR20252026_BenchMarkDataReport!BJ:BJ),0)</f>
        <v>0</v>
      </c>
      <c r="AV39" s="88">
        <f>IFERROR(_xlfn.XLOOKUP($A39,CFR20252026_BenchMarkDataReport!$B:$B,CFR20252026_BenchMarkDataReport!BK:BK),0)</f>
        <v>19634.169999999998</v>
      </c>
      <c r="AW39" s="88">
        <f>IFERROR(_xlfn.XLOOKUP($A39,CFR20252026_BenchMarkDataReport!$B:$B,CFR20252026_BenchMarkDataReport!BL:BL),0)</f>
        <v>17515.080000000002</v>
      </c>
      <c r="AX39" s="88">
        <f>IFERROR(_xlfn.XLOOKUP($A39,CFR20252026_BenchMarkDataReport!$B:$B,CFR20252026_BenchMarkDataReport!BM:BM),0)</f>
        <v>500</v>
      </c>
      <c r="AY39" s="88">
        <f>IFERROR(_xlfn.XLOOKUP($A39,CFR20252026_BenchMarkDataReport!$B:$B,CFR20252026_BenchMarkDataReport!BN:BN),0)</f>
        <v>133848.62</v>
      </c>
      <c r="AZ39" s="88">
        <f>IFERROR(_xlfn.XLOOKUP($A39,CFR20252026_BenchMarkDataReport!$B:$B,CFR20252026_BenchMarkDataReport!BO:BO),0)</f>
        <v>143886.84</v>
      </c>
      <c r="BA39" s="88">
        <f>IFERROR(_xlfn.XLOOKUP($A39,CFR20252026_BenchMarkDataReport!$B:$B,CFR20252026_BenchMarkDataReport!BP:BP),0)</f>
        <v>50605.24</v>
      </c>
      <c r="BB39" s="88">
        <f>IFERROR(_xlfn.XLOOKUP($A39,CFR20252026_BenchMarkDataReport!$B:$B,CFR20252026_BenchMarkDataReport!BQ:BQ),0)</f>
        <v>46549.98</v>
      </c>
      <c r="BC39" s="88">
        <f>IFERROR(_xlfn.XLOOKUP($A39,CFR20252026_BenchMarkDataReport!$B:$B,CFR20252026_BenchMarkDataReport!BR:BR),0)</f>
        <v>0</v>
      </c>
      <c r="BD39" s="88">
        <f>IFERROR(_xlfn.XLOOKUP($A39,CFR20252026_BenchMarkDataReport!$B:$B,CFR20252026_BenchMarkDataReport!BS:BS),0)</f>
        <v>0</v>
      </c>
      <c r="BE39" s="88">
        <f>IFERROR(_xlfn.XLOOKUP($A39,CFR20252026_BenchMarkDataReport!$B:$B,CFR20252026_BenchMarkDataReport!BT:BT),0)</f>
        <v>856.5</v>
      </c>
      <c r="BF39" s="88">
        <f>IFERROR(_xlfn.XLOOKUP($A39,CFR20252026_BenchMarkDataReport!$B:$B,CFR20252026_BenchMarkDataReport!BU:BU),0)</f>
        <v>0</v>
      </c>
      <c r="BG39" s="88">
        <f>IFERROR(_xlfn.XLOOKUP($A39,CFR20252026_BenchMarkDataReport!$B:$B,CFR20252026_BenchMarkDataReport!BV:BV),0)</f>
        <v>0</v>
      </c>
      <c r="BH39" s="89">
        <f t="shared" si="0"/>
        <v>3122835.4000000004</v>
      </c>
      <c r="BI39" s="90">
        <f t="shared" si="88"/>
        <v>3368083.49</v>
      </c>
      <c r="BJ39" s="126">
        <f t="shared" si="89"/>
        <v>-245248.08999999985</v>
      </c>
      <c r="BK39" s="88">
        <f>IFERROR(_xlfn.XLOOKUP(A39,CFR20252026_BenchMarkDataReport!$B:$B,CFR20252026_BenchMarkDataReport!P:P)+_xlfn.XLOOKUP(A39,CFR20252026_BenchMarkDataReport!$B:$B,CFR20252026_BenchMarkDataReport!Q:Q),0)</f>
        <v>-20834.91</v>
      </c>
      <c r="BL39" s="89">
        <f>SUM(BJ39:BK39)</f>
        <v>-266082.99999999983</v>
      </c>
      <c r="BM39" s="91">
        <f>SUMIFS(PP!I:I,PP!E:E,A39)</f>
        <v>391</v>
      </c>
      <c r="BN39" s="90">
        <f t="shared" si="21"/>
        <v>2684087.8400000003</v>
      </c>
      <c r="BO39" t="s">
        <v>173</v>
      </c>
      <c r="BP39" s="92">
        <f t="shared" si="22"/>
        <v>0.78661677781672379</v>
      </c>
      <c r="BQ39" s="93">
        <f t="shared" si="23"/>
        <v>6282.5440409207167</v>
      </c>
      <c r="BR39" s="94">
        <f t="shared" si="24"/>
        <v>0</v>
      </c>
      <c r="BS39" s="95">
        <f t="shared" si="25"/>
        <v>0</v>
      </c>
      <c r="BT39" s="92">
        <f t="shared" si="26"/>
        <v>7.2886684965848658E-2</v>
      </c>
      <c r="BU39" s="93">
        <f t="shared" si="27"/>
        <v>582.13074168797948</v>
      </c>
      <c r="BV39" s="94">
        <f t="shared" si="28"/>
        <v>0</v>
      </c>
      <c r="BW39" s="95">
        <f t="shared" si="29"/>
        <v>0</v>
      </c>
      <c r="BX39" s="92">
        <f t="shared" si="30"/>
        <v>4.2128441992171597E-2</v>
      </c>
      <c r="BY39" s="93">
        <f t="shared" si="31"/>
        <v>336.47107416879794</v>
      </c>
      <c r="BZ39" s="94">
        <f t="shared" si="32"/>
        <v>2.1947042101546559E-2</v>
      </c>
      <c r="CA39" s="95">
        <f t="shared" si="33"/>
        <v>175.28644501278774</v>
      </c>
      <c r="CB39" s="92">
        <f t="shared" si="34"/>
        <v>2.9603094034350956E-2</v>
      </c>
      <c r="CC39" s="93">
        <f t="shared" si="35"/>
        <v>236.43373401534527</v>
      </c>
      <c r="CD39" s="94">
        <f t="shared" si="36"/>
        <v>2.4294988458245348E-2</v>
      </c>
      <c r="CE39" s="96">
        <f t="shared" si="37"/>
        <v>194.03900255754476</v>
      </c>
      <c r="CF39" s="97">
        <f t="shared" si="38"/>
        <v>1.526493199097205E-2</v>
      </c>
      <c r="CG39" s="98">
        <f t="shared" si="39"/>
        <v>121.91782608695652</v>
      </c>
      <c r="CH39" s="94">
        <f t="shared" si="40"/>
        <v>6.1318537634100084E-3</v>
      </c>
      <c r="CI39" s="95">
        <f t="shared" si="41"/>
        <v>48.97383631713555</v>
      </c>
      <c r="CJ39" s="99">
        <f t="shared" ref="CJ39:CJ69" si="90">(U39+V39+AZ39)/BN39</f>
        <v>0.67944711898847543</v>
      </c>
      <c r="CK39" s="97">
        <f t="shared" ref="CK39:CK69" si="91">(U39+V39+AZ39)/BH39</f>
        <v>0.58398715154823722</v>
      </c>
      <c r="CL39" s="97">
        <f t="shared" ref="CL39:CL69" si="92">(U39+V39+AZ39)/BI39</f>
        <v>0.54146393799757031</v>
      </c>
      <c r="CM39" s="98">
        <f t="shared" ref="CM39:CM69" si="93">(U39+V39+AZ39)/BM39</f>
        <v>4664.1835038363179</v>
      </c>
      <c r="CN39" s="94">
        <f t="shared" ref="CN39:CN69" si="94">W39/BN39</f>
        <v>0.27966440919459623</v>
      </c>
      <c r="CO39" s="100">
        <f t="shared" ref="CO39:CO69" si="95">W39/BH39</f>
        <v>0.24037252811979776</v>
      </c>
      <c r="CP39" s="100">
        <f t="shared" ref="CP39:CP69" si="96">W39/BI39</f>
        <v>0.22286972464569157</v>
      </c>
      <c r="CQ39" s="101">
        <f t="shared" ref="CQ39:CQ69" si="97">W39/BM39</f>
        <v>1919.8052173913043</v>
      </c>
      <c r="CR39" s="99">
        <f t="shared" ref="CR39:CR69" si="98">X39/BN39</f>
        <v>1.8449619741207873E-2</v>
      </c>
      <c r="CS39" s="97">
        <f t="shared" ref="CS39:CS69" si="99">X39/BH39</f>
        <v>1.5857512054589875E-2</v>
      </c>
      <c r="CT39" s="97">
        <f t="shared" ref="CT39:CT69" si="100">X39/BI39</f>
        <v>1.470284217924776E-2</v>
      </c>
      <c r="CU39" s="98">
        <f t="shared" ref="CU39:CU69" si="101">X39/BM39</f>
        <v>126.65063938618927</v>
      </c>
      <c r="CV39" s="94">
        <f t="shared" ref="CV39:CV69" si="102">Y39/BN39</f>
        <v>2.2095212055355085E-2</v>
      </c>
      <c r="CW39" s="100">
        <f t="shared" ref="CW39:CW69" si="103">Y39/BH39</f>
        <v>1.8990911272492937E-2</v>
      </c>
      <c r="CX39" s="100">
        <f t="shared" ref="CX39:CX69" si="104">Y39/BI39</f>
        <v>1.7608081918420612E-2</v>
      </c>
      <c r="CY39" s="95">
        <f t="shared" ref="CY39:CY69" si="105">Y39/BM39</f>
        <v>151.67644501278772</v>
      </c>
      <c r="CZ39" s="99">
        <f t="shared" ref="CZ39:CZ69" si="106">(U39+V39+W39+X39+Y39+Z39+AA39)/BN39</f>
        <v>0.96647247952958204</v>
      </c>
      <c r="DA39" s="97">
        <f t="shared" ref="DA39:DA69" si="107">(U39+V39+W39+X39+Y39+Z39+AA39)/BH39</f>
        <v>0.8306864428397347</v>
      </c>
      <c r="DB39" s="97">
        <f t="shared" ref="DB39:DB69" si="108">(U39+V39+W39+X39+Y39+Z39+AA39)/BI39</f>
        <v>0.77019974050583884</v>
      </c>
      <c r="DC39" s="98">
        <f t="shared" ref="DC39:DC69" si="109">(U39+V39+W39+X39+Y39+Z39+AA39)/BM39</f>
        <v>6634.5192583120215</v>
      </c>
      <c r="DD39" s="94">
        <f t="shared" ref="DD39:DD69" si="110">AF39/BN39</f>
        <v>6.5882493622116322E-3</v>
      </c>
      <c r="DE39" s="100">
        <f t="shared" ref="DE39:DE69" si="111">AF39/BI39</f>
        <v>5.2502974028117095E-3</v>
      </c>
      <c r="DF39" s="95">
        <f t="shared" ref="DF39:DF69" si="112">AF39/BM39</f>
        <v>45.226189258312019</v>
      </c>
      <c r="DG39" s="99">
        <f t="shared" ref="DG39:DG69" si="113">AI39/BI39</f>
        <v>4.1623344675461114E-3</v>
      </c>
      <c r="DH39" s="98">
        <f t="shared" ref="DH39:DH69" si="114">AI39/BM39</f>
        <v>35.854450127877236</v>
      </c>
      <c r="DI39" s="94">
        <f t="shared" ref="DI39:DI69" si="115">AJ39/BN39</f>
        <v>2.0581554439738452E-2</v>
      </c>
      <c r="DJ39" s="100">
        <f t="shared" ref="DJ39:DJ69" si="116">AJ39/BI39</f>
        <v>1.6401820252977158E-2</v>
      </c>
      <c r="DK39" s="95">
        <f t="shared" ref="DK39:DK69" si="117">AJ39/BM39</f>
        <v>141.28567774936062</v>
      </c>
      <c r="DL39" s="99">
        <f t="shared" ref="DL39:DL69" si="118">AL39/BN39</f>
        <v>3.6554466861263377E-3</v>
      </c>
      <c r="DM39" s="97">
        <f t="shared" ref="DM39:DM69" si="119">AL39/BI39</f>
        <v>2.9130928699157635E-3</v>
      </c>
      <c r="DN39" s="102">
        <f t="shared" ref="DN39:DN69" si="120">AL39/BM39</f>
        <v>25.093452685421997</v>
      </c>
      <c r="DO39" s="94">
        <f t="shared" ref="DO39:DO69" si="121">AM39/BN39</f>
        <v>4.1059326881045737E-2</v>
      </c>
      <c r="DP39" s="100">
        <f t="shared" ref="DP39:DP69" si="122">AM39/BH39</f>
        <v>3.529063363378037E-2</v>
      </c>
      <c r="DQ39" s="100">
        <f t="shared" ref="DQ39:DQ69" si="123">AM39/BI39</f>
        <v>3.2720934717684204E-2</v>
      </c>
      <c r="DR39" s="95">
        <f t="shared" ref="DR39:DR69" si="124">AM39/BM39</f>
        <v>281.85892583120204</v>
      </c>
      <c r="DS39" s="99">
        <f t="shared" ref="DS39:DS69" si="125">AV39/BN39</f>
        <v>7.3150251297289864E-3</v>
      </c>
      <c r="DT39" s="97">
        <f t="shared" ref="DT39:DT69" si="126">IFERROR(AV39/BI39,0)</f>
        <v>5.8294784135532211E-3</v>
      </c>
      <c r="DU39" s="98">
        <f t="shared" ref="DU39:DU69" si="127">AV39/BM39</f>
        <v>50.215268542199482</v>
      </c>
      <c r="DV39" s="94">
        <f t="shared" ref="DV39:DV69" si="128">IFERROR(BA39/BN39,0)</f>
        <v>1.8853794293110761E-2</v>
      </c>
      <c r="DW39" s="100">
        <f t="shared" ref="DW39:DW69" si="129">IFERROR(BA39/BI39,0)</f>
        <v>1.5024936332561042E-2</v>
      </c>
      <c r="DX39" s="95">
        <f t="shared" ref="DX39:DX69" si="130">BA39/BM39</f>
        <v>129.4251662404092</v>
      </c>
      <c r="DY39" s="99">
        <f t="shared" ref="DY39:DY69" si="131">AY39/BI39</f>
        <v>3.9740291592355981E-2</v>
      </c>
      <c r="DZ39" s="98">
        <f t="shared" ref="DZ39:DZ69" si="132">AY39/BM39</f>
        <v>342.32383631713554</v>
      </c>
      <c r="EA39" s="94">
        <f t="shared" si="14"/>
        <v>2.3807649138768823E-2</v>
      </c>
      <c r="EB39" s="95">
        <f t="shared" si="84"/>
        <v>205.07966751918158</v>
      </c>
      <c r="EC39" s="103">
        <f>IFERROR(VLOOKUP(A39,PP!$E$3:$S$130,14,0),0)</f>
        <v>79</v>
      </c>
    </row>
    <row r="40" spans="1:133">
      <c r="A40" s="26">
        <v>3304</v>
      </c>
      <c r="B40" s="125">
        <v>10073</v>
      </c>
      <c r="C40" s="26" t="s">
        <v>64</v>
      </c>
      <c r="D40" s="88">
        <f>IFERROR(_xlfn.XLOOKUP($A40,CFR20252026_BenchMarkDataReport!$B:$B,CFR20252026_BenchMarkDataReport!S:S),0)</f>
        <v>1346698.28</v>
      </c>
      <c r="E40" s="88">
        <f>IFERROR(_xlfn.XLOOKUP($A40,CFR20252026_BenchMarkDataReport!$B:$B,CFR20252026_BenchMarkDataReport!T:T),0)</f>
        <v>0</v>
      </c>
      <c r="F40" s="88">
        <f>IFERROR(_xlfn.XLOOKUP($A40,CFR20252026_BenchMarkDataReport!$B:$B,CFR20252026_BenchMarkDataReport!U:U),0)</f>
        <v>164679.45000000001</v>
      </c>
      <c r="G40" s="88">
        <f>IFERROR(_xlfn.XLOOKUP($A40,CFR20252026_BenchMarkDataReport!$B:$B,CFR20252026_BenchMarkDataReport!V:V),0)</f>
        <v>0</v>
      </c>
      <c r="H40" s="88">
        <f>IFERROR(_xlfn.XLOOKUP($A40,CFR20252026_BenchMarkDataReport!$B:$B,CFR20252026_BenchMarkDataReport!W:W),0)</f>
        <v>65145</v>
      </c>
      <c r="I40" s="88">
        <f>IFERROR(_xlfn.XLOOKUP($A40,CFR20252026_BenchMarkDataReport!$B:$B,CFR20252026_BenchMarkDataReport!X:X),0)</f>
        <v>41364.959999999999</v>
      </c>
      <c r="J40" s="88">
        <f>IFERROR(_xlfn.XLOOKUP($A40,CFR20252026_BenchMarkDataReport!$B:$B,CFR20252026_BenchMarkDataReport!Y:Y),0)</f>
        <v>45716.14</v>
      </c>
      <c r="K40" s="88">
        <f>IFERROR(_xlfn.XLOOKUP($A40,CFR20252026_BenchMarkDataReport!$B:$B,CFR20252026_BenchMarkDataReport!Z:Z),0)</f>
        <v>17091.5</v>
      </c>
      <c r="L40" s="88">
        <f>IFERROR(_xlfn.XLOOKUP($A40,CFR20252026_BenchMarkDataReport!$B:$B,CFR20252026_BenchMarkDataReport!AA:AA),0)</f>
        <v>39323</v>
      </c>
      <c r="M40" s="88">
        <f>IFERROR(_xlfn.XLOOKUP($A40,CFR20252026_BenchMarkDataReport!$B:$B,CFR20252026_BenchMarkDataReport!AB:AB),0)</f>
        <v>587.04</v>
      </c>
      <c r="N40" s="88">
        <f>IFERROR(_xlfn.XLOOKUP($A40,CFR20252026_BenchMarkDataReport!$B:$B,CFR20252026_BenchMarkDataReport!AC:AC),0)</f>
        <v>0</v>
      </c>
      <c r="O40" s="88">
        <f>IFERROR(_xlfn.XLOOKUP($A40,CFR20252026_BenchMarkDataReport!$B:$B,CFR20252026_BenchMarkDataReport!AD:AD),0)</f>
        <v>0</v>
      </c>
      <c r="P40" s="88">
        <f>IFERROR(_xlfn.XLOOKUP($A40,CFR20252026_BenchMarkDataReport!$B:$B,CFR20252026_BenchMarkDataReport!AE:AE),0)</f>
        <v>31926.51</v>
      </c>
      <c r="Q40" s="88">
        <f>IFERROR(_xlfn.XLOOKUP($A40,CFR20252026_BenchMarkDataReport!$B:$B,CFR20252026_BenchMarkDataReport!AF:AF),0)</f>
        <v>6997.18</v>
      </c>
      <c r="R40" s="88">
        <f>IFERROR(_xlfn.XLOOKUP($A40,CFR20252026_BenchMarkDataReport!$B:$B,CFR20252026_BenchMarkDataReport!AG:AG),0)</f>
        <v>0</v>
      </c>
      <c r="S40" s="88">
        <f>IFERROR(_xlfn.XLOOKUP($A40,CFR20252026_BenchMarkDataReport!$B:$B,CFR20252026_BenchMarkDataReport!AH:AH),0)</f>
        <v>0</v>
      </c>
      <c r="T40" s="88">
        <f>IFERROR(_xlfn.XLOOKUP($A40,CFR20252026_BenchMarkDataReport!$B:$B,CFR20252026_BenchMarkDataReport!AI:AI),0)</f>
        <v>0</v>
      </c>
      <c r="U40" s="88">
        <f>IFERROR(_xlfn.XLOOKUP($A40,CFR20252026_BenchMarkDataReport!$B:$B,CFR20252026_BenchMarkDataReport!AJ:AJ),0)</f>
        <v>769065.04</v>
      </c>
      <c r="V40" s="88">
        <f>IFERROR(_xlfn.XLOOKUP($A40,CFR20252026_BenchMarkDataReport!$B:$B,CFR20252026_BenchMarkDataReport!AK:AK),0)</f>
        <v>19056.009999999998</v>
      </c>
      <c r="W40" s="88">
        <f>IFERROR(_xlfn.XLOOKUP($A40,CFR20252026_BenchMarkDataReport!$B:$B,CFR20252026_BenchMarkDataReport!AL:AL),0)</f>
        <v>303958.71999999997</v>
      </c>
      <c r="X40" s="88">
        <f>IFERROR(_xlfn.XLOOKUP($A40,CFR20252026_BenchMarkDataReport!$B:$B,CFR20252026_BenchMarkDataReport!AM:AM),0)</f>
        <v>40741.81</v>
      </c>
      <c r="Y40" s="88">
        <f>IFERROR(_xlfn.XLOOKUP($A40,CFR20252026_BenchMarkDataReport!$B:$B,CFR20252026_BenchMarkDataReport!AN:AN),0)</f>
        <v>76669.62</v>
      </c>
      <c r="Z40" s="88">
        <f>IFERROR(_xlfn.XLOOKUP($A40,CFR20252026_BenchMarkDataReport!$B:$B,CFR20252026_BenchMarkDataReport!AO:AO),0)</f>
        <v>0</v>
      </c>
      <c r="AA40" s="88">
        <f>IFERROR(_xlfn.XLOOKUP($A40,CFR20252026_BenchMarkDataReport!$B:$B,CFR20252026_BenchMarkDataReport!AP:AP),0)</f>
        <v>41990.38</v>
      </c>
      <c r="AB40" s="88">
        <f>IFERROR(_xlfn.XLOOKUP($A40,CFR20252026_BenchMarkDataReport!$B:$B,CFR20252026_BenchMarkDataReport!AQ:AQ),0)</f>
        <v>69582.48</v>
      </c>
      <c r="AC40" s="88">
        <f>IFERROR(_xlfn.XLOOKUP($A40,CFR20252026_BenchMarkDataReport!$B:$B,CFR20252026_BenchMarkDataReport!AR:AR),0)</f>
        <v>6270.36</v>
      </c>
      <c r="AD40" s="88">
        <f>IFERROR(_xlfn.XLOOKUP($A40,CFR20252026_BenchMarkDataReport!$B:$B,CFR20252026_BenchMarkDataReport!AS:AS),0)</f>
        <v>323.19</v>
      </c>
      <c r="AE40" s="88">
        <f>IFERROR(_xlfn.XLOOKUP($A40,CFR20252026_BenchMarkDataReport!$B:$B,CFR20252026_BenchMarkDataReport!AT:AT),0)</f>
        <v>0</v>
      </c>
      <c r="AF40" s="88">
        <f>IFERROR(_xlfn.XLOOKUP($A40,CFR20252026_BenchMarkDataReport!$B:$B,CFR20252026_BenchMarkDataReport!AU:AU),0)</f>
        <v>11194.81</v>
      </c>
      <c r="AG40" s="88">
        <f>IFERROR(_xlfn.XLOOKUP($A40,CFR20252026_BenchMarkDataReport!$B:$B,CFR20252026_BenchMarkDataReport!AV:AV),0)</f>
        <v>544.28</v>
      </c>
      <c r="AH40" s="88">
        <f>IFERROR(_xlfn.XLOOKUP($A40,CFR20252026_BenchMarkDataReport!$B:$B,CFR20252026_BenchMarkDataReport!AW:AW),0)</f>
        <v>29083.46</v>
      </c>
      <c r="AI40" s="88">
        <f>IFERROR(_xlfn.XLOOKUP($A40,CFR20252026_BenchMarkDataReport!$B:$B,CFR20252026_BenchMarkDataReport!AX:AX),0)</f>
        <v>3761.03</v>
      </c>
      <c r="AJ40" s="88">
        <f>IFERROR(_xlfn.XLOOKUP($A40,CFR20252026_BenchMarkDataReport!$B:$B,CFR20252026_BenchMarkDataReport!AY:AY),0)</f>
        <v>24273.63</v>
      </c>
      <c r="AK40" s="88">
        <f>IFERROR(_xlfn.XLOOKUP($A40,CFR20252026_BenchMarkDataReport!$B:$B,CFR20252026_BenchMarkDataReport!AZ:AZ),0)</f>
        <v>4258.8</v>
      </c>
      <c r="AL40" s="88">
        <f>IFERROR(_xlfn.XLOOKUP($A40,CFR20252026_BenchMarkDataReport!$B:$B,CFR20252026_BenchMarkDataReport!BA:BA),0)</f>
        <v>18813.310000000001</v>
      </c>
      <c r="AM40" s="88">
        <f>IFERROR(_xlfn.XLOOKUP($A40,CFR20252026_BenchMarkDataReport!$B:$B,CFR20252026_BenchMarkDataReport!BB:BB),0)</f>
        <v>44642.89</v>
      </c>
      <c r="AN40" s="88">
        <f>IFERROR(_xlfn.XLOOKUP($A40,CFR20252026_BenchMarkDataReport!$B:$B,CFR20252026_BenchMarkDataReport!BC:BC),0)</f>
        <v>4368.75</v>
      </c>
      <c r="AO40" s="88">
        <f>IFERROR(_xlfn.XLOOKUP($A40,CFR20252026_BenchMarkDataReport!$B:$B,CFR20252026_BenchMarkDataReport!BD:BD),0)</f>
        <v>0</v>
      </c>
      <c r="AP40" s="88">
        <f>IFERROR(_xlfn.XLOOKUP($A40,CFR20252026_BenchMarkDataReport!$B:$B,CFR20252026_BenchMarkDataReport!BE:BE),0)</f>
        <v>0</v>
      </c>
      <c r="AQ40" s="88">
        <f>IFERROR(_xlfn.XLOOKUP($A40,CFR20252026_BenchMarkDataReport!$B:$B,CFR20252026_BenchMarkDataReport!BF:BF),0)</f>
        <v>4474.0200000000004</v>
      </c>
      <c r="AR40" s="88">
        <f>IFERROR(_xlfn.XLOOKUP($A40,CFR20252026_BenchMarkDataReport!$B:$B,CFR20252026_BenchMarkDataReport!BG:BG),0)</f>
        <v>394</v>
      </c>
      <c r="AS40" s="88">
        <f>IFERROR(_xlfn.XLOOKUP($A40,CFR20252026_BenchMarkDataReport!$B:$B,CFR20252026_BenchMarkDataReport!BH:BH),0)</f>
        <v>299.91000000000003</v>
      </c>
      <c r="AT40" s="88">
        <f>IFERROR(_xlfn.XLOOKUP($A40,CFR20252026_BenchMarkDataReport!$B:$B,CFR20252026_BenchMarkDataReport!BI:BI),0)</f>
        <v>6450</v>
      </c>
      <c r="AU40" s="88">
        <f>IFERROR(_xlfn.XLOOKUP($A40,CFR20252026_BenchMarkDataReport!$B:$B,CFR20252026_BenchMarkDataReport!BJ:BJ),0)</f>
        <v>0</v>
      </c>
      <c r="AV40" s="88">
        <f>IFERROR(_xlfn.XLOOKUP($A40,CFR20252026_BenchMarkDataReport!$B:$B,CFR20252026_BenchMarkDataReport!BK:BK),0)</f>
        <v>13565.12</v>
      </c>
      <c r="AW40" s="88">
        <f>IFERROR(_xlfn.XLOOKUP($A40,CFR20252026_BenchMarkDataReport!$B:$B,CFR20252026_BenchMarkDataReport!BL:BL),0)</f>
        <v>8347.32</v>
      </c>
      <c r="AX40" s="88">
        <f>IFERROR(_xlfn.XLOOKUP($A40,CFR20252026_BenchMarkDataReport!$B:$B,CFR20252026_BenchMarkDataReport!BM:BM),0)</f>
        <v>6432.22</v>
      </c>
      <c r="AY40" s="88">
        <f>IFERROR(_xlfn.XLOOKUP($A40,CFR20252026_BenchMarkDataReport!$B:$B,CFR20252026_BenchMarkDataReport!BN:BN),0)</f>
        <v>82617.61</v>
      </c>
      <c r="AZ40" s="88">
        <f>IFERROR(_xlfn.XLOOKUP($A40,CFR20252026_BenchMarkDataReport!$B:$B,CFR20252026_BenchMarkDataReport!BO:BO),0)</f>
        <v>59789.440000000002</v>
      </c>
      <c r="BA40" s="88">
        <f>IFERROR(_xlfn.XLOOKUP($A40,CFR20252026_BenchMarkDataReport!$B:$B,CFR20252026_BenchMarkDataReport!BP:BP),0)</f>
        <v>60503.88</v>
      </c>
      <c r="BB40" s="88">
        <f>IFERROR(_xlfn.XLOOKUP($A40,CFR20252026_BenchMarkDataReport!$B:$B,CFR20252026_BenchMarkDataReport!BQ:BQ),0)</f>
        <v>45525.86</v>
      </c>
      <c r="BC40" s="88">
        <f>IFERROR(_xlfn.XLOOKUP($A40,CFR20252026_BenchMarkDataReport!$B:$B,CFR20252026_BenchMarkDataReport!BR:BR),0)</f>
        <v>0</v>
      </c>
      <c r="BD40" s="88">
        <f>IFERROR(_xlfn.XLOOKUP($A40,CFR20252026_BenchMarkDataReport!$B:$B,CFR20252026_BenchMarkDataReport!BS:BS),0)</f>
        <v>0</v>
      </c>
      <c r="BE40" s="88">
        <f>IFERROR(_xlfn.XLOOKUP($A40,CFR20252026_BenchMarkDataReport!$B:$B,CFR20252026_BenchMarkDataReport!BT:BT),0)</f>
        <v>0</v>
      </c>
      <c r="BF40" s="88">
        <f>IFERROR(_xlfn.XLOOKUP($A40,CFR20252026_BenchMarkDataReport!$B:$B,CFR20252026_BenchMarkDataReport!BU:BU),0)</f>
        <v>0</v>
      </c>
      <c r="BG40" s="88">
        <f>IFERROR(_xlfn.XLOOKUP($A40,CFR20252026_BenchMarkDataReport!$B:$B,CFR20252026_BenchMarkDataReport!BV:BV),0)</f>
        <v>0</v>
      </c>
      <c r="BH40" s="89">
        <f t="shared" si="0"/>
        <v>1759529.0599999998</v>
      </c>
      <c r="BI40" s="90">
        <f t="shared" si="88"/>
        <v>1756997.9500000002</v>
      </c>
      <c r="BJ40" s="126">
        <f t="shared" si="89"/>
        <v>2531.1099999996368</v>
      </c>
      <c r="BK40" s="88">
        <f>IFERROR(_xlfn.XLOOKUP(A40,CFR20252026_BenchMarkDataReport!$B:$B,CFR20252026_BenchMarkDataReport!P:P)+_xlfn.XLOOKUP(A40,CFR20252026_BenchMarkDataReport!$B:$B,CFR20252026_BenchMarkDataReport!Q:Q),0)</f>
        <v>65096</v>
      </c>
      <c r="BL40" s="89">
        <f t="shared" si="1"/>
        <v>67627.109999999637</v>
      </c>
      <c r="BM40" s="91">
        <f>SUMIFS(PP!I:I,PP!E:E,A40)</f>
        <v>189</v>
      </c>
      <c r="BN40" s="90">
        <f t="shared" si="21"/>
        <v>1511377.73</v>
      </c>
      <c r="BO40" t="s">
        <v>173</v>
      </c>
      <c r="BP40" s="92">
        <f t="shared" si="22"/>
        <v>0.76537427577354145</v>
      </c>
      <c r="BQ40" s="93">
        <f t="shared" si="23"/>
        <v>7125.3877248677254</v>
      </c>
      <c r="BR40" s="94">
        <f t="shared" si="24"/>
        <v>0</v>
      </c>
      <c r="BS40" s="95">
        <f t="shared" si="25"/>
        <v>0</v>
      </c>
      <c r="BT40" s="92">
        <f t="shared" si="26"/>
        <v>9.3592912867264622E-2</v>
      </c>
      <c r="BU40" s="93">
        <f t="shared" si="27"/>
        <v>871.31984126984128</v>
      </c>
      <c r="BV40" s="94">
        <f t="shared" si="28"/>
        <v>0</v>
      </c>
      <c r="BW40" s="95">
        <f t="shared" si="29"/>
        <v>0</v>
      </c>
      <c r="BX40" s="92">
        <f t="shared" si="30"/>
        <v>3.7024111440364618E-2</v>
      </c>
      <c r="BY40" s="93">
        <f t="shared" si="31"/>
        <v>344.6825396825397</v>
      </c>
      <c r="BZ40" s="94">
        <f t="shared" si="32"/>
        <v>2.3509108738448459E-2</v>
      </c>
      <c r="CA40" s="95">
        <f t="shared" si="33"/>
        <v>218.86222222222221</v>
      </c>
      <c r="CB40" s="92">
        <f t="shared" si="34"/>
        <v>2.5982031805715105E-2</v>
      </c>
      <c r="CC40" s="93">
        <f t="shared" si="35"/>
        <v>241.88433862433862</v>
      </c>
      <c r="CD40" s="94">
        <f t="shared" si="36"/>
        <v>3.2062272390090567E-2</v>
      </c>
      <c r="CE40" s="96">
        <f t="shared" si="37"/>
        <v>298.48941798941797</v>
      </c>
      <c r="CF40" s="97">
        <f t="shared" si="38"/>
        <v>1.814491770883284E-2</v>
      </c>
      <c r="CG40" s="98">
        <f t="shared" si="39"/>
        <v>168.92333333333332</v>
      </c>
      <c r="CH40" s="94">
        <f t="shared" si="40"/>
        <v>3.9767345473680328E-3</v>
      </c>
      <c r="CI40" s="95">
        <f t="shared" si="41"/>
        <v>37.022116402116403</v>
      </c>
      <c r="CJ40" s="99">
        <f t="shared" si="90"/>
        <v>0.5610182505468041</v>
      </c>
      <c r="CK40" s="97">
        <f t="shared" si="91"/>
        <v>0.48189626944837166</v>
      </c>
      <c r="CL40" s="97">
        <f t="shared" si="92"/>
        <v>0.48259048338673355</v>
      </c>
      <c r="CM40" s="98">
        <f t="shared" si="93"/>
        <v>4486.2988888888885</v>
      </c>
      <c r="CN40" s="94">
        <f t="shared" si="94"/>
        <v>0.20111366865250818</v>
      </c>
      <c r="CO40" s="100">
        <f t="shared" si="95"/>
        <v>0.17275004255968357</v>
      </c>
      <c r="CP40" s="100">
        <f t="shared" si="96"/>
        <v>0.17299890418198835</v>
      </c>
      <c r="CQ40" s="101">
        <f t="shared" si="97"/>
        <v>1608.2471957671955</v>
      </c>
      <c r="CR40" s="99">
        <f t="shared" si="98"/>
        <v>2.6956735693068602E-2</v>
      </c>
      <c r="CS40" s="97">
        <f t="shared" si="99"/>
        <v>2.3154951473208406E-2</v>
      </c>
      <c r="CT40" s="97">
        <f t="shared" si="100"/>
        <v>2.3188308216295864E-2</v>
      </c>
      <c r="CU40" s="98">
        <f t="shared" si="101"/>
        <v>215.56513227513227</v>
      </c>
      <c r="CV40" s="94">
        <f t="shared" si="102"/>
        <v>5.0728298080718708E-2</v>
      </c>
      <c r="CW40" s="100">
        <f t="shared" si="103"/>
        <v>4.3573943586927746E-2</v>
      </c>
      <c r="CX40" s="100">
        <f t="shared" si="104"/>
        <v>4.3636715683134396E-2</v>
      </c>
      <c r="CY40" s="95">
        <f t="shared" si="105"/>
        <v>405.65936507936505</v>
      </c>
      <c r="CZ40" s="99">
        <f t="shared" si="106"/>
        <v>0.82804024113813035</v>
      </c>
      <c r="DA40" s="97">
        <f t="shared" si="107"/>
        <v>0.71125939801187499</v>
      </c>
      <c r="DB40" s="97">
        <f t="shared" si="108"/>
        <v>0.71228402969963622</v>
      </c>
      <c r="DC40" s="98">
        <f t="shared" si="109"/>
        <v>6621.5956613756616</v>
      </c>
      <c r="DD40" s="94">
        <f t="shared" si="110"/>
        <v>7.4070232594997936E-3</v>
      </c>
      <c r="DE40" s="100">
        <f t="shared" si="111"/>
        <v>6.3715555274267673E-3</v>
      </c>
      <c r="DF40" s="95">
        <f t="shared" si="112"/>
        <v>59.231798941798942</v>
      </c>
      <c r="DG40" s="99">
        <f t="shared" si="113"/>
        <v>2.140600107131599E-3</v>
      </c>
      <c r="DH40" s="98">
        <f t="shared" si="114"/>
        <v>19.899629629629629</v>
      </c>
      <c r="DI40" s="94">
        <f t="shared" si="115"/>
        <v>1.6060597902286148E-2</v>
      </c>
      <c r="DJ40" s="100">
        <f t="shared" si="116"/>
        <v>1.3815400296852935E-2</v>
      </c>
      <c r="DK40" s="95">
        <f t="shared" si="117"/>
        <v>128.43190476190478</v>
      </c>
      <c r="DL40" s="99">
        <f t="shared" si="118"/>
        <v>1.2447788283872623E-2</v>
      </c>
      <c r="DM40" s="97">
        <f t="shared" si="119"/>
        <v>1.0707644821099534E-2</v>
      </c>
      <c r="DN40" s="102">
        <f t="shared" si="120"/>
        <v>99.541322751322753</v>
      </c>
      <c r="DO40" s="94">
        <f t="shared" si="121"/>
        <v>2.9537877337917372E-2</v>
      </c>
      <c r="DP40" s="100">
        <f t="shared" si="122"/>
        <v>2.537206745536786E-2</v>
      </c>
      <c r="DQ40" s="100">
        <f t="shared" si="123"/>
        <v>2.5408618148928402E-2</v>
      </c>
      <c r="DR40" s="95">
        <f t="shared" si="124"/>
        <v>236.20576719576718</v>
      </c>
      <c r="DS40" s="99">
        <f t="shared" si="125"/>
        <v>8.9753340483586467E-3</v>
      </c>
      <c r="DT40" s="97">
        <f t="shared" si="126"/>
        <v>7.7206236922473352E-3</v>
      </c>
      <c r="DU40" s="98">
        <f t="shared" si="127"/>
        <v>71.773121693121695</v>
      </c>
      <c r="DV40" s="94">
        <f t="shared" si="128"/>
        <v>4.0032269100590753E-2</v>
      </c>
      <c r="DW40" s="100">
        <f t="shared" si="129"/>
        <v>3.4435942284394803E-2</v>
      </c>
      <c r="DX40" s="95">
        <f t="shared" si="130"/>
        <v>320.12634920634918</v>
      </c>
      <c r="DY40" s="99">
        <f t="shared" si="131"/>
        <v>4.7022029820808837E-2</v>
      </c>
      <c r="DZ40" s="98">
        <f t="shared" si="132"/>
        <v>437.13021164021166</v>
      </c>
      <c r="EA40" s="94">
        <f t="shared" si="14"/>
        <v>1.6552927679853009E-2</v>
      </c>
      <c r="EB40" s="95">
        <f t="shared" si="84"/>
        <v>153.88074074074075</v>
      </c>
      <c r="EC40" s="103">
        <f>IFERROR(VLOOKUP(A40,PP!$E$3:$S$130,14,0),0)</f>
        <v>43</v>
      </c>
    </row>
    <row r="41" spans="1:133">
      <c r="A41" s="26">
        <v>2036</v>
      </c>
      <c r="B41" s="125">
        <v>10074</v>
      </c>
      <c r="C41" s="26" t="s">
        <v>65</v>
      </c>
      <c r="D41" s="88">
        <f>IFERROR(_xlfn.XLOOKUP($A41,CFR20252026_BenchMarkDataReport!$B:$B,CFR20252026_BenchMarkDataReport!S:S),0)</f>
        <v>1957801.46</v>
      </c>
      <c r="E41" s="88">
        <f>IFERROR(_xlfn.XLOOKUP($A41,CFR20252026_BenchMarkDataReport!$B:$B,CFR20252026_BenchMarkDataReport!T:T),0)</f>
        <v>0</v>
      </c>
      <c r="F41" s="88">
        <f>IFERROR(_xlfn.XLOOKUP($A41,CFR20252026_BenchMarkDataReport!$B:$B,CFR20252026_BenchMarkDataReport!U:U),0)</f>
        <v>478273.53</v>
      </c>
      <c r="G41" s="88">
        <f>IFERROR(_xlfn.XLOOKUP($A41,CFR20252026_BenchMarkDataReport!$B:$B,CFR20252026_BenchMarkDataReport!V:V),0)</f>
        <v>0</v>
      </c>
      <c r="H41" s="88">
        <f>IFERROR(_xlfn.XLOOKUP($A41,CFR20252026_BenchMarkDataReport!$B:$B,CFR20252026_BenchMarkDataReport!W:W),0)</f>
        <v>102037</v>
      </c>
      <c r="I41" s="88">
        <f>IFERROR(_xlfn.XLOOKUP($A41,CFR20252026_BenchMarkDataReport!$B:$B,CFR20252026_BenchMarkDataReport!X:X),0)</f>
        <v>24049.47</v>
      </c>
      <c r="J41" s="88">
        <f>IFERROR(_xlfn.XLOOKUP($A41,CFR20252026_BenchMarkDataReport!$B:$B,CFR20252026_BenchMarkDataReport!Y:Y),0)</f>
        <v>39244.28</v>
      </c>
      <c r="K41" s="88">
        <f>IFERROR(_xlfn.XLOOKUP($A41,CFR20252026_BenchMarkDataReport!$B:$B,CFR20252026_BenchMarkDataReport!Z:Z),0)</f>
        <v>7512</v>
      </c>
      <c r="L41" s="88">
        <f>IFERROR(_xlfn.XLOOKUP($A41,CFR20252026_BenchMarkDataReport!$B:$B,CFR20252026_BenchMarkDataReport!AA:AA),0)</f>
        <v>92012.01</v>
      </c>
      <c r="M41" s="88">
        <f>IFERROR(_xlfn.XLOOKUP($A41,CFR20252026_BenchMarkDataReport!$B:$B,CFR20252026_BenchMarkDataReport!AB:AB),0)</f>
        <v>643.95000000000005</v>
      </c>
      <c r="N41" s="88">
        <f>IFERROR(_xlfn.XLOOKUP($A41,CFR20252026_BenchMarkDataReport!$B:$B,CFR20252026_BenchMarkDataReport!AC:AC),0)</f>
        <v>0</v>
      </c>
      <c r="O41" s="88">
        <f>IFERROR(_xlfn.XLOOKUP($A41,CFR20252026_BenchMarkDataReport!$B:$B,CFR20252026_BenchMarkDataReport!AD:AD),0)</f>
        <v>0</v>
      </c>
      <c r="P41" s="88">
        <f>IFERROR(_xlfn.XLOOKUP($A41,CFR20252026_BenchMarkDataReport!$B:$B,CFR20252026_BenchMarkDataReport!AE:AE),0)</f>
        <v>45011.9</v>
      </c>
      <c r="Q41" s="88">
        <f>IFERROR(_xlfn.XLOOKUP($A41,CFR20252026_BenchMarkDataReport!$B:$B,CFR20252026_BenchMarkDataReport!AF:AF),0)</f>
        <v>3936.53</v>
      </c>
      <c r="R41" s="88">
        <f>IFERROR(_xlfn.XLOOKUP($A41,CFR20252026_BenchMarkDataReport!$B:$B,CFR20252026_BenchMarkDataReport!AG:AG),0)</f>
        <v>0</v>
      </c>
      <c r="S41" s="88">
        <f>IFERROR(_xlfn.XLOOKUP($A41,CFR20252026_BenchMarkDataReport!$B:$B,CFR20252026_BenchMarkDataReport!AH:AH),0)</f>
        <v>0</v>
      </c>
      <c r="T41" s="88">
        <f>IFERROR(_xlfn.XLOOKUP($A41,CFR20252026_BenchMarkDataReport!$B:$B,CFR20252026_BenchMarkDataReport!AI:AI),0)</f>
        <v>0</v>
      </c>
      <c r="U41" s="88">
        <f>IFERROR(_xlfn.XLOOKUP($A41,CFR20252026_BenchMarkDataReport!$B:$B,CFR20252026_BenchMarkDataReport!AJ:AJ),0)</f>
        <v>1240595.82</v>
      </c>
      <c r="V41" s="88">
        <f>IFERROR(_xlfn.XLOOKUP($A41,CFR20252026_BenchMarkDataReport!$B:$B,CFR20252026_BenchMarkDataReport!AK:AK),0)</f>
        <v>0</v>
      </c>
      <c r="W41" s="88">
        <f>IFERROR(_xlfn.XLOOKUP($A41,CFR20252026_BenchMarkDataReport!$B:$B,CFR20252026_BenchMarkDataReport!AL:AL),0)</f>
        <v>677710.76</v>
      </c>
      <c r="X41" s="88">
        <f>IFERROR(_xlfn.XLOOKUP($A41,CFR20252026_BenchMarkDataReport!$B:$B,CFR20252026_BenchMarkDataReport!AM:AM),0)</f>
        <v>100163.96</v>
      </c>
      <c r="Y41" s="88">
        <f>IFERROR(_xlfn.XLOOKUP($A41,CFR20252026_BenchMarkDataReport!$B:$B,CFR20252026_BenchMarkDataReport!AN:AN),0)</f>
        <v>91949.53</v>
      </c>
      <c r="Z41" s="88">
        <f>IFERROR(_xlfn.XLOOKUP($A41,CFR20252026_BenchMarkDataReport!$B:$B,CFR20252026_BenchMarkDataReport!AO:AO),0)</f>
        <v>0</v>
      </c>
      <c r="AA41" s="88">
        <f>IFERROR(_xlfn.XLOOKUP($A41,CFR20252026_BenchMarkDataReport!$B:$B,CFR20252026_BenchMarkDataReport!AP:AP),0)</f>
        <v>70339.350000000006</v>
      </c>
      <c r="AB41" s="88">
        <f>IFERROR(_xlfn.XLOOKUP($A41,CFR20252026_BenchMarkDataReport!$B:$B,CFR20252026_BenchMarkDataReport!AQ:AQ),0)</f>
        <v>13445.53</v>
      </c>
      <c r="AC41" s="88">
        <f>IFERROR(_xlfn.XLOOKUP($A41,CFR20252026_BenchMarkDataReport!$B:$B,CFR20252026_BenchMarkDataReport!AR:AR),0)</f>
        <v>3642.78</v>
      </c>
      <c r="AD41" s="88">
        <f>IFERROR(_xlfn.XLOOKUP($A41,CFR20252026_BenchMarkDataReport!$B:$B,CFR20252026_BenchMarkDataReport!AS:AS),0)</f>
        <v>359.1</v>
      </c>
      <c r="AE41" s="88">
        <f>IFERROR(_xlfn.XLOOKUP($A41,CFR20252026_BenchMarkDataReport!$B:$B,CFR20252026_BenchMarkDataReport!AT:AT),0)</f>
        <v>0</v>
      </c>
      <c r="AF41" s="88">
        <f>IFERROR(_xlfn.XLOOKUP($A41,CFR20252026_BenchMarkDataReport!$B:$B,CFR20252026_BenchMarkDataReport!AU:AU),0)</f>
        <v>26456.82</v>
      </c>
      <c r="AG41" s="88">
        <f>IFERROR(_xlfn.XLOOKUP($A41,CFR20252026_BenchMarkDataReport!$B:$B,CFR20252026_BenchMarkDataReport!AV:AV),0)</f>
        <v>12835.3</v>
      </c>
      <c r="AH41" s="88">
        <f>IFERROR(_xlfn.XLOOKUP($A41,CFR20252026_BenchMarkDataReport!$B:$B,CFR20252026_BenchMarkDataReport!AW:AW),0)</f>
        <v>6693.33</v>
      </c>
      <c r="AI41" s="88">
        <f>IFERROR(_xlfn.XLOOKUP($A41,CFR20252026_BenchMarkDataReport!$B:$B,CFR20252026_BenchMarkDataReport!AX:AX),0)</f>
        <v>3509.82</v>
      </c>
      <c r="AJ41" s="88">
        <f>IFERROR(_xlfn.XLOOKUP($A41,CFR20252026_BenchMarkDataReport!$B:$B,CFR20252026_BenchMarkDataReport!AY:AY),0)</f>
        <v>33683.97</v>
      </c>
      <c r="AK41" s="88">
        <f>IFERROR(_xlfn.XLOOKUP($A41,CFR20252026_BenchMarkDataReport!$B:$B,CFR20252026_BenchMarkDataReport!AZ:AZ),0)</f>
        <v>29538.33</v>
      </c>
      <c r="AL41" s="88">
        <f>IFERROR(_xlfn.XLOOKUP($A41,CFR20252026_BenchMarkDataReport!$B:$B,CFR20252026_BenchMarkDataReport!BA:BA),0)</f>
        <v>17517.150000000001</v>
      </c>
      <c r="AM41" s="88">
        <f>IFERROR(_xlfn.XLOOKUP($A41,CFR20252026_BenchMarkDataReport!$B:$B,CFR20252026_BenchMarkDataReport!BB:BB),0)</f>
        <v>55805.98</v>
      </c>
      <c r="AN41" s="88">
        <f>IFERROR(_xlfn.XLOOKUP($A41,CFR20252026_BenchMarkDataReport!$B:$B,CFR20252026_BenchMarkDataReport!BC:BC),0)</f>
        <v>4587.34</v>
      </c>
      <c r="AO41" s="88">
        <f>IFERROR(_xlfn.XLOOKUP($A41,CFR20252026_BenchMarkDataReport!$B:$B,CFR20252026_BenchMarkDataReport!BD:BD),0)</f>
        <v>0</v>
      </c>
      <c r="AP41" s="88">
        <f>IFERROR(_xlfn.XLOOKUP($A41,CFR20252026_BenchMarkDataReport!$B:$B,CFR20252026_BenchMarkDataReport!BE:BE),0)</f>
        <v>7169.39</v>
      </c>
      <c r="AQ41" s="88">
        <f>IFERROR(_xlfn.XLOOKUP($A41,CFR20252026_BenchMarkDataReport!$B:$B,CFR20252026_BenchMarkDataReport!BF:BF),0)</f>
        <v>0</v>
      </c>
      <c r="AR41" s="88">
        <f>IFERROR(_xlfn.XLOOKUP($A41,CFR20252026_BenchMarkDataReport!$B:$B,CFR20252026_BenchMarkDataReport!BG:BG),0)</f>
        <v>0</v>
      </c>
      <c r="AS41" s="88">
        <f>IFERROR(_xlfn.XLOOKUP($A41,CFR20252026_BenchMarkDataReport!$B:$B,CFR20252026_BenchMarkDataReport!BH:BH),0)</f>
        <v>2202.6</v>
      </c>
      <c r="AT41" s="88">
        <f>IFERROR(_xlfn.XLOOKUP($A41,CFR20252026_BenchMarkDataReport!$B:$B,CFR20252026_BenchMarkDataReport!BI:BI),0)</f>
        <v>12608.02</v>
      </c>
      <c r="AU41" s="88">
        <f>IFERROR(_xlfn.XLOOKUP($A41,CFR20252026_BenchMarkDataReport!$B:$B,CFR20252026_BenchMarkDataReport!BJ:BJ),0)</f>
        <v>0</v>
      </c>
      <c r="AV41" s="88">
        <f>IFERROR(_xlfn.XLOOKUP($A41,CFR20252026_BenchMarkDataReport!$B:$B,CFR20252026_BenchMarkDataReport!BK:BK),0)</f>
        <v>18554.39</v>
      </c>
      <c r="AW41" s="88">
        <f>IFERROR(_xlfn.XLOOKUP($A41,CFR20252026_BenchMarkDataReport!$B:$B,CFR20252026_BenchMarkDataReport!BL:BL),0)</f>
        <v>13234.39</v>
      </c>
      <c r="AX41" s="88">
        <f>IFERROR(_xlfn.XLOOKUP($A41,CFR20252026_BenchMarkDataReport!$B:$B,CFR20252026_BenchMarkDataReport!BM:BM),0)</f>
        <v>9496.89</v>
      </c>
      <c r="AY41" s="88">
        <f>IFERROR(_xlfn.XLOOKUP($A41,CFR20252026_BenchMarkDataReport!$B:$B,CFR20252026_BenchMarkDataReport!BN:BN),0)</f>
        <v>95138.36</v>
      </c>
      <c r="AZ41" s="88">
        <f>IFERROR(_xlfn.XLOOKUP($A41,CFR20252026_BenchMarkDataReport!$B:$B,CFR20252026_BenchMarkDataReport!BO:BO),0)</f>
        <v>0</v>
      </c>
      <c r="BA41" s="88">
        <f>IFERROR(_xlfn.XLOOKUP($A41,CFR20252026_BenchMarkDataReport!$B:$B,CFR20252026_BenchMarkDataReport!BP:BP),0)</f>
        <v>141427.22</v>
      </c>
      <c r="BB41" s="88">
        <f>IFERROR(_xlfn.XLOOKUP($A41,CFR20252026_BenchMarkDataReport!$B:$B,CFR20252026_BenchMarkDataReport!BQ:BQ),0)</f>
        <v>45623</v>
      </c>
      <c r="BC41" s="88">
        <f>IFERROR(_xlfn.XLOOKUP($A41,CFR20252026_BenchMarkDataReport!$B:$B,CFR20252026_BenchMarkDataReport!BR:BR),0)</f>
        <v>0</v>
      </c>
      <c r="BD41" s="88">
        <f>IFERROR(_xlfn.XLOOKUP($A41,CFR20252026_BenchMarkDataReport!$B:$B,CFR20252026_BenchMarkDataReport!BS:BS),0)</f>
        <v>0</v>
      </c>
      <c r="BE41" s="88">
        <f>IFERROR(_xlfn.XLOOKUP($A41,CFR20252026_BenchMarkDataReport!$B:$B,CFR20252026_BenchMarkDataReport!BT:BT),0)</f>
        <v>0</v>
      </c>
      <c r="BF41" s="88">
        <f>IFERROR(_xlfn.XLOOKUP($A41,CFR20252026_BenchMarkDataReport!$B:$B,CFR20252026_BenchMarkDataReport!BU:BU),0)</f>
        <v>0</v>
      </c>
      <c r="BG41" s="88">
        <f>IFERROR(_xlfn.XLOOKUP($A41,CFR20252026_BenchMarkDataReport!$B:$B,CFR20252026_BenchMarkDataReport!BV:BV),0)</f>
        <v>0</v>
      </c>
      <c r="BH41" s="89">
        <f t="shared" si="0"/>
        <v>2750522.13</v>
      </c>
      <c r="BI41" s="90">
        <f t="shared" si="88"/>
        <v>2734289.13</v>
      </c>
      <c r="BJ41" s="126">
        <f t="shared" si="89"/>
        <v>16233</v>
      </c>
      <c r="BK41" s="88">
        <f>IFERROR(_xlfn.XLOOKUP(A41,CFR20252026_BenchMarkDataReport!$B:$B,CFR20252026_BenchMarkDataReport!P:P)+_xlfn.XLOOKUP(A41,CFR20252026_BenchMarkDataReport!$B:$B,CFR20252026_BenchMarkDataReport!Q:Q),0)</f>
        <v>813887</v>
      </c>
      <c r="BL41" s="89">
        <f t="shared" si="1"/>
        <v>830120</v>
      </c>
      <c r="BM41" s="91">
        <f>SUMIFS(PP!I:I,PP!E:E,A41)</f>
        <v>210</v>
      </c>
      <c r="BN41" s="90">
        <f t="shared" ref="BN41:BN72" si="133">D41+E41+F41</f>
        <v>2436074.9900000002</v>
      </c>
      <c r="BO41" t="s">
        <v>173</v>
      </c>
      <c r="BP41" s="92">
        <f t="shared" si="22"/>
        <v>0.71179265879965858</v>
      </c>
      <c r="BQ41" s="93">
        <f t="shared" si="23"/>
        <v>9322.8640952380956</v>
      </c>
      <c r="BR41" s="94">
        <f t="shared" si="24"/>
        <v>0</v>
      </c>
      <c r="BS41" s="95">
        <f t="shared" si="25"/>
        <v>0</v>
      </c>
      <c r="BT41" s="92">
        <f t="shared" si="26"/>
        <v>0.17388463258792253</v>
      </c>
      <c r="BU41" s="93">
        <f t="shared" si="27"/>
        <v>2277.4929999999999</v>
      </c>
      <c r="BV41" s="94">
        <f t="shared" si="28"/>
        <v>0</v>
      </c>
      <c r="BW41" s="95">
        <f t="shared" si="29"/>
        <v>0</v>
      </c>
      <c r="BX41" s="92">
        <f t="shared" si="30"/>
        <v>3.7097320136813446E-2</v>
      </c>
      <c r="BY41" s="93">
        <f t="shared" si="31"/>
        <v>485.89047619047619</v>
      </c>
      <c r="BZ41" s="94">
        <f t="shared" si="32"/>
        <v>8.7436017102687346E-3</v>
      </c>
      <c r="CA41" s="95">
        <f t="shared" si="33"/>
        <v>114.52128571428572</v>
      </c>
      <c r="CB41" s="92">
        <f t="shared" si="34"/>
        <v>1.4267938284139529E-2</v>
      </c>
      <c r="CC41" s="93">
        <f t="shared" si="35"/>
        <v>186.87752380952381</v>
      </c>
      <c r="CD41" s="94">
        <f t="shared" si="36"/>
        <v>3.6183679060237194E-2</v>
      </c>
      <c r="CE41" s="96">
        <f t="shared" si="37"/>
        <v>473.92385714285712</v>
      </c>
      <c r="CF41" s="97">
        <f t="shared" si="38"/>
        <v>1.6364856515442762E-2</v>
      </c>
      <c r="CG41" s="98">
        <f t="shared" si="39"/>
        <v>214.34238095238095</v>
      </c>
      <c r="CH41" s="94">
        <f t="shared" si="40"/>
        <v>1.4311937202992075E-3</v>
      </c>
      <c r="CI41" s="95">
        <f t="shared" si="41"/>
        <v>18.745380952380952</v>
      </c>
      <c r="CJ41" s="99">
        <f t="shared" si="90"/>
        <v>0.50926011107728664</v>
      </c>
      <c r="CK41" s="97">
        <f t="shared" si="91"/>
        <v>0.45104011579066994</v>
      </c>
      <c r="CL41" s="97">
        <f t="shared" si="92"/>
        <v>0.45371786267533459</v>
      </c>
      <c r="CM41" s="98">
        <f t="shared" si="93"/>
        <v>5907.5991428571433</v>
      </c>
      <c r="CN41" s="94">
        <f t="shared" si="94"/>
        <v>0.27819782345862842</v>
      </c>
      <c r="CO41" s="100">
        <f t="shared" si="95"/>
        <v>0.24639349475075847</v>
      </c>
      <c r="CP41" s="100">
        <f t="shared" si="96"/>
        <v>0.24785629016489563</v>
      </c>
      <c r="CQ41" s="101">
        <f t="shared" si="97"/>
        <v>3227.1940952380951</v>
      </c>
      <c r="CR41" s="99">
        <f t="shared" si="98"/>
        <v>4.1116944433635845E-2</v>
      </c>
      <c r="CS41" s="97">
        <f t="shared" si="99"/>
        <v>3.6416343976116275E-2</v>
      </c>
      <c r="CT41" s="97">
        <f t="shared" si="100"/>
        <v>3.6632541489860664E-2</v>
      </c>
      <c r="CU41" s="98">
        <f t="shared" si="101"/>
        <v>476.97123809523811</v>
      </c>
      <c r="CV41" s="94">
        <f t="shared" si="102"/>
        <v>3.7744950536190182E-2</v>
      </c>
      <c r="CW41" s="100">
        <f t="shared" si="103"/>
        <v>3.3429845554451151E-2</v>
      </c>
      <c r="CX41" s="100">
        <f t="shared" si="104"/>
        <v>3.3628312745404509E-2</v>
      </c>
      <c r="CY41" s="95">
        <f t="shared" si="105"/>
        <v>437.85490476190478</v>
      </c>
      <c r="CZ41" s="99">
        <f t="shared" si="106"/>
        <v>0.89519387906855841</v>
      </c>
      <c r="DA41" s="97">
        <f t="shared" si="107"/>
        <v>0.79285289008018267</v>
      </c>
      <c r="DB41" s="97">
        <f t="shared" si="108"/>
        <v>0.79755992008058052</v>
      </c>
      <c r="DC41" s="98">
        <f t="shared" si="109"/>
        <v>10384.568666666666</v>
      </c>
      <c r="DD41" s="94">
        <f t="shared" si="110"/>
        <v>1.0860429218560303E-2</v>
      </c>
      <c r="DE41" s="100">
        <f t="shared" si="111"/>
        <v>9.6759408907133391E-3</v>
      </c>
      <c r="DF41" s="95">
        <f t="shared" si="112"/>
        <v>125.98485714285714</v>
      </c>
      <c r="DG41" s="99">
        <f t="shared" si="113"/>
        <v>1.2836316253065747E-3</v>
      </c>
      <c r="DH41" s="98">
        <f t="shared" si="114"/>
        <v>16.713428571428572</v>
      </c>
      <c r="DI41" s="94">
        <f t="shared" si="115"/>
        <v>1.3827148235695322E-2</v>
      </c>
      <c r="DJ41" s="100">
        <f t="shared" si="116"/>
        <v>1.2319095896051053E-2</v>
      </c>
      <c r="DK41" s="95">
        <f t="shared" si="117"/>
        <v>160.39985714285714</v>
      </c>
      <c r="DL41" s="99">
        <f t="shared" si="118"/>
        <v>7.1907269160051595E-3</v>
      </c>
      <c r="DM41" s="97">
        <f t="shared" si="119"/>
        <v>6.4064731881518329E-3</v>
      </c>
      <c r="DN41" s="102">
        <f t="shared" si="120"/>
        <v>83.415000000000006</v>
      </c>
      <c r="DO41" s="94">
        <f t="shared" si="121"/>
        <v>2.2908153578638398E-2</v>
      </c>
      <c r="DP41" s="100">
        <f t="shared" si="122"/>
        <v>2.028923141221918E-2</v>
      </c>
      <c r="DQ41" s="100">
        <f t="shared" si="123"/>
        <v>2.0409685057702732E-2</v>
      </c>
      <c r="DR41" s="95">
        <f t="shared" si="124"/>
        <v>265.74276190476189</v>
      </c>
      <c r="DS41" s="99">
        <f t="shared" si="125"/>
        <v>7.6165101961824244E-3</v>
      </c>
      <c r="DT41" s="97">
        <f t="shared" si="126"/>
        <v>6.7858185867856633E-3</v>
      </c>
      <c r="DU41" s="98">
        <f t="shared" si="127"/>
        <v>88.354238095238088</v>
      </c>
      <c r="DV41" s="94">
        <f t="shared" si="128"/>
        <v>5.8055363886807106E-2</v>
      </c>
      <c r="DW41" s="100">
        <f t="shared" si="129"/>
        <v>5.1723579064222813E-2</v>
      </c>
      <c r="DX41" s="95">
        <f t="shared" si="130"/>
        <v>673.4629523809524</v>
      </c>
      <c r="DY41" s="99">
        <f t="shared" si="131"/>
        <v>3.4794550055501999E-2</v>
      </c>
      <c r="DZ41" s="98">
        <f t="shared" si="132"/>
        <v>453.03980952380954</v>
      </c>
      <c r="EA41" s="94">
        <f t="shared" si="14"/>
        <v>2.4479232743027436E-3</v>
      </c>
      <c r="EB41" s="95">
        <f t="shared" si="84"/>
        <v>31.873000000000001</v>
      </c>
      <c r="EC41" s="103">
        <f>IFERROR(VLOOKUP(A41,PP!$E$3:$S$130,14,0),0)</f>
        <v>65</v>
      </c>
    </row>
    <row r="42" spans="1:133">
      <c r="A42" s="26">
        <v>2037</v>
      </c>
      <c r="B42" s="125">
        <v>10075</v>
      </c>
      <c r="C42" s="26" t="s">
        <v>66</v>
      </c>
      <c r="D42" s="88">
        <f>IFERROR(_xlfn.XLOOKUP($A42,CFR20252026_BenchMarkDataReport!$B:$B,CFR20252026_BenchMarkDataReport!S:S),0)</f>
        <v>1474387.77</v>
      </c>
      <c r="E42" s="88">
        <f>IFERROR(_xlfn.XLOOKUP($A42,CFR20252026_BenchMarkDataReport!$B:$B,CFR20252026_BenchMarkDataReport!T:T),0)</f>
        <v>0</v>
      </c>
      <c r="F42" s="88">
        <f>IFERROR(_xlfn.XLOOKUP($A42,CFR20252026_BenchMarkDataReport!$B:$B,CFR20252026_BenchMarkDataReport!U:U),0)</f>
        <v>112501.13</v>
      </c>
      <c r="G42" s="88">
        <f>IFERROR(_xlfn.XLOOKUP($A42,CFR20252026_BenchMarkDataReport!$B:$B,CFR20252026_BenchMarkDataReport!V:V),0)</f>
        <v>0</v>
      </c>
      <c r="H42" s="88">
        <f>IFERROR(_xlfn.XLOOKUP($A42,CFR20252026_BenchMarkDataReport!$B:$B,CFR20252026_BenchMarkDataReport!W:W),0)</f>
        <v>55739</v>
      </c>
      <c r="I42" s="88">
        <f>IFERROR(_xlfn.XLOOKUP($A42,CFR20252026_BenchMarkDataReport!$B:$B,CFR20252026_BenchMarkDataReport!X:X),0)</f>
        <v>51536.39</v>
      </c>
      <c r="J42" s="88">
        <f>IFERROR(_xlfn.XLOOKUP($A42,CFR20252026_BenchMarkDataReport!$B:$B,CFR20252026_BenchMarkDataReport!Y:Y),0)</f>
        <v>45295.88</v>
      </c>
      <c r="K42" s="88">
        <f>IFERROR(_xlfn.XLOOKUP($A42,CFR20252026_BenchMarkDataReport!$B:$B,CFR20252026_BenchMarkDataReport!Z:Z),0)</f>
        <v>21760.400000000001</v>
      </c>
      <c r="L42" s="88">
        <f>IFERROR(_xlfn.XLOOKUP($A42,CFR20252026_BenchMarkDataReport!$B:$B,CFR20252026_BenchMarkDataReport!AA:AA),0)</f>
        <v>38516.800000000003</v>
      </c>
      <c r="M42" s="88">
        <f>IFERROR(_xlfn.XLOOKUP($A42,CFR20252026_BenchMarkDataReport!$B:$B,CFR20252026_BenchMarkDataReport!AB:AB),0)</f>
        <v>2465.75</v>
      </c>
      <c r="N42" s="88">
        <f>IFERROR(_xlfn.XLOOKUP($A42,CFR20252026_BenchMarkDataReport!$B:$B,CFR20252026_BenchMarkDataReport!AC:AC),0)</f>
        <v>0</v>
      </c>
      <c r="O42" s="88">
        <f>IFERROR(_xlfn.XLOOKUP($A42,CFR20252026_BenchMarkDataReport!$B:$B,CFR20252026_BenchMarkDataReport!AD:AD),0)</f>
        <v>68065</v>
      </c>
      <c r="P42" s="88">
        <f>IFERROR(_xlfn.XLOOKUP($A42,CFR20252026_BenchMarkDataReport!$B:$B,CFR20252026_BenchMarkDataReport!AE:AE),0)</f>
        <v>65749.94</v>
      </c>
      <c r="Q42" s="88">
        <f>IFERROR(_xlfn.XLOOKUP($A42,CFR20252026_BenchMarkDataReport!$B:$B,CFR20252026_BenchMarkDataReport!AF:AF),0)</f>
        <v>5782.62</v>
      </c>
      <c r="R42" s="88">
        <f>IFERROR(_xlfn.XLOOKUP($A42,CFR20252026_BenchMarkDataReport!$B:$B,CFR20252026_BenchMarkDataReport!AG:AG),0)</f>
        <v>0</v>
      </c>
      <c r="S42" s="88">
        <f>IFERROR(_xlfn.XLOOKUP($A42,CFR20252026_BenchMarkDataReport!$B:$B,CFR20252026_BenchMarkDataReport!AH:AH),0)</f>
        <v>0</v>
      </c>
      <c r="T42" s="88">
        <f>IFERROR(_xlfn.XLOOKUP($A42,CFR20252026_BenchMarkDataReport!$B:$B,CFR20252026_BenchMarkDataReport!AI:AI),0)</f>
        <v>0</v>
      </c>
      <c r="U42" s="88">
        <f>IFERROR(_xlfn.XLOOKUP($A42,CFR20252026_BenchMarkDataReport!$B:$B,CFR20252026_BenchMarkDataReport!AJ:AJ),0)</f>
        <v>817312.49</v>
      </c>
      <c r="V42" s="88">
        <f>IFERROR(_xlfn.XLOOKUP($A42,CFR20252026_BenchMarkDataReport!$B:$B,CFR20252026_BenchMarkDataReport!AK:AK),0)</f>
        <v>0</v>
      </c>
      <c r="W42" s="88">
        <f>IFERROR(_xlfn.XLOOKUP($A42,CFR20252026_BenchMarkDataReport!$B:$B,CFR20252026_BenchMarkDataReport!AL:AL),0)</f>
        <v>506647.35</v>
      </c>
      <c r="X42" s="88">
        <f>IFERROR(_xlfn.XLOOKUP($A42,CFR20252026_BenchMarkDataReport!$B:$B,CFR20252026_BenchMarkDataReport!AM:AM),0)</f>
        <v>42346.28</v>
      </c>
      <c r="Y42" s="88">
        <f>IFERROR(_xlfn.XLOOKUP($A42,CFR20252026_BenchMarkDataReport!$B:$B,CFR20252026_BenchMarkDataReport!AN:AN),0)</f>
        <v>63470.37</v>
      </c>
      <c r="Z42" s="88">
        <f>IFERROR(_xlfn.XLOOKUP($A42,CFR20252026_BenchMarkDataReport!$B:$B,CFR20252026_BenchMarkDataReport!AO:AO),0)</f>
        <v>0</v>
      </c>
      <c r="AA42" s="88">
        <f>IFERROR(_xlfn.XLOOKUP($A42,CFR20252026_BenchMarkDataReport!$B:$B,CFR20252026_BenchMarkDataReport!AP:AP),0)</f>
        <v>81721.78</v>
      </c>
      <c r="AB42" s="88">
        <f>IFERROR(_xlfn.XLOOKUP($A42,CFR20252026_BenchMarkDataReport!$B:$B,CFR20252026_BenchMarkDataReport!AQ:AQ),0)</f>
        <v>7001.84</v>
      </c>
      <c r="AC42" s="88">
        <f>IFERROR(_xlfn.XLOOKUP($A42,CFR20252026_BenchMarkDataReport!$B:$B,CFR20252026_BenchMarkDataReport!AR:AR),0)</f>
        <v>2743.19</v>
      </c>
      <c r="AD42" s="88">
        <f>IFERROR(_xlfn.XLOOKUP($A42,CFR20252026_BenchMarkDataReport!$B:$B,CFR20252026_BenchMarkDataReport!AS:AS),0)</f>
        <v>353.97</v>
      </c>
      <c r="AE42" s="88">
        <f>IFERROR(_xlfn.XLOOKUP($A42,CFR20252026_BenchMarkDataReport!$B:$B,CFR20252026_BenchMarkDataReport!AT:AT),0)</f>
        <v>0</v>
      </c>
      <c r="AF42" s="88">
        <f>IFERROR(_xlfn.XLOOKUP($A42,CFR20252026_BenchMarkDataReport!$B:$B,CFR20252026_BenchMarkDataReport!AU:AU),0)</f>
        <v>131205.89000000001</v>
      </c>
      <c r="AG42" s="88">
        <f>IFERROR(_xlfn.XLOOKUP($A42,CFR20252026_BenchMarkDataReport!$B:$B,CFR20252026_BenchMarkDataReport!AV:AV),0)</f>
        <v>1938.61</v>
      </c>
      <c r="AH42" s="88">
        <f>IFERROR(_xlfn.XLOOKUP($A42,CFR20252026_BenchMarkDataReport!$B:$B,CFR20252026_BenchMarkDataReport!AW:AW),0)</f>
        <v>36952.14</v>
      </c>
      <c r="AI42" s="88">
        <f>IFERROR(_xlfn.XLOOKUP($A42,CFR20252026_BenchMarkDataReport!$B:$B,CFR20252026_BenchMarkDataReport!AX:AX),0)</f>
        <v>2678.09</v>
      </c>
      <c r="AJ42" s="88">
        <f>IFERROR(_xlfn.XLOOKUP($A42,CFR20252026_BenchMarkDataReport!$B:$B,CFR20252026_BenchMarkDataReport!AY:AY),0)</f>
        <v>39694.47</v>
      </c>
      <c r="AK42" s="88">
        <f>IFERROR(_xlfn.XLOOKUP($A42,CFR20252026_BenchMarkDataReport!$B:$B,CFR20252026_BenchMarkDataReport!AZ:AZ),0)</f>
        <v>34036.910000000003</v>
      </c>
      <c r="AL42" s="88">
        <f>IFERROR(_xlfn.XLOOKUP($A42,CFR20252026_BenchMarkDataReport!$B:$B,CFR20252026_BenchMarkDataReport!BA:BA),0)</f>
        <v>10661.92</v>
      </c>
      <c r="AM42" s="88">
        <f>IFERROR(_xlfn.XLOOKUP($A42,CFR20252026_BenchMarkDataReport!$B:$B,CFR20252026_BenchMarkDataReport!BB:BB),0)</f>
        <v>41701.699999999997</v>
      </c>
      <c r="AN42" s="88">
        <f>IFERROR(_xlfn.XLOOKUP($A42,CFR20252026_BenchMarkDataReport!$B:$B,CFR20252026_BenchMarkDataReport!BC:BC),0)</f>
        <v>12130.5</v>
      </c>
      <c r="AO42" s="88">
        <f>IFERROR(_xlfn.XLOOKUP($A42,CFR20252026_BenchMarkDataReport!$B:$B,CFR20252026_BenchMarkDataReport!BD:BD),0)</f>
        <v>0</v>
      </c>
      <c r="AP42" s="88">
        <f>IFERROR(_xlfn.XLOOKUP($A42,CFR20252026_BenchMarkDataReport!$B:$B,CFR20252026_BenchMarkDataReport!BE:BE),0)</f>
        <v>177.02</v>
      </c>
      <c r="AQ42" s="88">
        <f>IFERROR(_xlfn.XLOOKUP($A42,CFR20252026_BenchMarkDataReport!$B:$B,CFR20252026_BenchMarkDataReport!BF:BF),0)</f>
        <v>16326.6</v>
      </c>
      <c r="AR42" s="88">
        <f>IFERROR(_xlfn.XLOOKUP($A42,CFR20252026_BenchMarkDataReport!$B:$B,CFR20252026_BenchMarkDataReport!BG:BG),0)</f>
        <v>490</v>
      </c>
      <c r="AS42" s="88">
        <f>IFERROR(_xlfn.XLOOKUP($A42,CFR20252026_BenchMarkDataReport!$B:$B,CFR20252026_BenchMarkDataReport!BH:BH),0)</f>
        <v>121.19</v>
      </c>
      <c r="AT42" s="88">
        <f>IFERROR(_xlfn.XLOOKUP($A42,CFR20252026_BenchMarkDataReport!$B:$B,CFR20252026_BenchMarkDataReport!BI:BI),0)</f>
        <v>6555</v>
      </c>
      <c r="AU42" s="88">
        <f>IFERROR(_xlfn.XLOOKUP($A42,CFR20252026_BenchMarkDataReport!$B:$B,CFR20252026_BenchMarkDataReport!BJ:BJ),0)</f>
        <v>0</v>
      </c>
      <c r="AV42" s="88">
        <f>IFERROR(_xlfn.XLOOKUP($A42,CFR20252026_BenchMarkDataReport!$B:$B,CFR20252026_BenchMarkDataReport!BK:BK),0)</f>
        <v>1047.8800000000001</v>
      </c>
      <c r="AW42" s="88">
        <f>IFERROR(_xlfn.XLOOKUP($A42,CFR20252026_BenchMarkDataReport!$B:$B,CFR20252026_BenchMarkDataReport!BL:BL),0)</f>
        <v>10026.040000000001</v>
      </c>
      <c r="AX42" s="88">
        <f>IFERROR(_xlfn.XLOOKUP($A42,CFR20252026_BenchMarkDataReport!$B:$B,CFR20252026_BenchMarkDataReport!BM:BM),0)</f>
        <v>17680.73</v>
      </c>
      <c r="AY42" s="88">
        <f>IFERROR(_xlfn.XLOOKUP($A42,CFR20252026_BenchMarkDataReport!$B:$B,CFR20252026_BenchMarkDataReport!BN:BN),0)</f>
        <v>100287.72</v>
      </c>
      <c r="AZ42" s="88">
        <f>IFERROR(_xlfn.XLOOKUP($A42,CFR20252026_BenchMarkDataReport!$B:$B,CFR20252026_BenchMarkDataReport!BO:BO),0)</f>
        <v>96457.48</v>
      </c>
      <c r="BA42" s="88">
        <f>IFERROR(_xlfn.XLOOKUP($A42,CFR20252026_BenchMarkDataReport!$B:$B,CFR20252026_BenchMarkDataReport!BP:BP),0)</f>
        <v>88556.73</v>
      </c>
      <c r="BB42" s="88">
        <f>IFERROR(_xlfn.XLOOKUP($A42,CFR20252026_BenchMarkDataReport!$B:$B,CFR20252026_BenchMarkDataReport!BQ:BQ),0)</f>
        <v>27059.7</v>
      </c>
      <c r="BC42" s="88">
        <f>IFERROR(_xlfn.XLOOKUP($A42,CFR20252026_BenchMarkDataReport!$B:$B,CFR20252026_BenchMarkDataReport!BR:BR),0)</f>
        <v>0</v>
      </c>
      <c r="BD42" s="88">
        <f>IFERROR(_xlfn.XLOOKUP($A42,CFR20252026_BenchMarkDataReport!$B:$B,CFR20252026_BenchMarkDataReport!BS:BS),0)</f>
        <v>0</v>
      </c>
      <c r="BE42" s="88">
        <f>IFERROR(_xlfn.XLOOKUP($A42,CFR20252026_BenchMarkDataReport!$B:$B,CFR20252026_BenchMarkDataReport!BT:BT),0)</f>
        <v>30722</v>
      </c>
      <c r="BF42" s="88">
        <f>IFERROR(_xlfn.XLOOKUP($A42,CFR20252026_BenchMarkDataReport!$B:$B,CFR20252026_BenchMarkDataReport!BU:BU),0)</f>
        <v>0</v>
      </c>
      <c r="BG42" s="88">
        <f>IFERROR(_xlfn.XLOOKUP($A42,CFR20252026_BenchMarkDataReport!$B:$B,CFR20252026_BenchMarkDataReport!BV:BV),0)</f>
        <v>0</v>
      </c>
      <c r="BH42" s="89">
        <f t="shared" si="0"/>
        <v>1941800.6799999997</v>
      </c>
      <c r="BI42" s="90">
        <f t="shared" si="88"/>
        <v>2228105.5900000003</v>
      </c>
      <c r="BJ42" s="126">
        <f t="shared" si="89"/>
        <v>-286304.91000000061</v>
      </c>
      <c r="BK42" s="88">
        <f>IFERROR(_xlfn.XLOOKUP(A42,CFR20252026_BenchMarkDataReport!$B:$B,CFR20252026_BenchMarkDataReport!P:P)+_xlfn.XLOOKUP(A42,CFR20252026_BenchMarkDataReport!$B:$B,CFR20252026_BenchMarkDataReport!Q:Q),0)</f>
        <v>-136756.09</v>
      </c>
      <c r="BL42" s="89">
        <f t="shared" si="1"/>
        <v>-423061.00000000058</v>
      </c>
      <c r="BM42" s="91">
        <f>SUMIFS(PP!I:I,PP!E:E,A42)</f>
        <v>207</v>
      </c>
      <c r="BN42" s="90">
        <f t="shared" si="133"/>
        <v>1586888.9</v>
      </c>
      <c r="BO42" t="s">
        <v>173</v>
      </c>
      <c r="BP42" s="92">
        <f t="shared" si="22"/>
        <v>0.75928893484577431</v>
      </c>
      <c r="BQ42" s="93">
        <f t="shared" si="23"/>
        <v>7122.6462318840577</v>
      </c>
      <c r="BR42" s="94">
        <f t="shared" si="24"/>
        <v>0</v>
      </c>
      <c r="BS42" s="95">
        <f t="shared" si="25"/>
        <v>0</v>
      </c>
      <c r="BT42" s="92">
        <f t="shared" si="26"/>
        <v>5.7936497375209499E-2</v>
      </c>
      <c r="BU42" s="93">
        <f t="shared" si="27"/>
        <v>543.48371980676336</v>
      </c>
      <c r="BV42" s="94">
        <f t="shared" si="28"/>
        <v>0</v>
      </c>
      <c r="BW42" s="95">
        <f t="shared" si="29"/>
        <v>0</v>
      </c>
      <c r="BX42" s="92">
        <f t="shared" si="30"/>
        <v>2.8704799917981288E-2</v>
      </c>
      <c r="BY42" s="93">
        <f t="shared" si="31"/>
        <v>269.27053140096621</v>
      </c>
      <c r="BZ42" s="94">
        <f t="shared" si="32"/>
        <v>2.6540514961607701E-2</v>
      </c>
      <c r="CA42" s="95">
        <f t="shared" si="33"/>
        <v>248.96806763285025</v>
      </c>
      <c r="CB42" s="92">
        <f t="shared" si="34"/>
        <v>2.3326740208989939E-2</v>
      </c>
      <c r="CC42" s="93">
        <f t="shared" si="35"/>
        <v>218.8206763285024</v>
      </c>
      <c r="CD42" s="94">
        <f t="shared" si="36"/>
        <v>3.1041908997580542E-2</v>
      </c>
      <c r="CE42" s="96">
        <f t="shared" si="37"/>
        <v>291.19420289855077</v>
      </c>
      <c r="CF42" s="97">
        <f t="shared" si="38"/>
        <v>3.3860293014214012E-2</v>
      </c>
      <c r="CG42" s="98">
        <f t="shared" si="39"/>
        <v>317.63256038647341</v>
      </c>
      <c r="CH42" s="94">
        <f t="shared" si="40"/>
        <v>2.9779678519836553E-3</v>
      </c>
      <c r="CI42" s="95">
        <f t="shared" si="41"/>
        <v>27.935362318840578</v>
      </c>
      <c r="CJ42" s="99">
        <f t="shared" si="90"/>
        <v>0.57582479151502042</v>
      </c>
      <c r="CK42" s="97">
        <f t="shared" si="91"/>
        <v>0.4705786641294204</v>
      </c>
      <c r="CL42" s="97">
        <f t="shared" si="92"/>
        <v>0.41011071203317606</v>
      </c>
      <c r="CM42" s="98">
        <f t="shared" si="93"/>
        <v>4414.3476811594201</v>
      </c>
      <c r="CN42" s="94">
        <f t="shared" si="94"/>
        <v>0.31927083868316175</v>
      </c>
      <c r="CO42" s="100">
        <f t="shared" si="95"/>
        <v>0.26091624913840283</v>
      </c>
      <c r="CP42" s="100">
        <f t="shared" si="96"/>
        <v>0.22738929082799883</v>
      </c>
      <c r="CQ42" s="101">
        <f t="shared" si="97"/>
        <v>2447.5717391304347</v>
      </c>
      <c r="CR42" s="99">
        <f t="shared" si="98"/>
        <v>2.6685094337732151E-2</v>
      </c>
      <c r="CS42" s="97">
        <f t="shared" si="99"/>
        <v>2.1807737754010882E-2</v>
      </c>
      <c r="CT42" s="97">
        <f t="shared" si="100"/>
        <v>1.9005508621339616E-2</v>
      </c>
      <c r="CU42" s="98">
        <f t="shared" si="101"/>
        <v>204.57140096618357</v>
      </c>
      <c r="CV42" s="94">
        <f t="shared" si="102"/>
        <v>3.9996731970335167E-2</v>
      </c>
      <c r="CW42" s="100">
        <f t="shared" si="103"/>
        <v>3.2686346571883997E-2</v>
      </c>
      <c r="CX42" s="100">
        <f t="shared" si="104"/>
        <v>2.8486248714990205E-2</v>
      </c>
      <c r="CY42" s="95">
        <f t="shared" si="105"/>
        <v>306.62014492753622</v>
      </c>
      <c r="CZ42" s="99">
        <f t="shared" si="106"/>
        <v>0.95249155123588058</v>
      </c>
      <c r="DA42" s="97">
        <f t="shared" si="107"/>
        <v>0.77840031964557777</v>
      </c>
      <c r="DB42" s="97">
        <f t="shared" si="108"/>
        <v>0.67837820468822563</v>
      </c>
      <c r="DC42" s="98">
        <f t="shared" si="109"/>
        <v>7301.924009661836</v>
      </c>
      <c r="DD42" s="94">
        <f t="shared" si="110"/>
        <v>8.2681207235112686E-2</v>
      </c>
      <c r="DE42" s="100">
        <f t="shared" si="111"/>
        <v>5.8886746924772089E-2</v>
      </c>
      <c r="DF42" s="95">
        <f t="shared" si="112"/>
        <v>633.84487922705318</v>
      </c>
      <c r="DG42" s="99">
        <f t="shared" si="113"/>
        <v>1.2019582967789241E-3</v>
      </c>
      <c r="DH42" s="98">
        <f t="shared" si="114"/>
        <v>12.937632850241547</v>
      </c>
      <c r="DI42" s="94">
        <f t="shared" si="115"/>
        <v>2.5014019569990064E-2</v>
      </c>
      <c r="DJ42" s="100">
        <f t="shared" si="116"/>
        <v>1.7815345097715946E-2</v>
      </c>
      <c r="DK42" s="95">
        <f t="shared" si="117"/>
        <v>191.76072463768116</v>
      </c>
      <c r="DL42" s="99">
        <f t="shared" si="118"/>
        <v>6.718756429640412E-3</v>
      </c>
      <c r="DM42" s="97">
        <f t="shared" si="119"/>
        <v>4.7851951217446559E-3</v>
      </c>
      <c r="DN42" s="102">
        <f t="shared" si="120"/>
        <v>51.506859903381645</v>
      </c>
      <c r="DO42" s="94">
        <f t="shared" si="121"/>
        <v>2.6278903330913712E-2</v>
      </c>
      <c r="DP42" s="100">
        <f t="shared" si="122"/>
        <v>2.1475788132899409E-2</v>
      </c>
      <c r="DQ42" s="100">
        <f t="shared" si="123"/>
        <v>1.8716213534565922E-2</v>
      </c>
      <c r="DR42" s="95">
        <f t="shared" si="124"/>
        <v>201.4574879227053</v>
      </c>
      <c r="DS42" s="99">
        <f t="shared" si="125"/>
        <v>6.6033608275916495E-4</v>
      </c>
      <c r="DT42" s="97">
        <f t="shared" si="126"/>
        <v>4.7030087115395637E-4</v>
      </c>
      <c r="DU42" s="98">
        <f t="shared" si="127"/>
        <v>5.0622222222222231</v>
      </c>
      <c r="DV42" s="94">
        <f t="shared" si="128"/>
        <v>5.5805248874070519E-2</v>
      </c>
      <c r="DW42" s="100">
        <f t="shared" si="129"/>
        <v>3.9745302196382885E-2</v>
      </c>
      <c r="DX42" s="95">
        <f t="shared" si="130"/>
        <v>427.81028985507243</v>
      </c>
      <c r="DY42" s="99">
        <f t="shared" si="131"/>
        <v>4.5010308510558511E-2</v>
      </c>
      <c r="DZ42" s="98">
        <f t="shared" si="132"/>
        <v>484.48173913043479</v>
      </c>
      <c r="EA42" s="94">
        <f t="shared" si="14"/>
        <v>1.6584555133224183E-2</v>
      </c>
      <c r="EB42" s="95">
        <f t="shared" si="84"/>
        <v>178.51275362318842</v>
      </c>
      <c r="EC42" s="103">
        <f>IFERROR(VLOOKUP(A42,PP!$E$3:$S$130,14,0),0)</f>
        <v>35</v>
      </c>
    </row>
    <row r="43" spans="1:133">
      <c r="A43" s="26">
        <v>3523</v>
      </c>
      <c r="B43" s="125">
        <v>11093</v>
      </c>
      <c r="C43" s="26" t="s">
        <v>67</v>
      </c>
      <c r="D43" s="88">
        <f>IFERROR(_xlfn.XLOOKUP($A43,CFR20252026_BenchMarkDataReport!$B:$B,CFR20252026_BenchMarkDataReport!S:S),0)</f>
        <v>3999338.87</v>
      </c>
      <c r="E43" s="88">
        <f>IFERROR(_xlfn.XLOOKUP($A43,CFR20252026_BenchMarkDataReport!$B:$B,CFR20252026_BenchMarkDataReport!T:T),0)</f>
        <v>0</v>
      </c>
      <c r="F43" s="88">
        <f>IFERROR(_xlfn.XLOOKUP($A43,CFR20252026_BenchMarkDataReport!$B:$B,CFR20252026_BenchMarkDataReport!U:U),0)</f>
        <v>256495.48</v>
      </c>
      <c r="G43" s="88">
        <f>IFERROR(_xlfn.XLOOKUP($A43,CFR20252026_BenchMarkDataReport!$B:$B,CFR20252026_BenchMarkDataReport!V:V),0)</f>
        <v>0</v>
      </c>
      <c r="H43" s="88">
        <f>IFERROR(_xlfn.XLOOKUP($A43,CFR20252026_BenchMarkDataReport!$B:$B,CFR20252026_BenchMarkDataReport!W:W),0)</f>
        <v>297255</v>
      </c>
      <c r="I43" s="88">
        <f>IFERROR(_xlfn.XLOOKUP($A43,CFR20252026_BenchMarkDataReport!$B:$B,CFR20252026_BenchMarkDataReport!X:X),0)</f>
        <v>107504</v>
      </c>
      <c r="J43" s="88">
        <f>IFERROR(_xlfn.XLOOKUP($A43,CFR20252026_BenchMarkDataReport!$B:$B,CFR20252026_BenchMarkDataReport!Y:Y),0)</f>
        <v>123699.02</v>
      </c>
      <c r="K43" s="88">
        <f>IFERROR(_xlfn.XLOOKUP($A43,CFR20252026_BenchMarkDataReport!$B:$B,CFR20252026_BenchMarkDataReport!Z:Z),0)</f>
        <v>122118.99</v>
      </c>
      <c r="L43" s="88">
        <f>IFERROR(_xlfn.XLOOKUP($A43,CFR20252026_BenchMarkDataReport!$B:$B,CFR20252026_BenchMarkDataReport!AA:AA),0)</f>
        <v>21749.8</v>
      </c>
      <c r="M43" s="88">
        <f>IFERROR(_xlfn.XLOOKUP($A43,CFR20252026_BenchMarkDataReport!$B:$B,CFR20252026_BenchMarkDataReport!AB:AB),0)</f>
        <v>11364.33</v>
      </c>
      <c r="N43" s="88">
        <f>IFERROR(_xlfn.XLOOKUP($A43,CFR20252026_BenchMarkDataReport!$B:$B,CFR20252026_BenchMarkDataReport!AC:AC),0)</f>
        <v>10300</v>
      </c>
      <c r="O43" s="88">
        <f>IFERROR(_xlfn.XLOOKUP($A43,CFR20252026_BenchMarkDataReport!$B:$B,CFR20252026_BenchMarkDataReport!AD:AD),0)</f>
        <v>0</v>
      </c>
      <c r="P43" s="88">
        <f>IFERROR(_xlfn.XLOOKUP($A43,CFR20252026_BenchMarkDataReport!$B:$B,CFR20252026_BenchMarkDataReport!AE:AE),0)</f>
        <v>150056.75</v>
      </c>
      <c r="Q43" s="88">
        <f>IFERROR(_xlfn.XLOOKUP($A43,CFR20252026_BenchMarkDataReport!$B:$B,CFR20252026_BenchMarkDataReport!AF:AF),0)</f>
        <v>15416.2</v>
      </c>
      <c r="R43" s="88">
        <f>IFERROR(_xlfn.XLOOKUP($A43,CFR20252026_BenchMarkDataReport!$B:$B,CFR20252026_BenchMarkDataReport!AG:AG),0)</f>
        <v>0</v>
      </c>
      <c r="S43" s="88">
        <f>IFERROR(_xlfn.XLOOKUP($A43,CFR20252026_BenchMarkDataReport!$B:$B,CFR20252026_BenchMarkDataReport!AH:AH),0)</f>
        <v>0</v>
      </c>
      <c r="T43" s="88">
        <f>IFERROR(_xlfn.XLOOKUP($A43,CFR20252026_BenchMarkDataReport!$B:$B,CFR20252026_BenchMarkDataReport!AI:AI),0)</f>
        <v>0</v>
      </c>
      <c r="U43" s="88">
        <f>IFERROR(_xlfn.XLOOKUP($A43,CFR20252026_BenchMarkDataReport!$B:$B,CFR20252026_BenchMarkDataReport!AJ:AJ),0)</f>
        <v>2240018.69</v>
      </c>
      <c r="V43" s="88">
        <f>IFERROR(_xlfn.XLOOKUP($A43,CFR20252026_BenchMarkDataReport!$B:$B,CFR20252026_BenchMarkDataReport!AK:AK),0)</f>
        <v>0</v>
      </c>
      <c r="W43" s="88">
        <f>IFERROR(_xlfn.XLOOKUP($A43,CFR20252026_BenchMarkDataReport!$B:$B,CFR20252026_BenchMarkDataReport!AL:AL),0)</f>
        <v>1041940.09</v>
      </c>
      <c r="X43" s="88">
        <f>IFERROR(_xlfn.XLOOKUP($A43,CFR20252026_BenchMarkDataReport!$B:$B,CFR20252026_BenchMarkDataReport!AM:AM),0)</f>
        <v>235490.78</v>
      </c>
      <c r="Y43" s="88">
        <f>IFERROR(_xlfn.XLOOKUP($A43,CFR20252026_BenchMarkDataReport!$B:$B,CFR20252026_BenchMarkDataReport!AN:AN),0)</f>
        <v>204968.97</v>
      </c>
      <c r="Z43" s="88">
        <f>IFERROR(_xlfn.XLOOKUP($A43,CFR20252026_BenchMarkDataReport!$B:$B,CFR20252026_BenchMarkDataReport!AO:AO),0)</f>
        <v>0</v>
      </c>
      <c r="AA43" s="88">
        <f>IFERROR(_xlfn.XLOOKUP($A43,CFR20252026_BenchMarkDataReport!$B:$B,CFR20252026_BenchMarkDataReport!AP:AP),0)</f>
        <v>151898.26999999999</v>
      </c>
      <c r="AB43" s="88">
        <f>IFERROR(_xlfn.XLOOKUP($A43,CFR20252026_BenchMarkDataReport!$B:$B,CFR20252026_BenchMarkDataReport!AQ:AQ),0)</f>
        <v>22338.74</v>
      </c>
      <c r="AC43" s="88">
        <f>IFERROR(_xlfn.XLOOKUP($A43,CFR20252026_BenchMarkDataReport!$B:$B,CFR20252026_BenchMarkDataReport!AR:AR),0)</f>
        <v>2393</v>
      </c>
      <c r="AD43" s="88">
        <f>IFERROR(_xlfn.XLOOKUP($A43,CFR20252026_BenchMarkDataReport!$B:$B,CFR20252026_BenchMarkDataReport!AS:AS),0)</f>
        <v>1037.97</v>
      </c>
      <c r="AE43" s="88">
        <f>IFERROR(_xlfn.XLOOKUP($A43,CFR20252026_BenchMarkDataReport!$B:$B,CFR20252026_BenchMarkDataReport!AT:AT),0)</f>
        <v>14724.77</v>
      </c>
      <c r="AF43" s="88">
        <f>IFERROR(_xlfn.XLOOKUP($A43,CFR20252026_BenchMarkDataReport!$B:$B,CFR20252026_BenchMarkDataReport!AU:AU),0)</f>
        <v>26515.8</v>
      </c>
      <c r="AG43" s="88">
        <f>IFERROR(_xlfn.XLOOKUP($A43,CFR20252026_BenchMarkDataReport!$B:$B,CFR20252026_BenchMarkDataReport!AV:AV),0)</f>
        <v>500</v>
      </c>
      <c r="AH43" s="88">
        <f>IFERROR(_xlfn.XLOOKUP($A43,CFR20252026_BenchMarkDataReport!$B:$B,CFR20252026_BenchMarkDataReport!AW:AW),0)</f>
        <v>9370.5400000000009</v>
      </c>
      <c r="AI43" s="88">
        <f>IFERROR(_xlfn.XLOOKUP($A43,CFR20252026_BenchMarkDataReport!$B:$B,CFR20252026_BenchMarkDataReport!AX:AX),0)</f>
        <v>10261.85</v>
      </c>
      <c r="AJ43" s="88">
        <f>IFERROR(_xlfn.XLOOKUP($A43,CFR20252026_BenchMarkDataReport!$B:$B,CFR20252026_BenchMarkDataReport!AY:AY),0)</f>
        <v>35377.89</v>
      </c>
      <c r="AK43" s="88">
        <f>IFERROR(_xlfn.XLOOKUP($A43,CFR20252026_BenchMarkDataReport!$B:$B,CFR20252026_BenchMarkDataReport!AZ:AZ),0)</f>
        <v>79545.27</v>
      </c>
      <c r="AL43" s="88">
        <f>IFERROR(_xlfn.XLOOKUP($A43,CFR20252026_BenchMarkDataReport!$B:$B,CFR20252026_BenchMarkDataReport!BA:BA),0)</f>
        <v>20535.5</v>
      </c>
      <c r="AM43" s="88">
        <f>IFERROR(_xlfn.XLOOKUP($A43,CFR20252026_BenchMarkDataReport!$B:$B,CFR20252026_BenchMarkDataReport!BB:BB),0)</f>
        <v>99735.88</v>
      </c>
      <c r="AN43" s="88">
        <f>IFERROR(_xlfn.XLOOKUP($A43,CFR20252026_BenchMarkDataReport!$B:$B,CFR20252026_BenchMarkDataReport!BC:BC),0)</f>
        <v>6995</v>
      </c>
      <c r="AO43" s="88">
        <f>IFERROR(_xlfn.XLOOKUP($A43,CFR20252026_BenchMarkDataReport!$B:$B,CFR20252026_BenchMarkDataReport!BD:BD),0)</f>
        <v>263.58999999999997</v>
      </c>
      <c r="AP43" s="88">
        <f>IFERROR(_xlfn.XLOOKUP($A43,CFR20252026_BenchMarkDataReport!$B:$B,CFR20252026_BenchMarkDataReport!BE:BE),0)</f>
        <v>5928.48</v>
      </c>
      <c r="AQ43" s="88">
        <f>IFERROR(_xlfn.XLOOKUP($A43,CFR20252026_BenchMarkDataReport!$B:$B,CFR20252026_BenchMarkDataReport!BF:BF),0)</f>
        <v>10359.950000000001</v>
      </c>
      <c r="AR43" s="88">
        <f>IFERROR(_xlfn.XLOOKUP($A43,CFR20252026_BenchMarkDataReport!$B:$B,CFR20252026_BenchMarkDataReport!BG:BG),0)</f>
        <v>699</v>
      </c>
      <c r="AS43" s="88">
        <f>IFERROR(_xlfn.XLOOKUP($A43,CFR20252026_BenchMarkDataReport!$B:$B,CFR20252026_BenchMarkDataReport!BH:BH),0)</f>
        <v>6831.41</v>
      </c>
      <c r="AT43" s="88">
        <f>IFERROR(_xlfn.XLOOKUP($A43,CFR20252026_BenchMarkDataReport!$B:$B,CFR20252026_BenchMarkDataReport!BI:BI),0)</f>
        <v>0</v>
      </c>
      <c r="AU43" s="88">
        <f>IFERROR(_xlfn.XLOOKUP($A43,CFR20252026_BenchMarkDataReport!$B:$B,CFR20252026_BenchMarkDataReport!BJ:BJ),0)</f>
        <v>0</v>
      </c>
      <c r="AV43" s="88">
        <f>IFERROR(_xlfn.XLOOKUP($A43,CFR20252026_BenchMarkDataReport!$B:$B,CFR20252026_BenchMarkDataReport!BK:BK),0)</f>
        <v>9574.35</v>
      </c>
      <c r="AW43" s="88">
        <f>IFERROR(_xlfn.XLOOKUP($A43,CFR20252026_BenchMarkDataReport!$B:$B,CFR20252026_BenchMarkDataReport!BL:BL),0)</f>
        <v>27276.66</v>
      </c>
      <c r="AX43" s="88">
        <f>IFERROR(_xlfn.XLOOKUP($A43,CFR20252026_BenchMarkDataReport!$B:$B,CFR20252026_BenchMarkDataReport!BM:BM),0)</f>
        <v>840.69</v>
      </c>
      <c r="AY43" s="88">
        <f>IFERROR(_xlfn.XLOOKUP($A43,CFR20252026_BenchMarkDataReport!$B:$B,CFR20252026_BenchMarkDataReport!BN:BN),0)</f>
        <v>244454.59</v>
      </c>
      <c r="AZ43" s="88">
        <f>IFERROR(_xlfn.XLOOKUP($A43,CFR20252026_BenchMarkDataReport!$B:$B,CFR20252026_BenchMarkDataReport!BO:BO),0)</f>
        <v>37296.31</v>
      </c>
      <c r="BA43" s="88">
        <f>IFERROR(_xlfn.XLOOKUP($A43,CFR20252026_BenchMarkDataReport!$B:$B,CFR20252026_BenchMarkDataReport!BP:BP),0)</f>
        <v>428749.47</v>
      </c>
      <c r="BB43" s="88">
        <f>IFERROR(_xlfn.XLOOKUP($A43,CFR20252026_BenchMarkDataReport!$B:$B,CFR20252026_BenchMarkDataReport!BQ:BQ),0)</f>
        <v>31012.93</v>
      </c>
      <c r="BC43" s="88">
        <f>IFERROR(_xlfn.XLOOKUP($A43,CFR20252026_BenchMarkDataReport!$B:$B,CFR20252026_BenchMarkDataReport!BR:BR),0)</f>
        <v>0</v>
      </c>
      <c r="BD43" s="88">
        <f>IFERROR(_xlfn.XLOOKUP($A43,CFR20252026_BenchMarkDataReport!$B:$B,CFR20252026_BenchMarkDataReport!BS:BS),0)</f>
        <v>0</v>
      </c>
      <c r="BE43" s="88">
        <f>IFERROR(_xlfn.XLOOKUP($A43,CFR20252026_BenchMarkDataReport!$B:$B,CFR20252026_BenchMarkDataReport!BT:BT),0)</f>
        <v>0</v>
      </c>
      <c r="BF43" s="88">
        <f>IFERROR(_xlfn.XLOOKUP($A43,CFR20252026_BenchMarkDataReport!$B:$B,CFR20252026_BenchMarkDataReport!BU:BU),0)</f>
        <v>0</v>
      </c>
      <c r="BG43" s="88">
        <f>IFERROR(_xlfn.XLOOKUP($A43,CFR20252026_BenchMarkDataReport!$B:$B,CFR20252026_BenchMarkDataReport!BV:BV),0)</f>
        <v>0</v>
      </c>
      <c r="BH43" s="89">
        <f t="shared" si="0"/>
        <v>5115298.4400000004</v>
      </c>
      <c r="BI43" s="90">
        <f t="shared" si="88"/>
        <v>5006936.4400000004</v>
      </c>
      <c r="BJ43" s="126">
        <f t="shared" si="89"/>
        <v>108362</v>
      </c>
      <c r="BK43" s="88">
        <f>IFERROR(_xlfn.XLOOKUP(A43,CFR20252026_BenchMarkDataReport!$B:$B,CFR20252026_BenchMarkDataReport!P:P)+_xlfn.XLOOKUP(A43,CFR20252026_BenchMarkDataReport!$B:$B,CFR20252026_BenchMarkDataReport!Q:Q),0)</f>
        <v>452834</v>
      </c>
      <c r="BL43" s="89">
        <f t="shared" si="1"/>
        <v>561196</v>
      </c>
      <c r="BM43" s="91">
        <f>SUMIFS(PP!I:I,PP!E:E,A43)</f>
        <v>607</v>
      </c>
      <c r="BN43" s="90">
        <f t="shared" si="133"/>
        <v>4255834.3500000006</v>
      </c>
      <c r="BO43" t="s">
        <v>173</v>
      </c>
      <c r="BP43" s="92">
        <f t="shared" si="22"/>
        <v>0.78183881486297013</v>
      </c>
      <c r="BQ43" s="93">
        <f t="shared" si="23"/>
        <v>6588.6966556836906</v>
      </c>
      <c r="BR43" s="94">
        <f t="shared" si="24"/>
        <v>0</v>
      </c>
      <c r="BS43" s="95">
        <f t="shared" si="25"/>
        <v>0</v>
      </c>
      <c r="BT43" s="92">
        <f t="shared" si="26"/>
        <v>5.0142818255585489E-2</v>
      </c>
      <c r="BU43" s="93">
        <f t="shared" si="27"/>
        <v>422.56257001647447</v>
      </c>
      <c r="BV43" s="94">
        <f t="shared" si="28"/>
        <v>0</v>
      </c>
      <c r="BW43" s="95">
        <f t="shared" si="29"/>
        <v>0</v>
      </c>
      <c r="BX43" s="92">
        <f t="shared" si="30"/>
        <v>5.8110978955902323E-2</v>
      </c>
      <c r="BY43" s="93">
        <f t="shared" si="31"/>
        <v>489.71169686985172</v>
      </c>
      <c r="BZ43" s="94">
        <f t="shared" si="32"/>
        <v>2.1016173593969231E-2</v>
      </c>
      <c r="CA43" s="95">
        <f t="shared" si="33"/>
        <v>177.10708401976936</v>
      </c>
      <c r="CB43" s="92">
        <f t="shared" si="34"/>
        <v>2.4182170688754574E-2</v>
      </c>
      <c r="CC43" s="93">
        <f t="shared" si="35"/>
        <v>203.78751235584843</v>
      </c>
      <c r="CD43" s="94">
        <f t="shared" si="36"/>
        <v>2.8125199670656947E-2</v>
      </c>
      <c r="CE43" s="96">
        <f t="shared" si="37"/>
        <v>237.01612850082373</v>
      </c>
      <c r="CF43" s="97">
        <f t="shared" si="38"/>
        <v>2.9334896440568185E-2</v>
      </c>
      <c r="CG43" s="98">
        <f t="shared" si="39"/>
        <v>247.21046128500825</v>
      </c>
      <c r="CH43" s="94">
        <f t="shared" si="40"/>
        <v>3.0137440035658994E-3</v>
      </c>
      <c r="CI43" s="95">
        <f t="shared" si="41"/>
        <v>25.397364085667217</v>
      </c>
      <c r="CJ43" s="99">
        <f t="shared" si="90"/>
        <v>0.5351042387258329</v>
      </c>
      <c r="CK43" s="97">
        <f t="shared" si="91"/>
        <v>0.44519689842377991</v>
      </c>
      <c r="CL43" s="97">
        <f t="shared" si="92"/>
        <v>0.45483201700079895</v>
      </c>
      <c r="CM43" s="98">
        <f t="shared" si="93"/>
        <v>3751.7545304777595</v>
      </c>
      <c r="CN43" s="94">
        <f t="shared" si="94"/>
        <v>0.244826279481484</v>
      </c>
      <c r="CO43" s="100">
        <f t="shared" si="95"/>
        <v>0.203690967833345</v>
      </c>
      <c r="CP43" s="100">
        <f t="shared" si="96"/>
        <v>0.20809932430458411</v>
      </c>
      <c r="CQ43" s="101">
        <f t="shared" si="97"/>
        <v>1716.5405107084018</v>
      </c>
      <c r="CR43" s="99">
        <f t="shared" si="98"/>
        <v>5.5333633932439119E-2</v>
      </c>
      <c r="CS43" s="97">
        <f t="shared" si="99"/>
        <v>4.6036567125495025E-2</v>
      </c>
      <c r="CT43" s="97">
        <f t="shared" si="100"/>
        <v>4.703290781138815E-2</v>
      </c>
      <c r="CU43" s="98">
        <f t="shared" si="101"/>
        <v>387.95845140032947</v>
      </c>
      <c r="CV43" s="94">
        <f t="shared" si="102"/>
        <v>4.8161876883201525E-2</v>
      </c>
      <c r="CW43" s="100">
        <f t="shared" si="103"/>
        <v>4.0069796983340816E-2</v>
      </c>
      <c r="CX43" s="100">
        <f t="shared" si="104"/>
        <v>4.0937002587554311E-2</v>
      </c>
      <c r="CY43" s="95">
        <f t="shared" si="105"/>
        <v>337.67540362438223</v>
      </c>
      <c r="CZ43" s="99">
        <f t="shared" si="106"/>
        <v>0.91035422936515353</v>
      </c>
      <c r="DA43" s="97">
        <f t="shared" si="107"/>
        <v>0.75739799846360467</v>
      </c>
      <c r="DB43" s="97">
        <f t="shared" si="108"/>
        <v>0.77378989057029046</v>
      </c>
      <c r="DC43" s="98">
        <f t="shared" si="109"/>
        <v>6382.7294892915979</v>
      </c>
      <c r="DD43" s="94">
        <f t="shared" si="110"/>
        <v>6.2304586643509739E-3</v>
      </c>
      <c r="DE43" s="100">
        <f t="shared" si="111"/>
        <v>5.2958131819224761E-3</v>
      </c>
      <c r="DF43" s="95">
        <f t="shared" si="112"/>
        <v>43.683360790774302</v>
      </c>
      <c r="DG43" s="99">
        <f t="shared" si="113"/>
        <v>2.0495267161809625E-3</v>
      </c>
      <c r="DH43" s="98">
        <f t="shared" si="114"/>
        <v>16.905848434925865</v>
      </c>
      <c r="DI43" s="94">
        <f t="shared" si="115"/>
        <v>8.3127977008785586E-3</v>
      </c>
      <c r="DJ43" s="100">
        <f t="shared" si="116"/>
        <v>7.0657757341133724E-3</v>
      </c>
      <c r="DK43" s="95">
        <f t="shared" si="117"/>
        <v>58.283179571663922</v>
      </c>
      <c r="DL43" s="99">
        <f t="shared" si="118"/>
        <v>4.8252582951213777E-3</v>
      </c>
      <c r="DM43" s="97">
        <f t="shared" si="119"/>
        <v>4.1014101628979336E-3</v>
      </c>
      <c r="DN43" s="102">
        <f t="shared" si="120"/>
        <v>33.83113673805601</v>
      </c>
      <c r="DO43" s="94">
        <f t="shared" si="121"/>
        <v>2.3435094460384717E-2</v>
      </c>
      <c r="DP43" s="100">
        <f t="shared" si="122"/>
        <v>1.9497568161438494E-2</v>
      </c>
      <c r="DQ43" s="100">
        <f t="shared" si="123"/>
        <v>1.9919541858614047E-2</v>
      </c>
      <c r="DR43" s="95">
        <f t="shared" si="124"/>
        <v>164.3095222405272</v>
      </c>
      <c r="DS43" s="99">
        <f t="shared" si="125"/>
        <v>2.2496998737744573E-3</v>
      </c>
      <c r="DT43" s="97">
        <f t="shared" si="126"/>
        <v>1.9122172040194701E-3</v>
      </c>
      <c r="DU43" s="98">
        <f t="shared" si="127"/>
        <v>15.773228995057661</v>
      </c>
      <c r="DV43" s="94">
        <f t="shared" si="128"/>
        <v>0.1007439281559443</v>
      </c>
      <c r="DW43" s="100">
        <f t="shared" si="129"/>
        <v>8.5631099003925029E-2</v>
      </c>
      <c r="DX43" s="95">
        <f t="shared" si="130"/>
        <v>706.34179571663913</v>
      </c>
      <c r="DY43" s="99">
        <f t="shared" si="131"/>
        <v>4.8823186179691141E-2</v>
      </c>
      <c r="DZ43" s="98">
        <f t="shared" si="132"/>
        <v>402.72584843492587</v>
      </c>
      <c r="EA43" s="94">
        <f t="shared" si="14"/>
        <v>1.8715116743123665E-3</v>
      </c>
      <c r="EB43" s="95">
        <f t="shared" si="84"/>
        <v>15.437462932454697</v>
      </c>
      <c r="EC43" s="103">
        <f>IFERROR(VLOOKUP(A43,PP!$E$3:$S$130,14,0),0)</f>
        <v>191</v>
      </c>
    </row>
    <row r="44" spans="1:133">
      <c r="A44" s="26">
        <v>5948</v>
      </c>
      <c r="B44" s="125">
        <v>10125</v>
      </c>
      <c r="C44" s="26" t="s">
        <v>68</v>
      </c>
      <c r="D44" s="88">
        <f>IFERROR(_xlfn.XLOOKUP($A44,CFR20252026_BenchMarkDataReport!$B:$B,CFR20252026_BenchMarkDataReport!S:S),0)</f>
        <v>1219173.83</v>
      </c>
      <c r="E44" s="88">
        <f>IFERROR(_xlfn.XLOOKUP($A44,CFR20252026_BenchMarkDataReport!$B:$B,CFR20252026_BenchMarkDataReport!T:T),0)</f>
        <v>0</v>
      </c>
      <c r="F44" s="88">
        <f>IFERROR(_xlfn.XLOOKUP($A44,CFR20252026_BenchMarkDataReport!$B:$B,CFR20252026_BenchMarkDataReport!U:U),0)</f>
        <v>83905.600000000006</v>
      </c>
      <c r="G44" s="88">
        <f>IFERROR(_xlfn.XLOOKUP($A44,CFR20252026_BenchMarkDataReport!$B:$B,CFR20252026_BenchMarkDataReport!V:V),0)</f>
        <v>0</v>
      </c>
      <c r="H44" s="88">
        <f>IFERROR(_xlfn.XLOOKUP($A44,CFR20252026_BenchMarkDataReport!$B:$B,CFR20252026_BenchMarkDataReport!W:W),0)</f>
        <v>6060</v>
      </c>
      <c r="I44" s="88">
        <f>IFERROR(_xlfn.XLOOKUP($A44,CFR20252026_BenchMarkDataReport!$B:$B,CFR20252026_BenchMarkDataReport!X:X),0)</f>
        <v>126629.14</v>
      </c>
      <c r="J44" s="88">
        <f>IFERROR(_xlfn.XLOOKUP($A44,CFR20252026_BenchMarkDataReport!$B:$B,CFR20252026_BenchMarkDataReport!Y:Y),0)</f>
        <v>102269.18</v>
      </c>
      <c r="K44" s="88">
        <f>IFERROR(_xlfn.XLOOKUP($A44,CFR20252026_BenchMarkDataReport!$B:$B,CFR20252026_BenchMarkDataReport!Z:Z),0)</f>
        <v>0</v>
      </c>
      <c r="L44" s="88">
        <f>IFERROR(_xlfn.XLOOKUP($A44,CFR20252026_BenchMarkDataReport!$B:$B,CFR20252026_BenchMarkDataReport!AA:AA),0)</f>
        <v>155718.56</v>
      </c>
      <c r="M44" s="88">
        <f>IFERROR(_xlfn.XLOOKUP($A44,CFR20252026_BenchMarkDataReport!$B:$B,CFR20252026_BenchMarkDataReport!AB:AB),0)</f>
        <v>0</v>
      </c>
      <c r="N44" s="88">
        <f>IFERROR(_xlfn.XLOOKUP($A44,CFR20252026_BenchMarkDataReport!$B:$B,CFR20252026_BenchMarkDataReport!AC:AC),0)</f>
        <v>6578</v>
      </c>
      <c r="O44" s="88">
        <f>IFERROR(_xlfn.XLOOKUP($A44,CFR20252026_BenchMarkDataReport!$B:$B,CFR20252026_BenchMarkDataReport!AD:AD),0)</f>
        <v>800</v>
      </c>
      <c r="P44" s="88">
        <f>IFERROR(_xlfn.XLOOKUP($A44,CFR20252026_BenchMarkDataReport!$B:$B,CFR20252026_BenchMarkDataReport!AE:AE),0)</f>
        <v>46467.46</v>
      </c>
      <c r="Q44" s="88">
        <f>IFERROR(_xlfn.XLOOKUP($A44,CFR20252026_BenchMarkDataReport!$B:$B,CFR20252026_BenchMarkDataReport!AF:AF),0)</f>
        <v>366109.34</v>
      </c>
      <c r="R44" s="88">
        <f>IFERROR(_xlfn.XLOOKUP($A44,CFR20252026_BenchMarkDataReport!$B:$B,CFR20252026_BenchMarkDataReport!AG:AG),0)</f>
        <v>0</v>
      </c>
      <c r="S44" s="88">
        <f>IFERROR(_xlfn.XLOOKUP($A44,CFR20252026_BenchMarkDataReport!$B:$B,CFR20252026_BenchMarkDataReport!AH:AH),0)</f>
        <v>0</v>
      </c>
      <c r="T44" s="88">
        <f>IFERROR(_xlfn.XLOOKUP($A44,CFR20252026_BenchMarkDataReport!$B:$B,CFR20252026_BenchMarkDataReport!AI:AI),0)</f>
        <v>0</v>
      </c>
      <c r="U44" s="88">
        <f>IFERROR(_xlfn.XLOOKUP($A44,CFR20252026_BenchMarkDataReport!$B:$B,CFR20252026_BenchMarkDataReport!AJ:AJ),0)</f>
        <v>960337.66</v>
      </c>
      <c r="V44" s="88">
        <f>IFERROR(_xlfn.XLOOKUP($A44,CFR20252026_BenchMarkDataReport!$B:$B,CFR20252026_BenchMarkDataReport!AK:AK),0)</f>
        <v>3319.4</v>
      </c>
      <c r="W44" s="88">
        <f>IFERROR(_xlfn.XLOOKUP($A44,CFR20252026_BenchMarkDataReport!$B:$B,CFR20252026_BenchMarkDataReport!AL:AL),0)</f>
        <v>378351.5</v>
      </c>
      <c r="X44" s="88">
        <f>IFERROR(_xlfn.XLOOKUP($A44,CFR20252026_BenchMarkDataReport!$B:$B,CFR20252026_BenchMarkDataReport!AM:AM),0)</f>
        <v>0</v>
      </c>
      <c r="Y44" s="88">
        <f>IFERROR(_xlfn.XLOOKUP($A44,CFR20252026_BenchMarkDataReport!$B:$B,CFR20252026_BenchMarkDataReport!AN:AN),0)</f>
        <v>95236.31</v>
      </c>
      <c r="Z44" s="88">
        <f>IFERROR(_xlfn.XLOOKUP($A44,CFR20252026_BenchMarkDataReport!$B:$B,CFR20252026_BenchMarkDataReport!AO:AO),0)</f>
        <v>0</v>
      </c>
      <c r="AA44" s="88">
        <f>IFERROR(_xlfn.XLOOKUP($A44,CFR20252026_BenchMarkDataReport!$B:$B,CFR20252026_BenchMarkDataReport!AP:AP),0)</f>
        <v>24568.66</v>
      </c>
      <c r="AB44" s="88">
        <f>IFERROR(_xlfn.XLOOKUP($A44,CFR20252026_BenchMarkDataReport!$B:$B,CFR20252026_BenchMarkDataReport!AQ:AQ),0)</f>
        <v>1450.5</v>
      </c>
      <c r="AC44" s="88">
        <f>IFERROR(_xlfn.XLOOKUP($A44,CFR20252026_BenchMarkDataReport!$B:$B,CFR20252026_BenchMarkDataReport!AR:AR),0)</f>
        <v>7344.52</v>
      </c>
      <c r="AD44" s="88">
        <f>IFERROR(_xlfn.XLOOKUP($A44,CFR20252026_BenchMarkDataReport!$B:$B,CFR20252026_BenchMarkDataReport!AS:AS),0)</f>
        <v>0</v>
      </c>
      <c r="AE44" s="88">
        <f>IFERROR(_xlfn.XLOOKUP($A44,CFR20252026_BenchMarkDataReport!$B:$B,CFR20252026_BenchMarkDataReport!AT:AT),0)</f>
        <v>0</v>
      </c>
      <c r="AF44" s="88">
        <f>IFERROR(_xlfn.XLOOKUP($A44,CFR20252026_BenchMarkDataReport!$B:$B,CFR20252026_BenchMarkDataReport!AU:AU),0)</f>
        <v>79672.97</v>
      </c>
      <c r="AG44" s="88">
        <f>IFERROR(_xlfn.XLOOKUP($A44,CFR20252026_BenchMarkDataReport!$B:$B,CFR20252026_BenchMarkDataReport!AV:AV),0)</f>
        <v>0</v>
      </c>
      <c r="AH44" s="88">
        <f>IFERROR(_xlfn.XLOOKUP($A44,CFR20252026_BenchMarkDataReport!$B:$B,CFR20252026_BenchMarkDataReport!AW:AW),0)</f>
        <v>75702.710000000006</v>
      </c>
      <c r="AI44" s="88">
        <f>IFERROR(_xlfn.XLOOKUP($A44,CFR20252026_BenchMarkDataReport!$B:$B,CFR20252026_BenchMarkDataReport!AX:AX),0)</f>
        <v>8883.17</v>
      </c>
      <c r="AJ44" s="88">
        <f>IFERROR(_xlfn.XLOOKUP($A44,CFR20252026_BenchMarkDataReport!$B:$B,CFR20252026_BenchMarkDataReport!AY:AY),0)</f>
        <v>24154.32</v>
      </c>
      <c r="AK44" s="88">
        <f>IFERROR(_xlfn.XLOOKUP($A44,CFR20252026_BenchMarkDataReport!$B:$B,CFR20252026_BenchMarkDataReport!AZ:AZ),0)</f>
        <v>19062.23</v>
      </c>
      <c r="AL44" s="88">
        <f>IFERROR(_xlfn.XLOOKUP($A44,CFR20252026_BenchMarkDataReport!$B:$B,CFR20252026_BenchMarkDataReport!BA:BA),0)</f>
        <v>77974.95</v>
      </c>
      <c r="AM44" s="88">
        <f>IFERROR(_xlfn.XLOOKUP($A44,CFR20252026_BenchMarkDataReport!$B:$B,CFR20252026_BenchMarkDataReport!BB:BB),0)</f>
        <v>97050.82</v>
      </c>
      <c r="AN44" s="88">
        <f>IFERROR(_xlfn.XLOOKUP($A44,CFR20252026_BenchMarkDataReport!$B:$B,CFR20252026_BenchMarkDataReport!BC:BC),0)</f>
        <v>0</v>
      </c>
      <c r="AO44" s="88">
        <f>IFERROR(_xlfn.XLOOKUP($A44,CFR20252026_BenchMarkDataReport!$B:$B,CFR20252026_BenchMarkDataReport!BD:BD),0)</f>
        <v>0</v>
      </c>
      <c r="AP44" s="88">
        <f>IFERROR(_xlfn.XLOOKUP($A44,CFR20252026_BenchMarkDataReport!$B:$B,CFR20252026_BenchMarkDataReport!BE:BE),0)</f>
        <v>15540.26</v>
      </c>
      <c r="AQ44" s="88">
        <f>IFERROR(_xlfn.XLOOKUP($A44,CFR20252026_BenchMarkDataReport!$B:$B,CFR20252026_BenchMarkDataReport!BF:BF),0)</f>
        <v>0</v>
      </c>
      <c r="AR44" s="88">
        <f>IFERROR(_xlfn.XLOOKUP($A44,CFR20252026_BenchMarkDataReport!$B:$B,CFR20252026_BenchMarkDataReport!BG:BG),0)</f>
        <v>0</v>
      </c>
      <c r="AS44" s="88">
        <f>IFERROR(_xlfn.XLOOKUP($A44,CFR20252026_BenchMarkDataReport!$B:$B,CFR20252026_BenchMarkDataReport!BH:BH),0)</f>
        <v>0</v>
      </c>
      <c r="AT44" s="88">
        <f>IFERROR(_xlfn.XLOOKUP($A44,CFR20252026_BenchMarkDataReport!$B:$B,CFR20252026_BenchMarkDataReport!BI:BI),0)</f>
        <v>0</v>
      </c>
      <c r="AU44" s="88">
        <f>IFERROR(_xlfn.XLOOKUP($A44,CFR20252026_BenchMarkDataReport!$B:$B,CFR20252026_BenchMarkDataReport!BJ:BJ),0)</f>
        <v>0</v>
      </c>
      <c r="AV44" s="88">
        <f>IFERROR(_xlfn.XLOOKUP($A44,CFR20252026_BenchMarkDataReport!$B:$B,CFR20252026_BenchMarkDataReport!BK:BK),0)</f>
        <v>19243.96</v>
      </c>
      <c r="AW44" s="88">
        <f>IFERROR(_xlfn.XLOOKUP($A44,CFR20252026_BenchMarkDataReport!$B:$B,CFR20252026_BenchMarkDataReport!BL:BL),0)</f>
        <v>8993.34</v>
      </c>
      <c r="AX44" s="88">
        <f>IFERROR(_xlfn.XLOOKUP($A44,CFR20252026_BenchMarkDataReport!$B:$B,CFR20252026_BenchMarkDataReport!BM:BM),0)</f>
        <v>1830.44</v>
      </c>
      <c r="AY44" s="88">
        <f>IFERROR(_xlfn.XLOOKUP($A44,CFR20252026_BenchMarkDataReport!$B:$B,CFR20252026_BenchMarkDataReport!BN:BN),0)</f>
        <v>113771.58</v>
      </c>
      <c r="AZ44" s="88">
        <f>IFERROR(_xlfn.XLOOKUP($A44,CFR20252026_BenchMarkDataReport!$B:$B,CFR20252026_BenchMarkDataReport!BO:BO),0)</f>
        <v>0</v>
      </c>
      <c r="BA44" s="88">
        <f>IFERROR(_xlfn.XLOOKUP($A44,CFR20252026_BenchMarkDataReport!$B:$B,CFR20252026_BenchMarkDataReport!BP:BP),0)</f>
        <v>25686.55</v>
      </c>
      <c r="BB44" s="88">
        <f>IFERROR(_xlfn.XLOOKUP($A44,CFR20252026_BenchMarkDataReport!$B:$B,CFR20252026_BenchMarkDataReport!BQ:BQ),0)</f>
        <v>41020.519999999997</v>
      </c>
      <c r="BC44" s="88">
        <f>IFERROR(_xlfn.XLOOKUP($A44,CFR20252026_BenchMarkDataReport!$B:$B,CFR20252026_BenchMarkDataReport!BR:BR),0)</f>
        <v>0</v>
      </c>
      <c r="BD44" s="88">
        <f>IFERROR(_xlfn.XLOOKUP($A44,CFR20252026_BenchMarkDataReport!$B:$B,CFR20252026_BenchMarkDataReport!BS:BS),0)</f>
        <v>0</v>
      </c>
      <c r="BE44" s="88">
        <f>IFERROR(_xlfn.XLOOKUP($A44,CFR20252026_BenchMarkDataReport!$B:$B,CFR20252026_BenchMarkDataReport!BT:BT),0)</f>
        <v>0</v>
      </c>
      <c r="BF44" s="88">
        <f>IFERROR(_xlfn.XLOOKUP($A44,CFR20252026_BenchMarkDataReport!$B:$B,CFR20252026_BenchMarkDataReport!BU:BU),0)</f>
        <v>0</v>
      </c>
      <c r="BG44" s="88">
        <f>IFERROR(_xlfn.XLOOKUP($A44,CFR20252026_BenchMarkDataReport!$B:$B,CFR20252026_BenchMarkDataReport!BV:BV),0)</f>
        <v>0</v>
      </c>
      <c r="BH44" s="89">
        <f t="shared" si="0"/>
        <v>2113711.11</v>
      </c>
      <c r="BI44" s="90">
        <f t="shared" si="88"/>
        <v>2079196.37</v>
      </c>
      <c r="BJ44" s="126">
        <f t="shared" si="89"/>
        <v>34514.739999999758</v>
      </c>
      <c r="BK44" s="88">
        <f>IFERROR(_xlfn.XLOOKUP(A44,CFR20252026_BenchMarkDataReport!$B:$B,CFR20252026_BenchMarkDataReport!P:P)+_xlfn.XLOOKUP(A44,CFR20252026_BenchMarkDataReport!$B:$B,CFR20252026_BenchMarkDataReport!Q:Q),0)</f>
        <v>88378.26</v>
      </c>
      <c r="BL44" s="89">
        <f t="shared" si="1"/>
        <v>122892.99999999975</v>
      </c>
      <c r="BM44" s="91">
        <f>SUMIFS(PP!I:I,PP!E:E,A44)</f>
        <v>193</v>
      </c>
      <c r="BN44" s="90">
        <f t="shared" si="133"/>
        <v>1303079.4300000002</v>
      </c>
      <c r="BO44" t="s">
        <v>173</v>
      </c>
      <c r="BP44" s="92">
        <f t="shared" si="22"/>
        <v>0.57679302731204363</v>
      </c>
      <c r="BQ44" s="93">
        <f t="shared" si="23"/>
        <v>6316.9628497409331</v>
      </c>
      <c r="BR44" s="94">
        <f t="shared" si="24"/>
        <v>0</v>
      </c>
      <c r="BS44" s="95">
        <f t="shared" si="25"/>
        <v>0</v>
      </c>
      <c r="BT44" s="92">
        <f t="shared" si="26"/>
        <v>3.9695869318679036E-2</v>
      </c>
      <c r="BU44" s="93">
        <f t="shared" si="27"/>
        <v>434.74404145077722</v>
      </c>
      <c r="BV44" s="94">
        <f t="shared" si="28"/>
        <v>0</v>
      </c>
      <c r="BW44" s="95">
        <f t="shared" si="29"/>
        <v>0</v>
      </c>
      <c r="BX44" s="92">
        <f t="shared" si="30"/>
        <v>2.8669953861386482E-3</v>
      </c>
      <c r="BY44" s="93">
        <f t="shared" si="31"/>
        <v>31.39896373056995</v>
      </c>
      <c r="BZ44" s="94">
        <f t="shared" si="32"/>
        <v>5.9908442265792894E-2</v>
      </c>
      <c r="CA44" s="95">
        <f t="shared" si="33"/>
        <v>656.10953367875652</v>
      </c>
      <c r="CB44" s="92">
        <f t="shared" si="34"/>
        <v>4.8383707459436119E-2</v>
      </c>
      <c r="CC44" s="93">
        <f t="shared" si="35"/>
        <v>529.89212435233162</v>
      </c>
      <c r="CD44" s="94">
        <f t="shared" si="36"/>
        <v>7.3670691923457793E-2</v>
      </c>
      <c r="CE44" s="96">
        <f t="shared" si="37"/>
        <v>806.83191709844562</v>
      </c>
      <c r="CF44" s="97">
        <f t="shared" si="38"/>
        <v>2.1983827297950856E-2</v>
      </c>
      <c r="CG44" s="98">
        <f t="shared" si="39"/>
        <v>240.7640414507772</v>
      </c>
      <c r="CH44" s="94">
        <f t="shared" si="40"/>
        <v>0.17320689580895474</v>
      </c>
      <c r="CI44" s="95">
        <f t="shared" si="41"/>
        <v>1896.9395854922282</v>
      </c>
      <c r="CJ44" s="99">
        <f t="shared" si="90"/>
        <v>0.73952288541612532</v>
      </c>
      <c r="CK44" s="97">
        <f t="shared" si="91"/>
        <v>0.45590764766335551</v>
      </c>
      <c r="CL44" s="97">
        <f t="shared" si="92"/>
        <v>0.46347573221282606</v>
      </c>
      <c r="CM44" s="98">
        <f t="shared" si="93"/>
        <v>4993.0417616580316</v>
      </c>
      <c r="CN44" s="94">
        <f t="shared" si="94"/>
        <v>0.29035183219798039</v>
      </c>
      <c r="CO44" s="100">
        <f t="shared" si="95"/>
        <v>0.1789986806664417</v>
      </c>
      <c r="CP44" s="100">
        <f t="shared" si="96"/>
        <v>0.18197006567494151</v>
      </c>
      <c r="CQ44" s="101">
        <f t="shared" si="97"/>
        <v>1960.3704663212436</v>
      </c>
      <c r="CR44" s="99">
        <f t="shared" si="98"/>
        <v>0</v>
      </c>
      <c r="CS44" s="97">
        <f t="shared" si="99"/>
        <v>0</v>
      </c>
      <c r="CT44" s="97">
        <f t="shared" si="100"/>
        <v>0</v>
      </c>
      <c r="CU44" s="98">
        <f t="shared" si="101"/>
        <v>0</v>
      </c>
      <c r="CV44" s="94">
        <f t="shared" si="102"/>
        <v>7.3085575451068238E-2</v>
      </c>
      <c r="CW44" s="100">
        <f t="shared" si="103"/>
        <v>4.505644576945049E-2</v>
      </c>
      <c r="CX44" s="100">
        <f t="shared" si="104"/>
        <v>4.5804384508424278E-2</v>
      </c>
      <c r="CY44" s="95">
        <f t="shared" si="105"/>
        <v>493.45238341968911</v>
      </c>
      <c r="CZ44" s="99">
        <f t="shared" si="106"/>
        <v>1.1218146003578615</v>
      </c>
      <c r="DA44" s="97">
        <f t="shared" si="107"/>
        <v>0.69158624519885314</v>
      </c>
      <c r="DB44" s="97">
        <f t="shared" si="108"/>
        <v>0.70306660356472239</v>
      </c>
      <c r="DC44" s="98">
        <f t="shared" si="109"/>
        <v>7574.163367875648</v>
      </c>
      <c r="DD44" s="94">
        <f t="shared" si="110"/>
        <v>6.1142067141678379E-2</v>
      </c>
      <c r="DE44" s="100">
        <f t="shared" si="111"/>
        <v>3.8319117496343071E-2</v>
      </c>
      <c r="DF44" s="95">
        <f t="shared" si="112"/>
        <v>412.81331606217617</v>
      </c>
      <c r="DG44" s="99">
        <f t="shared" si="113"/>
        <v>4.2724054967448796E-3</v>
      </c>
      <c r="DH44" s="98">
        <f t="shared" si="114"/>
        <v>46.026787564766842</v>
      </c>
      <c r="DI44" s="94">
        <f t="shared" si="115"/>
        <v>1.8536337420352031E-2</v>
      </c>
      <c r="DJ44" s="100">
        <f t="shared" si="116"/>
        <v>1.1617142251936502E-2</v>
      </c>
      <c r="DK44" s="95">
        <f t="shared" si="117"/>
        <v>125.15191709844559</v>
      </c>
      <c r="DL44" s="99">
        <f t="shared" si="118"/>
        <v>5.9838984642708995E-2</v>
      </c>
      <c r="DM44" s="97">
        <f t="shared" si="119"/>
        <v>3.7502446197518129E-2</v>
      </c>
      <c r="DN44" s="102">
        <f t="shared" si="120"/>
        <v>404.01528497409328</v>
      </c>
      <c r="DO44" s="94">
        <f t="shared" si="121"/>
        <v>7.447805388194946E-2</v>
      </c>
      <c r="DP44" s="100">
        <f t="shared" si="122"/>
        <v>4.591489326088654E-2</v>
      </c>
      <c r="DQ44" s="100">
        <f t="shared" si="123"/>
        <v>4.6677082261354662E-2</v>
      </c>
      <c r="DR44" s="95">
        <f t="shared" si="124"/>
        <v>502.85398963730574</v>
      </c>
      <c r="DS44" s="99">
        <f t="shared" si="125"/>
        <v>1.4768063678205708E-2</v>
      </c>
      <c r="DT44" s="97">
        <f t="shared" si="126"/>
        <v>9.2554797986685589E-3</v>
      </c>
      <c r="DU44" s="98">
        <f t="shared" si="127"/>
        <v>99.709637305699474</v>
      </c>
      <c r="DV44" s="94">
        <f t="shared" si="128"/>
        <v>1.9712190530089171E-2</v>
      </c>
      <c r="DW44" s="100">
        <f t="shared" si="129"/>
        <v>1.2354076012550945E-2</v>
      </c>
      <c r="DX44" s="95">
        <f t="shared" si="130"/>
        <v>133.09093264248705</v>
      </c>
      <c r="DY44" s="99">
        <f t="shared" si="131"/>
        <v>5.4719016270695003E-2</v>
      </c>
      <c r="DZ44" s="98">
        <f t="shared" si="132"/>
        <v>589.4900518134715</v>
      </c>
      <c r="EA44" s="94">
        <f t="shared" si="14"/>
        <v>3.6409600888250876E-2</v>
      </c>
      <c r="EB44" s="95">
        <f t="shared" si="84"/>
        <v>392.24202072538861</v>
      </c>
      <c r="EC44" s="103">
        <f>IFERROR(VLOOKUP(A44,PP!$E$3:$S$130,14,0),0)</f>
        <v>4</v>
      </c>
    </row>
    <row r="45" spans="1:133">
      <c r="A45" s="26">
        <v>5949</v>
      </c>
      <c r="B45" s="125">
        <v>10126</v>
      </c>
      <c r="C45" s="26" t="s">
        <v>69</v>
      </c>
      <c r="D45" s="88">
        <f>IFERROR(_xlfn.XLOOKUP($A45,CFR20252026_BenchMarkDataReport!$B:$B,CFR20252026_BenchMarkDataReport!S:S),0)</f>
        <v>1749710.33</v>
      </c>
      <c r="E45" s="88">
        <f>IFERROR(_xlfn.XLOOKUP($A45,CFR20252026_BenchMarkDataReport!$B:$B,CFR20252026_BenchMarkDataReport!T:T),0)</f>
        <v>0</v>
      </c>
      <c r="F45" s="88">
        <f>IFERROR(_xlfn.XLOOKUP($A45,CFR20252026_BenchMarkDataReport!$B:$B,CFR20252026_BenchMarkDataReport!U:U),0)</f>
        <v>99984.94</v>
      </c>
      <c r="G45" s="88">
        <f>IFERROR(_xlfn.XLOOKUP($A45,CFR20252026_BenchMarkDataReport!$B:$B,CFR20252026_BenchMarkDataReport!V:V),0)</f>
        <v>0</v>
      </c>
      <c r="H45" s="88">
        <f>IFERROR(_xlfn.XLOOKUP($A45,CFR20252026_BenchMarkDataReport!$B:$B,CFR20252026_BenchMarkDataReport!W:W),0)</f>
        <v>16665</v>
      </c>
      <c r="I45" s="88">
        <f>IFERROR(_xlfn.XLOOKUP($A45,CFR20252026_BenchMarkDataReport!$B:$B,CFR20252026_BenchMarkDataReport!X:X),0)</f>
        <v>127191</v>
      </c>
      <c r="J45" s="88">
        <f>IFERROR(_xlfn.XLOOKUP($A45,CFR20252026_BenchMarkDataReport!$B:$B,CFR20252026_BenchMarkDataReport!Y:Y),0)</f>
        <v>130004.78</v>
      </c>
      <c r="K45" s="88">
        <f>IFERROR(_xlfn.XLOOKUP($A45,CFR20252026_BenchMarkDataReport!$B:$B,CFR20252026_BenchMarkDataReport!Z:Z),0)</f>
        <v>0</v>
      </c>
      <c r="L45" s="88">
        <f>IFERROR(_xlfn.XLOOKUP($A45,CFR20252026_BenchMarkDataReport!$B:$B,CFR20252026_BenchMarkDataReport!AA:AA),0)</f>
        <v>2457.7199999999998</v>
      </c>
      <c r="M45" s="88">
        <f>IFERROR(_xlfn.XLOOKUP($A45,CFR20252026_BenchMarkDataReport!$B:$B,CFR20252026_BenchMarkDataReport!AB:AB),0)</f>
        <v>265</v>
      </c>
      <c r="N45" s="88">
        <f>IFERROR(_xlfn.XLOOKUP($A45,CFR20252026_BenchMarkDataReport!$B:$B,CFR20252026_BenchMarkDataReport!AC:AC),0)</f>
        <v>0</v>
      </c>
      <c r="O45" s="88">
        <f>IFERROR(_xlfn.XLOOKUP($A45,CFR20252026_BenchMarkDataReport!$B:$B,CFR20252026_BenchMarkDataReport!AD:AD),0)</f>
        <v>19890</v>
      </c>
      <c r="P45" s="88">
        <f>IFERROR(_xlfn.XLOOKUP($A45,CFR20252026_BenchMarkDataReport!$B:$B,CFR20252026_BenchMarkDataReport!AE:AE),0)</f>
        <v>23506.87</v>
      </c>
      <c r="Q45" s="88">
        <f>IFERROR(_xlfn.XLOOKUP($A45,CFR20252026_BenchMarkDataReport!$B:$B,CFR20252026_BenchMarkDataReport!AF:AF),0)</f>
        <v>987360</v>
      </c>
      <c r="R45" s="88">
        <f>IFERROR(_xlfn.XLOOKUP($A45,CFR20252026_BenchMarkDataReport!$B:$B,CFR20252026_BenchMarkDataReport!AG:AG),0)</f>
        <v>0</v>
      </c>
      <c r="S45" s="88">
        <f>IFERROR(_xlfn.XLOOKUP($A45,CFR20252026_BenchMarkDataReport!$B:$B,CFR20252026_BenchMarkDataReport!AH:AH),0)</f>
        <v>0</v>
      </c>
      <c r="T45" s="88">
        <f>IFERROR(_xlfn.XLOOKUP($A45,CFR20252026_BenchMarkDataReport!$B:$B,CFR20252026_BenchMarkDataReport!AI:AI),0)</f>
        <v>0</v>
      </c>
      <c r="U45" s="88">
        <f>IFERROR(_xlfn.XLOOKUP($A45,CFR20252026_BenchMarkDataReport!$B:$B,CFR20252026_BenchMarkDataReport!AJ:AJ),0)</f>
        <v>1083123.8700000001</v>
      </c>
      <c r="V45" s="88">
        <f>IFERROR(_xlfn.XLOOKUP($A45,CFR20252026_BenchMarkDataReport!$B:$B,CFR20252026_BenchMarkDataReport!AK:AK),0)</f>
        <v>0</v>
      </c>
      <c r="W45" s="88">
        <f>IFERROR(_xlfn.XLOOKUP($A45,CFR20252026_BenchMarkDataReport!$B:$B,CFR20252026_BenchMarkDataReport!AL:AL),0)</f>
        <v>977032.26</v>
      </c>
      <c r="X45" s="88">
        <f>IFERROR(_xlfn.XLOOKUP($A45,CFR20252026_BenchMarkDataReport!$B:$B,CFR20252026_BenchMarkDataReport!AM:AM),0)</f>
        <v>43161.27</v>
      </c>
      <c r="Y45" s="88">
        <f>IFERROR(_xlfn.XLOOKUP($A45,CFR20252026_BenchMarkDataReport!$B:$B,CFR20252026_BenchMarkDataReport!AN:AN),0)</f>
        <v>102600.19</v>
      </c>
      <c r="Z45" s="88">
        <f>IFERROR(_xlfn.XLOOKUP($A45,CFR20252026_BenchMarkDataReport!$B:$B,CFR20252026_BenchMarkDataReport!AO:AO),0)</f>
        <v>0</v>
      </c>
      <c r="AA45" s="88">
        <f>IFERROR(_xlfn.XLOOKUP($A45,CFR20252026_BenchMarkDataReport!$B:$B,CFR20252026_BenchMarkDataReport!AP:AP),0)</f>
        <v>4304.3999999999996</v>
      </c>
      <c r="AB45" s="88">
        <f>IFERROR(_xlfn.XLOOKUP($A45,CFR20252026_BenchMarkDataReport!$B:$B,CFR20252026_BenchMarkDataReport!AQ:AQ),0)</f>
        <v>18876.650000000001</v>
      </c>
      <c r="AC45" s="88">
        <f>IFERROR(_xlfn.XLOOKUP($A45,CFR20252026_BenchMarkDataReport!$B:$B,CFR20252026_BenchMarkDataReport!AR:AR),0)</f>
        <v>18118.11</v>
      </c>
      <c r="AD45" s="88">
        <f>IFERROR(_xlfn.XLOOKUP($A45,CFR20252026_BenchMarkDataReport!$B:$B,CFR20252026_BenchMarkDataReport!AS:AS),0)</f>
        <v>494.14</v>
      </c>
      <c r="AE45" s="88">
        <f>IFERROR(_xlfn.XLOOKUP($A45,CFR20252026_BenchMarkDataReport!$B:$B,CFR20252026_BenchMarkDataReport!AT:AT),0)</f>
        <v>0</v>
      </c>
      <c r="AF45" s="88">
        <f>IFERROR(_xlfn.XLOOKUP($A45,CFR20252026_BenchMarkDataReport!$B:$B,CFR20252026_BenchMarkDataReport!AU:AU),0)</f>
        <v>66534.14</v>
      </c>
      <c r="AG45" s="88">
        <f>IFERROR(_xlfn.XLOOKUP($A45,CFR20252026_BenchMarkDataReport!$B:$B,CFR20252026_BenchMarkDataReport!AV:AV),0)</f>
        <v>0</v>
      </c>
      <c r="AH45" s="88">
        <f>IFERROR(_xlfn.XLOOKUP($A45,CFR20252026_BenchMarkDataReport!$B:$B,CFR20252026_BenchMarkDataReport!AW:AW),0)</f>
        <v>90749.1</v>
      </c>
      <c r="AI45" s="88">
        <f>IFERROR(_xlfn.XLOOKUP($A45,CFR20252026_BenchMarkDataReport!$B:$B,CFR20252026_BenchMarkDataReport!AX:AX),0)</f>
        <v>4141.8100000000004</v>
      </c>
      <c r="AJ45" s="88">
        <f>IFERROR(_xlfn.XLOOKUP($A45,CFR20252026_BenchMarkDataReport!$B:$B,CFR20252026_BenchMarkDataReport!AY:AY),0)</f>
        <v>26666.65</v>
      </c>
      <c r="AK45" s="88">
        <f>IFERROR(_xlfn.XLOOKUP($A45,CFR20252026_BenchMarkDataReport!$B:$B,CFR20252026_BenchMarkDataReport!AZ:AZ),0)</f>
        <v>43116.97</v>
      </c>
      <c r="AL45" s="88">
        <f>IFERROR(_xlfn.XLOOKUP($A45,CFR20252026_BenchMarkDataReport!$B:$B,CFR20252026_BenchMarkDataReport!BA:BA),0)</f>
        <v>13914.94</v>
      </c>
      <c r="AM45" s="88">
        <f>IFERROR(_xlfn.XLOOKUP($A45,CFR20252026_BenchMarkDataReport!$B:$B,CFR20252026_BenchMarkDataReport!BB:BB),0)</f>
        <v>155728.15</v>
      </c>
      <c r="AN45" s="88">
        <f>IFERROR(_xlfn.XLOOKUP($A45,CFR20252026_BenchMarkDataReport!$B:$B,CFR20252026_BenchMarkDataReport!BC:BC),0)</f>
        <v>10296.75</v>
      </c>
      <c r="AO45" s="88">
        <f>IFERROR(_xlfn.XLOOKUP($A45,CFR20252026_BenchMarkDataReport!$B:$B,CFR20252026_BenchMarkDataReport!BD:BD),0)</f>
        <v>0</v>
      </c>
      <c r="AP45" s="88">
        <f>IFERROR(_xlfn.XLOOKUP($A45,CFR20252026_BenchMarkDataReport!$B:$B,CFR20252026_BenchMarkDataReport!BE:BE),0)</f>
        <v>3137.86</v>
      </c>
      <c r="AQ45" s="88">
        <f>IFERROR(_xlfn.XLOOKUP($A45,CFR20252026_BenchMarkDataReport!$B:$B,CFR20252026_BenchMarkDataReport!BF:BF),0)</f>
        <v>16886.400000000001</v>
      </c>
      <c r="AR45" s="88">
        <f>IFERROR(_xlfn.XLOOKUP($A45,CFR20252026_BenchMarkDataReport!$B:$B,CFR20252026_BenchMarkDataReport!BG:BG),0)</f>
        <v>8392.74</v>
      </c>
      <c r="AS45" s="88">
        <f>IFERROR(_xlfn.XLOOKUP($A45,CFR20252026_BenchMarkDataReport!$B:$B,CFR20252026_BenchMarkDataReport!BH:BH),0)</f>
        <v>5752.29</v>
      </c>
      <c r="AT45" s="88">
        <f>IFERROR(_xlfn.XLOOKUP($A45,CFR20252026_BenchMarkDataReport!$B:$B,CFR20252026_BenchMarkDataReport!BI:BI),0)</f>
        <v>8838.75</v>
      </c>
      <c r="AU45" s="88">
        <f>IFERROR(_xlfn.XLOOKUP($A45,CFR20252026_BenchMarkDataReport!$B:$B,CFR20252026_BenchMarkDataReport!BJ:BJ),0)</f>
        <v>0</v>
      </c>
      <c r="AV45" s="88">
        <f>IFERROR(_xlfn.XLOOKUP($A45,CFR20252026_BenchMarkDataReport!$B:$B,CFR20252026_BenchMarkDataReport!BK:BK),0)</f>
        <v>3216.16</v>
      </c>
      <c r="AW45" s="88">
        <f>IFERROR(_xlfn.XLOOKUP($A45,CFR20252026_BenchMarkDataReport!$B:$B,CFR20252026_BenchMarkDataReport!BL:BL),0)</f>
        <v>19750.86</v>
      </c>
      <c r="AX45" s="88">
        <f>IFERROR(_xlfn.XLOOKUP($A45,CFR20252026_BenchMarkDataReport!$B:$B,CFR20252026_BenchMarkDataReport!BM:BM),0)</f>
        <v>1218.93</v>
      </c>
      <c r="AY45" s="88">
        <f>IFERROR(_xlfn.XLOOKUP($A45,CFR20252026_BenchMarkDataReport!$B:$B,CFR20252026_BenchMarkDataReport!BN:BN),0)</f>
        <v>29387.48</v>
      </c>
      <c r="AZ45" s="88">
        <f>IFERROR(_xlfn.XLOOKUP($A45,CFR20252026_BenchMarkDataReport!$B:$B,CFR20252026_BenchMarkDataReport!BO:BO),0)</f>
        <v>169254.83</v>
      </c>
      <c r="BA45" s="88">
        <f>IFERROR(_xlfn.XLOOKUP($A45,CFR20252026_BenchMarkDataReport!$B:$B,CFR20252026_BenchMarkDataReport!BP:BP),0)</f>
        <v>46178.98</v>
      </c>
      <c r="BB45" s="88">
        <f>IFERROR(_xlfn.XLOOKUP($A45,CFR20252026_BenchMarkDataReport!$B:$B,CFR20252026_BenchMarkDataReport!BQ:BQ),0)</f>
        <v>155637.68</v>
      </c>
      <c r="BC45" s="88">
        <f>IFERROR(_xlfn.XLOOKUP($A45,CFR20252026_BenchMarkDataReport!$B:$B,CFR20252026_BenchMarkDataReport!BR:BR),0)</f>
        <v>0</v>
      </c>
      <c r="BD45" s="88">
        <f>IFERROR(_xlfn.XLOOKUP($A45,CFR20252026_BenchMarkDataReport!$B:$B,CFR20252026_BenchMarkDataReport!BS:BS),0)</f>
        <v>0</v>
      </c>
      <c r="BE45" s="88">
        <f>IFERROR(_xlfn.XLOOKUP($A45,CFR20252026_BenchMarkDataReport!$B:$B,CFR20252026_BenchMarkDataReport!BT:BT),0)</f>
        <v>0</v>
      </c>
      <c r="BF45" s="88">
        <f>IFERROR(_xlfn.XLOOKUP($A45,CFR20252026_BenchMarkDataReport!$B:$B,CFR20252026_BenchMarkDataReport!BU:BU),0)</f>
        <v>0</v>
      </c>
      <c r="BG45" s="88">
        <f>IFERROR(_xlfn.XLOOKUP($A45,CFR20252026_BenchMarkDataReport!$B:$B,CFR20252026_BenchMarkDataReport!BV:BV),0)</f>
        <v>0</v>
      </c>
      <c r="BH45" s="89">
        <f t="shared" si="0"/>
        <v>3157035.64</v>
      </c>
      <c r="BI45" s="90">
        <f t="shared" si="88"/>
        <v>3126512.3600000003</v>
      </c>
      <c r="BJ45" s="126">
        <f t="shared" si="89"/>
        <v>30523.279999999795</v>
      </c>
      <c r="BK45" s="88">
        <f>IFERROR(_xlfn.XLOOKUP(A45,CFR20252026_BenchMarkDataReport!$B:$B,CFR20252026_BenchMarkDataReport!P:P)+_xlfn.XLOOKUP(A45,CFR20252026_BenchMarkDataReport!$B:$B,CFR20252026_BenchMarkDataReport!Q:Q),0)</f>
        <v>-19620.28</v>
      </c>
      <c r="BL45" s="89">
        <f t="shared" si="1"/>
        <v>10902.999999999796</v>
      </c>
      <c r="BM45" s="91">
        <f>SUMIFS(PP!I:I,PP!E:E,A45)</f>
        <v>289</v>
      </c>
      <c r="BN45" s="90">
        <f t="shared" si="133"/>
        <v>1849695.27</v>
      </c>
      <c r="BO45" t="s">
        <v>173</v>
      </c>
      <c r="BP45" s="92">
        <f t="shared" si="22"/>
        <v>0.55422571346074512</v>
      </c>
      <c r="BQ45" s="93">
        <f t="shared" si="23"/>
        <v>6054.3610034602079</v>
      </c>
      <c r="BR45" s="94">
        <f t="shared" si="24"/>
        <v>0</v>
      </c>
      <c r="BS45" s="95">
        <f t="shared" si="25"/>
        <v>0</v>
      </c>
      <c r="BT45" s="92">
        <f t="shared" si="26"/>
        <v>3.1670513545421997E-2</v>
      </c>
      <c r="BU45" s="93">
        <f t="shared" si="27"/>
        <v>345.96865051903114</v>
      </c>
      <c r="BV45" s="94">
        <f t="shared" si="28"/>
        <v>0</v>
      </c>
      <c r="BW45" s="95">
        <f t="shared" si="29"/>
        <v>0</v>
      </c>
      <c r="BX45" s="92">
        <f t="shared" si="30"/>
        <v>5.2786860524640768E-3</v>
      </c>
      <c r="BY45" s="93">
        <f t="shared" si="31"/>
        <v>57.664359861591699</v>
      </c>
      <c r="BZ45" s="94">
        <f t="shared" si="32"/>
        <v>4.0288110272964799E-2</v>
      </c>
      <c r="CA45" s="95">
        <f t="shared" si="33"/>
        <v>440.10726643598616</v>
      </c>
      <c r="CB45" s="92">
        <f t="shared" si="34"/>
        <v>4.1179383074687111E-2</v>
      </c>
      <c r="CC45" s="93">
        <f t="shared" si="35"/>
        <v>449.84352941176468</v>
      </c>
      <c r="CD45" s="94">
        <f t="shared" si="36"/>
        <v>7.7848978607032758E-4</v>
      </c>
      <c r="CE45" s="96">
        <f t="shared" si="37"/>
        <v>8.5042214532871974</v>
      </c>
      <c r="CF45" s="97">
        <f t="shared" si="38"/>
        <v>7.4458677951446881E-3</v>
      </c>
      <c r="CG45" s="98">
        <f t="shared" si="39"/>
        <v>81.338650519031134</v>
      </c>
      <c r="CH45" s="94">
        <f t="shared" si="40"/>
        <v>0.31274908255391121</v>
      </c>
      <c r="CI45" s="95">
        <f t="shared" si="41"/>
        <v>3416.4705882352941</v>
      </c>
      <c r="CJ45" s="99">
        <f t="shared" si="90"/>
        <v>0.67707298618977396</v>
      </c>
      <c r="CK45" s="97">
        <f t="shared" si="91"/>
        <v>0.39669450801638723</v>
      </c>
      <c r="CL45" s="97">
        <f t="shared" si="92"/>
        <v>0.40056732735897455</v>
      </c>
      <c r="CM45" s="98">
        <f t="shared" si="93"/>
        <v>4333.4903114186855</v>
      </c>
      <c r="CN45" s="94">
        <f t="shared" si="94"/>
        <v>0.52821255254656085</v>
      </c>
      <c r="CO45" s="100">
        <f t="shared" si="95"/>
        <v>0.30947774159432673</v>
      </c>
      <c r="CP45" s="100">
        <f t="shared" si="96"/>
        <v>0.31249908764154061</v>
      </c>
      <c r="CQ45" s="101">
        <f t="shared" si="97"/>
        <v>3380.7344636678199</v>
      </c>
      <c r="CR45" s="99">
        <f t="shared" si="98"/>
        <v>2.3334259810265934E-2</v>
      </c>
      <c r="CS45" s="97">
        <f t="shared" si="99"/>
        <v>1.367145478281645E-2</v>
      </c>
      <c r="CT45" s="97">
        <f t="shared" si="100"/>
        <v>1.3804925434550334E-2</v>
      </c>
      <c r="CU45" s="98">
        <f t="shared" si="101"/>
        <v>149.34695501730101</v>
      </c>
      <c r="CV45" s="94">
        <f t="shared" si="102"/>
        <v>5.5468698906279847E-2</v>
      </c>
      <c r="CW45" s="100">
        <f t="shared" si="103"/>
        <v>3.2498901406130466E-2</v>
      </c>
      <c r="CX45" s="100">
        <f t="shared" si="104"/>
        <v>3.2816179239412949E-2</v>
      </c>
      <c r="CY45" s="95">
        <f t="shared" si="105"/>
        <v>355.01795847750867</v>
      </c>
      <c r="CZ45" s="99">
        <f t="shared" si="106"/>
        <v>1.1949114137054584</v>
      </c>
      <c r="DA45" s="97">
        <f t="shared" si="107"/>
        <v>0.70009408889663327</v>
      </c>
      <c r="DB45" s="97">
        <f t="shared" si="108"/>
        <v>0.70692891487561549</v>
      </c>
      <c r="DC45" s="98">
        <f t="shared" si="109"/>
        <v>7647.8269550173</v>
      </c>
      <c r="DD45" s="94">
        <f t="shared" si="110"/>
        <v>3.5970324993046018E-2</v>
      </c>
      <c r="DE45" s="100">
        <f t="shared" si="111"/>
        <v>2.1280625930421716E-2</v>
      </c>
      <c r="DF45" s="95">
        <f t="shared" si="112"/>
        <v>230.22193771626297</v>
      </c>
      <c r="DG45" s="99">
        <f t="shared" si="113"/>
        <v>1.3247380861145868E-3</v>
      </c>
      <c r="DH45" s="98">
        <f t="shared" si="114"/>
        <v>14.331522491349482</v>
      </c>
      <c r="DI45" s="94">
        <f t="shared" si="115"/>
        <v>1.4416780121841367E-2</v>
      </c>
      <c r="DJ45" s="100">
        <f t="shared" si="116"/>
        <v>8.5292002491875636E-3</v>
      </c>
      <c r="DK45" s="95">
        <f t="shared" si="117"/>
        <v>92.272145328719731</v>
      </c>
      <c r="DL45" s="99">
        <f t="shared" si="118"/>
        <v>7.5228283413407877E-3</v>
      </c>
      <c r="DM45" s="97">
        <f t="shared" si="119"/>
        <v>4.4506268959704351E-3</v>
      </c>
      <c r="DN45" s="102">
        <f t="shared" si="120"/>
        <v>48.148581314878896</v>
      </c>
      <c r="DO45" s="94">
        <f t="shared" si="121"/>
        <v>8.419124626944631E-2</v>
      </c>
      <c r="DP45" s="100">
        <f t="shared" si="122"/>
        <v>4.9327333536215635E-2</v>
      </c>
      <c r="DQ45" s="100">
        <f t="shared" si="123"/>
        <v>4.9808902722521135E-2</v>
      </c>
      <c r="DR45" s="95">
        <f t="shared" si="124"/>
        <v>538.85173010380618</v>
      </c>
      <c r="DS45" s="99">
        <f t="shared" si="125"/>
        <v>1.7387512700943436E-3</v>
      </c>
      <c r="DT45" s="97">
        <f t="shared" si="126"/>
        <v>1.0286733681743702E-3</v>
      </c>
      <c r="DU45" s="98">
        <f t="shared" si="127"/>
        <v>11.128581314878891</v>
      </c>
      <c r="DV45" s="94">
        <f t="shared" si="128"/>
        <v>2.4965723137736089E-2</v>
      </c>
      <c r="DW45" s="100">
        <f t="shared" si="129"/>
        <v>1.4770125520949483E-2</v>
      </c>
      <c r="DX45" s="95">
        <f t="shared" si="130"/>
        <v>159.7888581314879</v>
      </c>
      <c r="DY45" s="99">
        <f t="shared" si="131"/>
        <v>9.3994446898652256E-3</v>
      </c>
      <c r="DZ45" s="98">
        <f t="shared" si="132"/>
        <v>101.68678200692041</v>
      </c>
      <c r="EA45" s="94">
        <f t="shared" si="14"/>
        <v>2.9025664878548567E-2</v>
      </c>
      <c r="EB45" s="95">
        <f t="shared" si="84"/>
        <v>314.01072664359862</v>
      </c>
      <c r="EC45" s="103">
        <f>IFERROR(VLOOKUP(A45,PP!$E$3:$S$130,14,0),0)</f>
        <v>11</v>
      </c>
    </row>
    <row r="46" spans="1:133">
      <c r="A46" s="26">
        <v>3513</v>
      </c>
      <c r="B46" s="125">
        <v>10114</v>
      </c>
      <c r="C46" s="26" t="s">
        <v>70</v>
      </c>
      <c r="D46" s="88">
        <f>IFERROR(_xlfn.XLOOKUP($A46,CFR20252026_BenchMarkDataReport!$B:$B,CFR20252026_BenchMarkDataReport!S:S),0)</f>
        <v>2313039.58</v>
      </c>
      <c r="E46" s="88">
        <f>IFERROR(_xlfn.XLOOKUP($A46,CFR20252026_BenchMarkDataReport!$B:$B,CFR20252026_BenchMarkDataReport!T:T),0)</f>
        <v>0</v>
      </c>
      <c r="F46" s="88">
        <f>IFERROR(_xlfn.XLOOKUP($A46,CFR20252026_BenchMarkDataReport!$B:$B,CFR20252026_BenchMarkDataReport!U:U),0)</f>
        <v>82214.44</v>
      </c>
      <c r="G46" s="88">
        <f>IFERROR(_xlfn.XLOOKUP($A46,CFR20252026_BenchMarkDataReport!$B:$B,CFR20252026_BenchMarkDataReport!V:V),0)</f>
        <v>0</v>
      </c>
      <c r="H46" s="88">
        <f>IFERROR(_xlfn.XLOOKUP($A46,CFR20252026_BenchMarkDataReport!$B:$B,CFR20252026_BenchMarkDataReport!W:W),0)</f>
        <v>6060</v>
      </c>
      <c r="I46" s="88">
        <f>IFERROR(_xlfn.XLOOKUP($A46,CFR20252026_BenchMarkDataReport!$B:$B,CFR20252026_BenchMarkDataReport!X:X),0)</f>
        <v>190568.2</v>
      </c>
      <c r="J46" s="88">
        <f>IFERROR(_xlfn.XLOOKUP($A46,CFR20252026_BenchMarkDataReport!$B:$B,CFR20252026_BenchMarkDataReport!Y:Y),0)</f>
        <v>159990.51</v>
      </c>
      <c r="K46" s="88">
        <f>IFERROR(_xlfn.XLOOKUP($A46,CFR20252026_BenchMarkDataReport!$B:$B,CFR20252026_BenchMarkDataReport!Z:Z),0)</f>
        <v>0</v>
      </c>
      <c r="L46" s="88">
        <f>IFERROR(_xlfn.XLOOKUP($A46,CFR20252026_BenchMarkDataReport!$B:$B,CFR20252026_BenchMarkDataReport!AA:AA),0)</f>
        <v>2102.1799999999998</v>
      </c>
      <c r="M46" s="88">
        <f>IFERROR(_xlfn.XLOOKUP($A46,CFR20252026_BenchMarkDataReport!$B:$B,CFR20252026_BenchMarkDataReport!AB:AB),0)</f>
        <v>42067.86</v>
      </c>
      <c r="N46" s="88">
        <f>IFERROR(_xlfn.XLOOKUP($A46,CFR20252026_BenchMarkDataReport!$B:$B,CFR20252026_BenchMarkDataReport!AC:AC),0)</f>
        <v>0</v>
      </c>
      <c r="O46" s="88">
        <f>IFERROR(_xlfn.XLOOKUP($A46,CFR20252026_BenchMarkDataReport!$B:$B,CFR20252026_BenchMarkDataReport!AD:AD),0)</f>
        <v>0</v>
      </c>
      <c r="P46" s="88">
        <f>IFERROR(_xlfn.XLOOKUP($A46,CFR20252026_BenchMarkDataReport!$B:$B,CFR20252026_BenchMarkDataReport!AE:AE),0)</f>
        <v>42862.86</v>
      </c>
      <c r="Q46" s="88">
        <f>IFERROR(_xlfn.XLOOKUP($A46,CFR20252026_BenchMarkDataReport!$B:$B,CFR20252026_BenchMarkDataReport!AF:AF),0)</f>
        <v>240806.39999999999</v>
      </c>
      <c r="R46" s="88">
        <f>IFERROR(_xlfn.XLOOKUP($A46,CFR20252026_BenchMarkDataReport!$B:$B,CFR20252026_BenchMarkDataReport!AG:AG),0)</f>
        <v>0</v>
      </c>
      <c r="S46" s="88">
        <f>IFERROR(_xlfn.XLOOKUP($A46,CFR20252026_BenchMarkDataReport!$B:$B,CFR20252026_BenchMarkDataReport!AH:AH),0)</f>
        <v>0</v>
      </c>
      <c r="T46" s="88">
        <f>IFERROR(_xlfn.XLOOKUP($A46,CFR20252026_BenchMarkDataReport!$B:$B,CFR20252026_BenchMarkDataReport!AI:AI),0)</f>
        <v>0</v>
      </c>
      <c r="U46" s="88">
        <f>IFERROR(_xlfn.XLOOKUP($A46,CFR20252026_BenchMarkDataReport!$B:$B,CFR20252026_BenchMarkDataReport!AJ:AJ),0)</f>
        <v>1592518.57</v>
      </c>
      <c r="V46" s="88">
        <f>IFERROR(_xlfn.XLOOKUP($A46,CFR20252026_BenchMarkDataReport!$B:$B,CFR20252026_BenchMarkDataReport!AK:AK),0)</f>
        <v>0</v>
      </c>
      <c r="W46" s="88">
        <f>IFERROR(_xlfn.XLOOKUP($A46,CFR20252026_BenchMarkDataReport!$B:$B,CFR20252026_BenchMarkDataReport!AL:AL),0)</f>
        <v>247203.49</v>
      </c>
      <c r="X46" s="88">
        <f>IFERROR(_xlfn.XLOOKUP($A46,CFR20252026_BenchMarkDataReport!$B:$B,CFR20252026_BenchMarkDataReport!AM:AM),0)</f>
        <v>42672.13</v>
      </c>
      <c r="Y46" s="88">
        <f>IFERROR(_xlfn.XLOOKUP($A46,CFR20252026_BenchMarkDataReport!$B:$B,CFR20252026_BenchMarkDataReport!AN:AN),0)</f>
        <v>99098.3</v>
      </c>
      <c r="Z46" s="88">
        <f>IFERROR(_xlfn.XLOOKUP($A46,CFR20252026_BenchMarkDataReport!$B:$B,CFR20252026_BenchMarkDataReport!AO:AO),0)</f>
        <v>0</v>
      </c>
      <c r="AA46" s="88">
        <f>IFERROR(_xlfn.XLOOKUP($A46,CFR20252026_BenchMarkDataReport!$B:$B,CFR20252026_BenchMarkDataReport!AP:AP),0)</f>
        <v>80578.559999999998</v>
      </c>
      <c r="AB46" s="88">
        <f>IFERROR(_xlfn.XLOOKUP($A46,CFR20252026_BenchMarkDataReport!$B:$B,CFR20252026_BenchMarkDataReport!AQ:AQ),0)</f>
        <v>2630.1</v>
      </c>
      <c r="AC46" s="88">
        <f>IFERROR(_xlfn.XLOOKUP($A46,CFR20252026_BenchMarkDataReport!$B:$B,CFR20252026_BenchMarkDataReport!AR:AR),0)</f>
        <v>7150</v>
      </c>
      <c r="AD46" s="88">
        <f>IFERROR(_xlfn.XLOOKUP($A46,CFR20252026_BenchMarkDataReport!$B:$B,CFR20252026_BenchMarkDataReport!AS:AS),0)</f>
        <v>636.12</v>
      </c>
      <c r="AE46" s="88">
        <f>IFERROR(_xlfn.XLOOKUP($A46,CFR20252026_BenchMarkDataReport!$B:$B,CFR20252026_BenchMarkDataReport!AT:AT),0)</f>
        <v>0</v>
      </c>
      <c r="AF46" s="88">
        <f>IFERROR(_xlfn.XLOOKUP($A46,CFR20252026_BenchMarkDataReport!$B:$B,CFR20252026_BenchMarkDataReport!AU:AU),0)</f>
        <v>3824.78</v>
      </c>
      <c r="AG46" s="88">
        <f>IFERROR(_xlfn.XLOOKUP($A46,CFR20252026_BenchMarkDataReport!$B:$B,CFR20252026_BenchMarkDataReport!AV:AV),0)</f>
        <v>65</v>
      </c>
      <c r="AH46" s="88">
        <f>IFERROR(_xlfn.XLOOKUP($A46,CFR20252026_BenchMarkDataReport!$B:$B,CFR20252026_BenchMarkDataReport!AW:AW),0)</f>
        <v>33491</v>
      </c>
      <c r="AI46" s="88">
        <f>IFERROR(_xlfn.XLOOKUP($A46,CFR20252026_BenchMarkDataReport!$B:$B,CFR20252026_BenchMarkDataReport!AX:AX),0)</f>
        <v>19479.37</v>
      </c>
      <c r="AJ46" s="88">
        <f>IFERROR(_xlfn.XLOOKUP($A46,CFR20252026_BenchMarkDataReport!$B:$B,CFR20252026_BenchMarkDataReport!AY:AY),0)</f>
        <v>52823.74</v>
      </c>
      <c r="AK46" s="88">
        <f>IFERROR(_xlfn.XLOOKUP($A46,CFR20252026_BenchMarkDataReport!$B:$B,CFR20252026_BenchMarkDataReport!AZ:AZ),0)</f>
        <v>5899.25</v>
      </c>
      <c r="AL46" s="88">
        <f>IFERROR(_xlfn.XLOOKUP($A46,CFR20252026_BenchMarkDataReport!$B:$B,CFR20252026_BenchMarkDataReport!BA:BA),0)</f>
        <v>130025.87</v>
      </c>
      <c r="AM46" s="88">
        <f>IFERROR(_xlfn.XLOOKUP($A46,CFR20252026_BenchMarkDataReport!$B:$B,CFR20252026_BenchMarkDataReport!BB:BB),0)</f>
        <v>130491.97</v>
      </c>
      <c r="AN46" s="88">
        <f>IFERROR(_xlfn.XLOOKUP($A46,CFR20252026_BenchMarkDataReport!$B:$B,CFR20252026_BenchMarkDataReport!BC:BC),0)</f>
        <v>10740.71</v>
      </c>
      <c r="AO46" s="88">
        <f>IFERROR(_xlfn.XLOOKUP($A46,CFR20252026_BenchMarkDataReport!$B:$B,CFR20252026_BenchMarkDataReport!BD:BD),0)</f>
        <v>8.9</v>
      </c>
      <c r="AP46" s="88">
        <f>IFERROR(_xlfn.XLOOKUP($A46,CFR20252026_BenchMarkDataReport!$B:$B,CFR20252026_BenchMarkDataReport!BE:BE),0)</f>
        <v>6048</v>
      </c>
      <c r="AQ46" s="88">
        <f>IFERROR(_xlfn.XLOOKUP($A46,CFR20252026_BenchMarkDataReport!$B:$B,CFR20252026_BenchMarkDataReport!BF:BF),0)</f>
        <v>12236.61</v>
      </c>
      <c r="AR46" s="88">
        <f>IFERROR(_xlfn.XLOOKUP($A46,CFR20252026_BenchMarkDataReport!$B:$B,CFR20252026_BenchMarkDataReport!BG:BG),0)</f>
        <v>1134.96</v>
      </c>
      <c r="AS46" s="88">
        <f>IFERROR(_xlfn.XLOOKUP($A46,CFR20252026_BenchMarkDataReport!$B:$B,CFR20252026_BenchMarkDataReport!BH:BH),0)</f>
        <v>677.66</v>
      </c>
      <c r="AT46" s="88">
        <f>IFERROR(_xlfn.XLOOKUP($A46,CFR20252026_BenchMarkDataReport!$B:$B,CFR20252026_BenchMarkDataReport!BI:BI),0)</f>
        <v>14157.08</v>
      </c>
      <c r="AU46" s="88">
        <f>IFERROR(_xlfn.XLOOKUP($A46,CFR20252026_BenchMarkDataReport!$B:$B,CFR20252026_BenchMarkDataReport!BJ:BJ),0)</f>
        <v>0</v>
      </c>
      <c r="AV46" s="88">
        <f>IFERROR(_xlfn.XLOOKUP($A46,CFR20252026_BenchMarkDataReport!$B:$B,CFR20252026_BenchMarkDataReport!BK:BK),0)</f>
        <v>4498.4399999999996</v>
      </c>
      <c r="AW46" s="88">
        <f>IFERROR(_xlfn.XLOOKUP($A46,CFR20252026_BenchMarkDataReport!$B:$B,CFR20252026_BenchMarkDataReport!BL:BL),0)</f>
        <v>17541.36</v>
      </c>
      <c r="AX46" s="88">
        <f>IFERROR(_xlfn.XLOOKUP($A46,CFR20252026_BenchMarkDataReport!$B:$B,CFR20252026_BenchMarkDataReport!BM:BM),0)</f>
        <v>83791.98</v>
      </c>
      <c r="AY46" s="88">
        <f>IFERROR(_xlfn.XLOOKUP($A46,CFR20252026_BenchMarkDataReport!$B:$B,CFR20252026_BenchMarkDataReport!BN:BN),0)</f>
        <v>192138.6</v>
      </c>
      <c r="AZ46" s="88">
        <f>IFERROR(_xlfn.XLOOKUP($A46,CFR20252026_BenchMarkDataReport!$B:$B,CFR20252026_BenchMarkDataReport!BO:BO),0)</f>
        <v>990.83</v>
      </c>
      <c r="BA46" s="88">
        <f>IFERROR(_xlfn.XLOOKUP($A46,CFR20252026_BenchMarkDataReport!$B:$B,CFR20252026_BenchMarkDataReport!BP:BP),0)</f>
        <v>549085.99</v>
      </c>
      <c r="BB46" s="88">
        <f>IFERROR(_xlfn.XLOOKUP($A46,CFR20252026_BenchMarkDataReport!$B:$B,CFR20252026_BenchMarkDataReport!BQ:BQ),0)</f>
        <v>16556.16</v>
      </c>
      <c r="BC46" s="88">
        <f>IFERROR(_xlfn.XLOOKUP($A46,CFR20252026_BenchMarkDataReport!$B:$B,CFR20252026_BenchMarkDataReport!BR:BR),0)</f>
        <v>69.5</v>
      </c>
      <c r="BD46" s="88">
        <f>IFERROR(_xlfn.XLOOKUP($A46,CFR20252026_BenchMarkDataReport!$B:$B,CFR20252026_BenchMarkDataReport!BS:BS),0)</f>
        <v>0</v>
      </c>
      <c r="BE46" s="88">
        <f>IFERROR(_xlfn.XLOOKUP($A46,CFR20252026_BenchMarkDataReport!$B:$B,CFR20252026_BenchMarkDataReport!BT:BT),0)</f>
        <v>0</v>
      </c>
      <c r="BF46" s="88">
        <f>IFERROR(_xlfn.XLOOKUP($A46,CFR20252026_BenchMarkDataReport!$B:$B,CFR20252026_BenchMarkDataReport!BU:BU),0)</f>
        <v>0</v>
      </c>
      <c r="BG46" s="88">
        <f>IFERROR(_xlfn.XLOOKUP($A46,CFR20252026_BenchMarkDataReport!$B:$B,CFR20252026_BenchMarkDataReport!BV:BV),0)</f>
        <v>0</v>
      </c>
      <c r="BH46" s="89">
        <f t="shared" si="0"/>
        <v>3079712.0300000003</v>
      </c>
      <c r="BI46" s="90">
        <f t="shared" si="88"/>
        <v>3358265.0300000012</v>
      </c>
      <c r="BJ46" s="126">
        <f t="shared" si="89"/>
        <v>-278553.00000000093</v>
      </c>
      <c r="BK46" s="88">
        <f>IFERROR(_xlfn.XLOOKUP(A46,CFR20252026_BenchMarkDataReport!$B:$B,CFR20252026_BenchMarkDataReport!P:P)+_xlfn.XLOOKUP(A46,CFR20252026_BenchMarkDataReport!$B:$B,CFR20252026_BenchMarkDataReport!Q:Q),0)</f>
        <v>-103080</v>
      </c>
      <c r="BL46" s="89">
        <f t="shared" si="1"/>
        <v>-381633.00000000093</v>
      </c>
      <c r="BM46" s="91">
        <f>SUMIFS(PP!I:I,PP!E:E,A46)</f>
        <v>190</v>
      </c>
      <c r="BN46" s="90">
        <f t="shared" si="133"/>
        <v>2395254.02</v>
      </c>
      <c r="BO46" t="s">
        <v>173</v>
      </c>
      <c r="BP46" s="92">
        <f t="shared" si="22"/>
        <v>0.7510570980235447</v>
      </c>
      <c r="BQ46" s="93">
        <f t="shared" si="23"/>
        <v>12173.892526315791</v>
      </c>
      <c r="BR46" s="94">
        <f t="shared" si="24"/>
        <v>0</v>
      </c>
      <c r="BS46" s="95">
        <f t="shared" si="25"/>
        <v>0</v>
      </c>
      <c r="BT46" s="92">
        <f t="shared" si="26"/>
        <v>2.6695495942196907E-2</v>
      </c>
      <c r="BU46" s="93">
        <f t="shared" si="27"/>
        <v>432.70757894736846</v>
      </c>
      <c r="BV46" s="94">
        <f t="shared" si="28"/>
        <v>0</v>
      </c>
      <c r="BW46" s="95">
        <f t="shared" si="29"/>
        <v>0</v>
      </c>
      <c r="BX46" s="92">
        <f t="shared" si="30"/>
        <v>1.9677164426311635E-3</v>
      </c>
      <c r="BY46" s="93">
        <f t="shared" si="31"/>
        <v>31.894736842105264</v>
      </c>
      <c r="BZ46" s="94">
        <f t="shared" si="32"/>
        <v>6.187857765389837E-2</v>
      </c>
      <c r="CA46" s="95">
        <f t="shared" si="33"/>
        <v>1002.9905263157896</v>
      </c>
      <c r="CB46" s="92">
        <f t="shared" si="34"/>
        <v>5.1949827919462975E-2</v>
      </c>
      <c r="CC46" s="93">
        <f t="shared" si="35"/>
        <v>842.05531578947375</v>
      </c>
      <c r="CD46" s="94">
        <f t="shared" si="36"/>
        <v>6.8258979395550816E-4</v>
      </c>
      <c r="CE46" s="96">
        <f t="shared" si="37"/>
        <v>11.064105263157893</v>
      </c>
      <c r="CF46" s="97">
        <f t="shared" si="38"/>
        <v>1.391781425745835E-2</v>
      </c>
      <c r="CG46" s="98">
        <f t="shared" si="39"/>
        <v>225.59399999999999</v>
      </c>
      <c r="CH46" s="94">
        <f t="shared" si="40"/>
        <v>7.8191206727857593E-2</v>
      </c>
      <c r="CI46" s="95">
        <f t="shared" si="41"/>
        <v>1267.4021052631579</v>
      </c>
      <c r="CJ46" s="99">
        <f t="shared" si="90"/>
        <v>0.66527783136754748</v>
      </c>
      <c r="CK46" s="97">
        <f t="shared" si="91"/>
        <v>0.51742155905401321</v>
      </c>
      <c r="CL46" s="97">
        <f t="shared" si="92"/>
        <v>0.47450376482049111</v>
      </c>
      <c r="CM46" s="98">
        <f t="shared" si="93"/>
        <v>8386.8915789473685</v>
      </c>
      <c r="CN46" s="94">
        <f t="shared" si="94"/>
        <v>0.10320554226645239</v>
      </c>
      <c r="CO46" s="100">
        <f t="shared" si="95"/>
        <v>8.0268378209374325E-2</v>
      </c>
      <c r="CP46" s="100">
        <f t="shared" si="96"/>
        <v>7.3610476776456171E-2</v>
      </c>
      <c r="CQ46" s="101">
        <f t="shared" si="97"/>
        <v>1301.0709999999999</v>
      </c>
      <c r="CR46" s="99">
        <f t="shared" si="98"/>
        <v>1.7815283741805389E-2</v>
      </c>
      <c r="CS46" s="97">
        <f t="shared" si="99"/>
        <v>1.3855883142424844E-2</v>
      </c>
      <c r="CT46" s="97">
        <f t="shared" si="100"/>
        <v>1.2706599871898729E-2</v>
      </c>
      <c r="CU46" s="98">
        <f t="shared" si="101"/>
        <v>224.59015789473682</v>
      </c>
      <c r="CV46" s="94">
        <f t="shared" si="102"/>
        <v>4.1372772646468624E-2</v>
      </c>
      <c r="CW46" s="100">
        <f t="shared" si="103"/>
        <v>3.217778124534585E-2</v>
      </c>
      <c r="CX46" s="100">
        <f t="shared" si="104"/>
        <v>2.9508778823212761E-2</v>
      </c>
      <c r="CY46" s="95">
        <f t="shared" si="105"/>
        <v>521.57000000000005</v>
      </c>
      <c r="CZ46" s="99">
        <f t="shared" si="106"/>
        <v>0.8608986908202747</v>
      </c>
      <c r="DA46" s="97">
        <f t="shared" si="107"/>
        <v>0.66956618992717964</v>
      </c>
      <c r="DB46" s="97">
        <f t="shared" si="108"/>
        <v>0.61402868194711824</v>
      </c>
      <c r="DC46" s="98">
        <f t="shared" si="109"/>
        <v>10853.00552631579</v>
      </c>
      <c r="DD46" s="94">
        <f t="shared" si="110"/>
        <v>1.5968160237134264E-3</v>
      </c>
      <c r="DE46" s="100">
        <f t="shared" si="111"/>
        <v>1.1389154714808196E-3</v>
      </c>
      <c r="DF46" s="95">
        <f t="shared" si="112"/>
        <v>20.130421052631579</v>
      </c>
      <c r="DG46" s="99">
        <f t="shared" si="113"/>
        <v>5.8004266566179831E-3</v>
      </c>
      <c r="DH46" s="98">
        <f t="shared" si="114"/>
        <v>102.523</v>
      </c>
      <c r="DI46" s="94">
        <f t="shared" si="115"/>
        <v>2.2053502283653405E-2</v>
      </c>
      <c r="DJ46" s="100">
        <f t="shared" si="116"/>
        <v>1.5729473263162909E-2</v>
      </c>
      <c r="DK46" s="95">
        <f t="shared" si="117"/>
        <v>278.01968421052629</v>
      </c>
      <c r="DL46" s="99">
        <f t="shared" si="118"/>
        <v>5.4284793560225399E-2</v>
      </c>
      <c r="DM46" s="97">
        <f t="shared" si="119"/>
        <v>3.8718168113134284E-2</v>
      </c>
      <c r="DN46" s="102">
        <f t="shared" si="120"/>
        <v>684.34668421052629</v>
      </c>
      <c r="DO46" s="94">
        <f t="shared" si="121"/>
        <v>5.447938669987077E-2</v>
      </c>
      <c r="DP46" s="100">
        <f t="shared" si="122"/>
        <v>4.2371484323487217E-2</v>
      </c>
      <c r="DQ46" s="100">
        <f t="shared" si="123"/>
        <v>3.8856960017833959E-2</v>
      </c>
      <c r="DR46" s="95">
        <f t="shared" si="124"/>
        <v>686.79984210526311</v>
      </c>
      <c r="DS46" s="99">
        <f t="shared" si="125"/>
        <v>1.8780638556239642E-3</v>
      </c>
      <c r="DT46" s="97">
        <f t="shared" si="126"/>
        <v>1.3395130997150627E-3</v>
      </c>
      <c r="DU46" s="98">
        <f t="shared" si="127"/>
        <v>23.675999999999998</v>
      </c>
      <c r="DV46" s="94">
        <f t="shared" si="128"/>
        <v>0.22923914767085957</v>
      </c>
      <c r="DW46" s="100">
        <f t="shared" si="129"/>
        <v>0.16350287576915865</v>
      </c>
      <c r="DX46" s="95">
        <f t="shared" si="130"/>
        <v>2889.9262631578945</v>
      </c>
      <c r="DY46" s="99">
        <f t="shared" si="131"/>
        <v>5.7213649989977099E-2</v>
      </c>
      <c r="DZ46" s="98">
        <f t="shared" si="132"/>
        <v>1011.2557894736842</v>
      </c>
      <c r="EA46" s="94">
        <f t="shared" si="14"/>
        <v>9.9727090330330448E-3</v>
      </c>
      <c r="EB46" s="95">
        <f t="shared" si="84"/>
        <v>176.26842105263157</v>
      </c>
      <c r="EC46" s="103">
        <f>IFERROR(VLOOKUP(A46,PP!$E$3:$S$130,14,0),0)</f>
        <v>3</v>
      </c>
    </row>
    <row r="47" spans="1:133">
      <c r="A47" s="26">
        <v>3305</v>
      </c>
      <c r="B47" s="125">
        <v>10078</v>
      </c>
      <c r="C47" s="26" t="s">
        <v>71</v>
      </c>
      <c r="D47" s="88">
        <f>IFERROR(_xlfn.XLOOKUP($A47,CFR20252026_BenchMarkDataReport!$B:$B,CFR20252026_BenchMarkDataReport!S:S),0)</f>
        <v>925351.35</v>
      </c>
      <c r="E47" s="88">
        <f>IFERROR(_xlfn.XLOOKUP($A47,CFR20252026_BenchMarkDataReport!$B:$B,CFR20252026_BenchMarkDataReport!T:T),0)</f>
        <v>0</v>
      </c>
      <c r="F47" s="88">
        <f>IFERROR(_xlfn.XLOOKUP($A47,CFR20252026_BenchMarkDataReport!$B:$B,CFR20252026_BenchMarkDataReport!U:U),0)</f>
        <v>50992.31</v>
      </c>
      <c r="G47" s="88">
        <f>IFERROR(_xlfn.XLOOKUP($A47,CFR20252026_BenchMarkDataReport!$B:$B,CFR20252026_BenchMarkDataReport!V:V),0)</f>
        <v>0</v>
      </c>
      <c r="H47" s="88">
        <f>IFERROR(_xlfn.XLOOKUP($A47,CFR20252026_BenchMarkDataReport!$B:$B,CFR20252026_BenchMarkDataReport!W:W),0)</f>
        <v>38990</v>
      </c>
      <c r="I47" s="88">
        <f>IFERROR(_xlfn.XLOOKUP($A47,CFR20252026_BenchMarkDataReport!$B:$B,CFR20252026_BenchMarkDataReport!X:X),0)</f>
        <v>39715.5</v>
      </c>
      <c r="J47" s="88">
        <f>IFERROR(_xlfn.XLOOKUP($A47,CFR20252026_BenchMarkDataReport!$B:$B,CFR20252026_BenchMarkDataReport!Y:Y),0)</f>
        <v>100904.28</v>
      </c>
      <c r="K47" s="88">
        <f>IFERROR(_xlfn.XLOOKUP($A47,CFR20252026_BenchMarkDataReport!$B:$B,CFR20252026_BenchMarkDataReport!Z:Z),0)</f>
        <v>3627</v>
      </c>
      <c r="L47" s="88">
        <f>IFERROR(_xlfn.XLOOKUP($A47,CFR20252026_BenchMarkDataReport!$B:$B,CFR20252026_BenchMarkDataReport!AA:AA),0)</f>
        <v>16180.3</v>
      </c>
      <c r="M47" s="88">
        <f>IFERROR(_xlfn.XLOOKUP($A47,CFR20252026_BenchMarkDataReport!$B:$B,CFR20252026_BenchMarkDataReport!AB:AB),0)</f>
        <v>575.15</v>
      </c>
      <c r="N47" s="88">
        <f>IFERROR(_xlfn.XLOOKUP($A47,CFR20252026_BenchMarkDataReport!$B:$B,CFR20252026_BenchMarkDataReport!AC:AC),0)</f>
        <v>0</v>
      </c>
      <c r="O47" s="88">
        <f>IFERROR(_xlfn.XLOOKUP($A47,CFR20252026_BenchMarkDataReport!$B:$B,CFR20252026_BenchMarkDataReport!AD:AD),0)</f>
        <v>0</v>
      </c>
      <c r="P47" s="88">
        <f>IFERROR(_xlfn.XLOOKUP($A47,CFR20252026_BenchMarkDataReport!$B:$B,CFR20252026_BenchMarkDataReport!AE:AE),0)</f>
        <v>15995</v>
      </c>
      <c r="Q47" s="88">
        <f>IFERROR(_xlfn.XLOOKUP($A47,CFR20252026_BenchMarkDataReport!$B:$B,CFR20252026_BenchMarkDataReport!AF:AF),0)</f>
        <v>10607.3</v>
      </c>
      <c r="R47" s="88">
        <f>IFERROR(_xlfn.XLOOKUP($A47,CFR20252026_BenchMarkDataReport!$B:$B,CFR20252026_BenchMarkDataReport!AG:AG),0)</f>
        <v>0</v>
      </c>
      <c r="S47" s="88">
        <f>IFERROR(_xlfn.XLOOKUP($A47,CFR20252026_BenchMarkDataReport!$B:$B,CFR20252026_BenchMarkDataReport!AH:AH),0)</f>
        <v>0</v>
      </c>
      <c r="T47" s="88">
        <f>IFERROR(_xlfn.XLOOKUP($A47,CFR20252026_BenchMarkDataReport!$B:$B,CFR20252026_BenchMarkDataReport!AI:AI),0)</f>
        <v>0</v>
      </c>
      <c r="U47" s="88">
        <f>IFERROR(_xlfn.XLOOKUP($A47,CFR20252026_BenchMarkDataReport!$B:$B,CFR20252026_BenchMarkDataReport!AJ:AJ),0)</f>
        <v>626475.97</v>
      </c>
      <c r="V47" s="88">
        <f>IFERROR(_xlfn.XLOOKUP($A47,CFR20252026_BenchMarkDataReport!$B:$B,CFR20252026_BenchMarkDataReport!AK:AK),0)</f>
        <v>0</v>
      </c>
      <c r="W47" s="88">
        <f>IFERROR(_xlfn.XLOOKUP($A47,CFR20252026_BenchMarkDataReport!$B:$B,CFR20252026_BenchMarkDataReport!AL:AL),0)</f>
        <v>172189.67</v>
      </c>
      <c r="X47" s="88">
        <f>IFERROR(_xlfn.XLOOKUP($A47,CFR20252026_BenchMarkDataReport!$B:$B,CFR20252026_BenchMarkDataReport!AM:AM),0)</f>
        <v>53926.77</v>
      </c>
      <c r="Y47" s="88">
        <f>IFERROR(_xlfn.XLOOKUP($A47,CFR20252026_BenchMarkDataReport!$B:$B,CFR20252026_BenchMarkDataReport!AN:AN),0)</f>
        <v>46655.96</v>
      </c>
      <c r="Z47" s="88">
        <f>IFERROR(_xlfn.XLOOKUP($A47,CFR20252026_BenchMarkDataReport!$B:$B,CFR20252026_BenchMarkDataReport!AO:AO),0)</f>
        <v>0</v>
      </c>
      <c r="AA47" s="88">
        <f>IFERROR(_xlfn.XLOOKUP($A47,CFR20252026_BenchMarkDataReport!$B:$B,CFR20252026_BenchMarkDataReport!AP:AP),0)</f>
        <v>33883.42</v>
      </c>
      <c r="AB47" s="88">
        <f>IFERROR(_xlfn.XLOOKUP($A47,CFR20252026_BenchMarkDataReport!$B:$B,CFR20252026_BenchMarkDataReport!AQ:AQ),0)</f>
        <v>5356.06</v>
      </c>
      <c r="AC47" s="88">
        <f>IFERROR(_xlfn.XLOOKUP($A47,CFR20252026_BenchMarkDataReport!$B:$B,CFR20252026_BenchMarkDataReport!AR:AR),0)</f>
        <v>1290</v>
      </c>
      <c r="AD47" s="88">
        <f>IFERROR(_xlfn.XLOOKUP($A47,CFR20252026_BenchMarkDataReport!$B:$B,CFR20252026_BenchMarkDataReport!AS:AS),0)</f>
        <v>256.5</v>
      </c>
      <c r="AE47" s="88">
        <f>IFERROR(_xlfn.XLOOKUP($A47,CFR20252026_BenchMarkDataReport!$B:$B,CFR20252026_BenchMarkDataReport!AT:AT),0)</f>
        <v>0</v>
      </c>
      <c r="AF47" s="88">
        <f>IFERROR(_xlfn.XLOOKUP($A47,CFR20252026_BenchMarkDataReport!$B:$B,CFR20252026_BenchMarkDataReport!AU:AU),0)</f>
        <v>5986.15</v>
      </c>
      <c r="AG47" s="88">
        <f>IFERROR(_xlfn.XLOOKUP($A47,CFR20252026_BenchMarkDataReport!$B:$B,CFR20252026_BenchMarkDataReport!AV:AV),0)</f>
        <v>0</v>
      </c>
      <c r="AH47" s="88">
        <f>IFERROR(_xlfn.XLOOKUP($A47,CFR20252026_BenchMarkDataReport!$B:$B,CFR20252026_BenchMarkDataReport!AW:AW),0)</f>
        <v>1441.33</v>
      </c>
      <c r="AI47" s="88">
        <f>IFERROR(_xlfn.XLOOKUP($A47,CFR20252026_BenchMarkDataReport!$B:$B,CFR20252026_BenchMarkDataReport!AX:AX),0)</f>
        <v>1498.26</v>
      </c>
      <c r="AJ47" s="88">
        <f>IFERROR(_xlfn.XLOOKUP($A47,CFR20252026_BenchMarkDataReport!$B:$B,CFR20252026_BenchMarkDataReport!AY:AY),0)</f>
        <v>15878.66</v>
      </c>
      <c r="AK47" s="88">
        <f>IFERROR(_xlfn.XLOOKUP($A47,CFR20252026_BenchMarkDataReport!$B:$B,CFR20252026_BenchMarkDataReport!AZ:AZ),0)</f>
        <v>1797.27</v>
      </c>
      <c r="AL47" s="88">
        <f>IFERROR(_xlfn.XLOOKUP($A47,CFR20252026_BenchMarkDataReport!$B:$B,CFR20252026_BenchMarkDataReport!BA:BA),0)</f>
        <v>6986.5</v>
      </c>
      <c r="AM47" s="88">
        <f>IFERROR(_xlfn.XLOOKUP($A47,CFR20252026_BenchMarkDataReport!$B:$B,CFR20252026_BenchMarkDataReport!BB:BB),0)</f>
        <v>41168</v>
      </c>
      <c r="AN47" s="88">
        <f>IFERROR(_xlfn.XLOOKUP($A47,CFR20252026_BenchMarkDataReport!$B:$B,CFR20252026_BenchMarkDataReport!BC:BC),0)</f>
        <v>3907.28</v>
      </c>
      <c r="AO47" s="88">
        <f>IFERROR(_xlfn.XLOOKUP($A47,CFR20252026_BenchMarkDataReport!$B:$B,CFR20252026_BenchMarkDataReport!BD:BD),0)</f>
        <v>0</v>
      </c>
      <c r="AP47" s="88">
        <f>IFERROR(_xlfn.XLOOKUP($A47,CFR20252026_BenchMarkDataReport!$B:$B,CFR20252026_BenchMarkDataReport!BE:BE),0)</f>
        <v>2643.51</v>
      </c>
      <c r="AQ47" s="88">
        <f>IFERROR(_xlfn.XLOOKUP($A47,CFR20252026_BenchMarkDataReport!$B:$B,CFR20252026_BenchMarkDataReport!BF:BF),0)</f>
        <v>6996.86</v>
      </c>
      <c r="AR47" s="88">
        <f>IFERROR(_xlfn.XLOOKUP($A47,CFR20252026_BenchMarkDataReport!$B:$B,CFR20252026_BenchMarkDataReport!BG:BG),0)</f>
        <v>0</v>
      </c>
      <c r="AS47" s="88">
        <f>IFERROR(_xlfn.XLOOKUP($A47,CFR20252026_BenchMarkDataReport!$B:$B,CFR20252026_BenchMarkDataReport!BH:BH),0)</f>
        <v>101.32</v>
      </c>
      <c r="AT47" s="88">
        <f>IFERROR(_xlfn.XLOOKUP($A47,CFR20252026_BenchMarkDataReport!$B:$B,CFR20252026_BenchMarkDataReport!BI:BI),0)</f>
        <v>4957</v>
      </c>
      <c r="AU47" s="88">
        <f>IFERROR(_xlfn.XLOOKUP($A47,CFR20252026_BenchMarkDataReport!$B:$B,CFR20252026_BenchMarkDataReport!BJ:BJ),0)</f>
        <v>0</v>
      </c>
      <c r="AV47" s="88">
        <f>IFERROR(_xlfn.XLOOKUP($A47,CFR20252026_BenchMarkDataReport!$B:$B,CFR20252026_BenchMarkDataReport!BK:BK),0)</f>
        <v>2799.05</v>
      </c>
      <c r="AW47" s="88">
        <f>IFERROR(_xlfn.XLOOKUP($A47,CFR20252026_BenchMarkDataReport!$B:$B,CFR20252026_BenchMarkDataReport!BL:BL),0)</f>
        <v>6507</v>
      </c>
      <c r="AX47" s="88">
        <f>IFERROR(_xlfn.XLOOKUP($A47,CFR20252026_BenchMarkDataReport!$B:$B,CFR20252026_BenchMarkDataReport!BM:BM),0)</f>
        <v>3909.83</v>
      </c>
      <c r="AY47" s="88">
        <f>IFERROR(_xlfn.XLOOKUP($A47,CFR20252026_BenchMarkDataReport!$B:$B,CFR20252026_BenchMarkDataReport!BN:BN),0)</f>
        <v>68841.45</v>
      </c>
      <c r="AZ47" s="88">
        <f>IFERROR(_xlfn.XLOOKUP($A47,CFR20252026_BenchMarkDataReport!$B:$B,CFR20252026_BenchMarkDataReport!BO:BO),0)</f>
        <v>0</v>
      </c>
      <c r="BA47" s="88">
        <f>IFERROR(_xlfn.XLOOKUP($A47,CFR20252026_BenchMarkDataReport!$B:$B,CFR20252026_BenchMarkDataReport!BP:BP),0)</f>
        <v>32216.22</v>
      </c>
      <c r="BB47" s="88">
        <f>IFERROR(_xlfn.XLOOKUP($A47,CFR20252026_BenchMarkDataReport!$B:$B,CFR20252026_BenchMarkDataReport!BQ:BQ),0)</f>
        <v>25100.880000000001</v>
      </c>
      <c r="BC47" s="88">
        <f>IFERROR(_xlfn.XLOOKUP($A47,CFR20252026_BenchMarkDataReport!$B:$B,CFR20252026_BenchMarkDataReport!BR:BR),0)</f>
        <v>0</v>
      </c>
      <c r="BD47" s="88">
        <f>IFERROR(_xlfn.XLOOKUP($A47,CFR20252026_BenchMarkDataReport!$B:$B,CFR20252026_BenchMarkDataReport!BS:BS),0)</f>
        <v>0</v>
      </c>
      <c r="BE47" s="88">
        <f>IFERROR(_xlfn.XLOOKUP($A47,CFR20252026_BenchMarkDataReport!$B:$B,CFR20252026_BenchMarkDataReport!BT:BT),0)</f>
        <v>0</v>
      </c>
      <c r="BF47" s="88">
        <f>IFERROR(_xlfn.XLOOKUP($A47,CFR20252026_BenchMarkDataReport!$B:$B,CFR20252026_BenchMarkDataReport!BU:BU),0)</f>
        <v>0</v>
      </c>
      <c r="BG47" s="88">
        <f>IFERROR(_xlfn.XLOOKUP($A47,CFR20252026_BenchMarkDataReport!$B:$B,CFR20252026_BenchMarkDataReport!BV:BV),0)</f>
        <v>0</v>
      </c>
      <c r="BH47" s="89">
        <f t="shared" si="0"/>
        <v>1202938.19</v>
      </c>
      <c r="BI47" s="90">
        <f t="shared" si="88"/>
        <v>1172770.92</v>
      </c>
      <c r="BJ47" s="126">
        <f t="shared" si="89"/>
        <v>30167.270000000019</v>
      </c>
      <c r="BK47" s="88">
        <f>IFERROR(_xlfn.XLOOKUP(A47,CFR20252026_BenchMarkDataReport!$B:$B,CFR20252026_BenchMarkDataReport!P:P)+_xlfn.XLOOKUP(A47,CFR20252026_BenchMarkDataReport!$B:$B,CFR20252026_BenchMarkDataReport!Q:Q),0)</f>
        <v>120711</v>
      </c>
      <c r="BL47" s="89">
        <f t="shared" si="1"/>
        <v>150878.27000000002</v>
      </c>
      <c r="BM47" s="91">
        <f>SUMIFS(PP!I:I,PP!E:E,A47)</f>
        <v>150</v>
      </c>
      <c r="BN47" s="90">
        <f t="shared" si="133"/>
        <v>976343.65999999992</v>
      </c>
      <c r="BO47" t="s">
        <v>173</v>
      </c>
      <c r="BP47" s="92">
        <f t="shared" si="22"/>
        <v>0.7692426408043459</v>
      </c>
      <c r="BQ47" s="93">
        <f t="shared" si="23"/>
        <v>6169.009</v>
      </c>
      <c r="BR47" s="94">
        <f t="shared" si="24"/>
        <v>0</v>
      </c>
      <c r="BS47" s="95">
        <f t="shared" si="25"/>
        <v>0</v>
      </c>
      <c r="BT47" s="92">
        <f t="shared" si="26"/>
        <v>4.2389800593162649E-2</v>
      </c>
      <c r="BU47" s="93">
        <f t="shared" si="27"/>
        <v>339.94873333333334</v>
      </c>
      <c r="BV47" s="94">
        <f t="shared" si="28"/>
        <v>0</v>
      </c>
      <c r="BW47" s="95">
        <f t="shared" si="29"/>
        <v>0</v>
      </c>
      <c r="BX47" s="92">
        <f t="shared" si="30"/>
        <v>3.2412305406980223E-2</v>
      </c>
      <c r="BY47" s="93">
        <f t="shared" si="31"/>
        <v>259.93333333333334</v>
      </c>
      <c r="BZ47" s="94">
        <f t="shared" si="32"/>
        <v>3.3015412038751552E-2</v>
      </c>
      <c r="CA47" s="95">
        <f t="shared" si="33"/>
        <v>264.77</v>
      </c>
      <c r="CB47" s="92">
        <f t="shared" si="34"/>
        <v>8.3881516805115325E-2</v>
      </c>
      <c r="CC47" s="93">
        <f t="shared" si="35"/>
        <v>672.6952</v>
      </c>
      <c r="CD47" s="94">
        <f t="shared" si="36"/>
        <v>1.646576703995074E-2</v>
      </c>
      <c r="CE47" s="96">
        <f t="shared" si="37"/>
        <v>132.04866666666666</v>
      </c>
      <c r="CF47" s="97">
        <f t="shared" si="38"/>
        <v>1.3296610027818637E-2</v>
      </c>
      <c r="CG47" s="98">
        <f t="shared" si="39"/>
        <v>106.63333333333334</v>
      </c>
      <c r="CH47" s="94">
        <f t="shared" si="40"/>
        <v>8.8178262924714368E-3</v>
      </c>
      <c r="CI47" s="95">
        <f t="shared" si="41"/>
        <v>70.715333333333334</v>
      </c>
      <c r="CJ47" s="99">
        <f t="shared" si="90"/>
        <v>0.64165518317597314</v>
      </c>
      <c r="CK47" s="97">
        <f t="shared" si="91"/>
        <v>0.52078816285648055</v>
      </c>
      <c r="CL47" s="97">
        <f t="shared" si="92"/>
        <v>0.53418443390461967</v>
      </c>
      <c r="CM47" s="98">
        <f t="shared" si="93"/>
        <v>4176.5064666666667</v>
      </c>
      <c r="CN47" s="94">
        <f t="shared" si="94"/>
        <v>0.17636174336401184</v>
      </c>
      <c r="CO47" s="100">
        <f t="shared" si="95"/>
        <v>0.14314091233565376</v>
      </c>
      <c r="CP47" s="100">
        <f t="shared" si="96"/>
        <v>0.14682293623037654</v>
      </c>
      <c r="CQ47" s="101">
        <f t="shared" si="97"/>
        <v>1147.9311333333335</v>
      </c>
      <c r="CR47" s="99">
        <f t="shared" si="98"/>
        <v>5.5233389849635529E-2</v>
      </c>
      <c r="CS47" s="97">
        <f t="shared" si="99"/>
        <v>4.4829211050320047E-2</v>
      </c>
      <c r="CT47" s="97">
        <f t="shared" si="100"/>
        <v>4.5982356042729981E-2</v>
      </c>
      <c r="CU47" s="98">
        <f t="shared" si="101"/>
        <v>359.51179999999999</v>
      </c>
      <c r="CV47" s="94">
        <f t="shared" si="102"/>
        <v>4.7786411600194138E-2</v>
      </c>
      <c r="CW47" s="100">
        <f t="shared" si="103"/>
        <v>3.878500191269179E-2</v>
      </c>
      <c r="CX47" s="100">
        <f t="shared" si="104"/>
        <v>3.9782671282470067E-2</v>
      </c>
      <c r="CY47" s="95">
        <f t="shared" si="105"/>
        <v>311.03973333333334</v>
      </c>
      <c r="CZ47" s="99">
        <f t="shared" si="106"/>
        <v>0.9557411270535624</v>
      </c>
      <c r="DA47" s="97">
        <f t="shared" si="107"/>
        <v>0.77571050429448918</v>
      </c>
      <c r="DB47" s="97">
        <f t="shared" si="108"/>
        <v>0.79566416090876479</v>
      </c>
      <c r="DC47" s="98">
        <f t="shared" si="109"/>
        <v>6220.8786</v>
      </c>
      <c r="DD47" s="94">
        <f t="shared" si="110"/>
        <v>6.1311915519582519E-3</v>
      </c>
      <c r="DE47" s="100">
        <f t="shared" si="111"/>
        <v>5.1042790181052584E-3</v>
      </c>
      <c r="DF47" s="95">
        <f t="shared" si="112"/>
        <v>39.907666666666664</v>
      </c>
      <c r="DG47" s="99">
        <f t="shared" si="113"/>
        <v>1.2775384983113327E-3</v>
      </c>
      <c r="DH47" s="98">
        <f t="shared" si="114"/>
        <v>9.9884000000000004</v>
      </c>
      <c r="DI47" s="94">
        <f t="shared" si="115"/>
        <v>1.6263392338718111E-2</v>
      </c>
      <c r="DJ47" s="100">
        <f t="shared" si="116"/>
        <v>1.3539438716642122E-2</v>
      </c>
      <c r="DK47" s="95">
        <f t="shared" si="117"/>
        <v>105.85773333333333</v>
      </c>
      <c r="DL47" s="99">
        <f t="shared" si="118"/>
        <v>7.1557795540967617E-3</v>
      </c>
      <c r="DM47" s="97">
        <f t="shared" si="119"/>
        <v>5.9572588992912621E-3</v>
      </c>
      <c r="DN47" s="102">
        <f t="shared" si="120"/>
        <v>46.576666666666668</v>
      </c>
      <c r="DO47" s="94">
        <f t="shared" si="121"/>
        <v>4.2165480953704357E-2</v>
      </c>
      <c r="DP47" s="100">
        <f t="shared" si="122"/>
        <v>3.4222872249155212E-2</v>
      </c>
      <c r="DQ47" s="100">
        <f t="shared" si="123"/>
        <v>3.5103189632294092E-2</v>
      </c>
      <c r="DR47" s="95">
        <f t="shared" si="124"/>
        <v>274.45333333333332</v>
      </c>
      <c r="DS47" s="99">
        <f t="shared" si="125"/>
        <v>2.8668696430107412E-3</v>
      </c>
      <c r="DT47" s="97">
        <f t="shared" si="126"/>
        <v>2.3866979921364356E-3</v>
      </c>
      <c r="DU47" s="98">
        <f t="shared" si="127"/>
        <v>18.660333333333334</v>
      </c>
      <c r="DV47" s="94">
        <f t="shared" si="128"/>
        <v>3.2996803604992943E-2</v>
      </c>
      <c r="DW47" s="100">
        <f t="shared" si="129"/>
        <v>2.7470172947330587E-2</v>
      </c>
      <c r="DX47" s="95">
        <f t="shared" si="130"/>
        <v>214.7748</v>
      </c>
      <c r="DY47" s="99">
        <f t="shared" si="131"/>
        <v>5.8699826902256412E-2</v>
      </c>
      <c r="DZ47" s="98">
        <f t="shared" si="132"/>
        <v>458.94299999999998</v>
      </c>
      <c r="EA47" s="94">
        <f t="shared" si="14"/>
        <v>1.2289953437794995E-3</v>
      </c>
      <c r="EB47" s="95">
        <f t="shared" si="84"/>
        <v>9.6088666666666658</v>
      </c>
      <c r="EC47" s="103">
        <f>IFERROR(VLOOKUP(A47,PP!$E$3:$S$130,14,0),0)</f>
        <v>24</v>
      </c>
    </row>
    <row r="48" spans="1:133">
      <c r="A48" s="26">
        <v>2042</v>
      </c>
      <c r="B48" s="125">
        <v>10079</v>
      </c>
      <c r="C48" s="26" t="s">
        <v>72</v>
      </c>
      <c r="D48" s="88">
        <f>IFERROR(_xlfn.XLOOKUP($A48,CFR20252026_BenchMarkDataReport!$B:$B,CFR20252026_BenchMarkDataReport!S:S),0)</f>
        <v>2237457.89</v>
      </c>
      <c r="E48" s="88">
        <f>IFERROR(_xlfn.XLOOKUP($A48,CFR20252026_BenchMarkDataReport!$B:$B,CFR20252026_BenchMarkDataReport!T:T),0)</f>
        <v>0</v>
      </c>
      <c r="F48" s="88">
        <f>IFERROR(_xlfn.XLOOKUP($A48,CFR20252026_BenchMarkDataReport!$B:$B,CFR20252026_BenchMarkDataReport!U:U),0)</f>
        <v>197261.01</v>
      </c>
      <c r="G48" s="88">
        <f>IFERROR(_xlfn.XLOOKUP($A48,CFR20252026_BenchMarkDataReport!$B:$B,CFR20252026_BenchMarkDataReport!V:V),0)</f>
        <v>0</v>
      </c>
      <c r="H48" s="88">
        <f>IFERROR(_xlfn.XLOOKUP($A48,CFR20252026_BenchMarkDataReport!$B:$B,CFR20252026_BenchMarkDataReport!W:W),0)</f>
        <v>29500</v>
      </c>
      <c r="I48" s="88">
        <f>IFERROR(_xlfn.XLOOKUP($A48,CFR20252026_BenchMarkDataReport!$B:$B,CFR20252026_BenchMarkDataReport!X:X),0)</f>
        <v>98417.84</v>
      </c>
      <c r="J48" s="88">
        <f>IFERROR(_xlfn.XLOOKUP($A48,CFR20252026_BenchMarkDataReport!$B:$B,CFR20252026_BenchMarkDataReport!Y:Y),0)</f>
        <v>114439.28</v>
      </c>
      <c r="K48" s="88">
        <f>IFERROR(_xlfn.XLOOKUP($A48,CFR20252026_BenchMarkDataReport!$B:$B,CFR20252026_BenchMarkDataReport!Z:Z),0)</f>
        <v>23057</v>
      </c>
      <c r="L48" s="88">
        <f>IFERROR(_xlfn.XLOOKUP($A48,CFR20252026_BenchMarkDataReport!$B:$B,CFR20252026_BenchMarkDataReport!AA:AA),0)</f>
        <v>171486.55</v>
      </c>
      <c r="M48" s="88">
        <f>IFERROR(_xlfn.XLOOKUP($A48,CFR20252026_BenchMarkDataReport!$B:$B,CFR20252026_BenchMarkDataReport!AB:AB),0)</f>
        <v>1022.76</v>
      </c>
      <c r="N48" s="88">
        <f>IFERROR(_xlfn.XLOOKUP($A48,CFR20252026_BenchMarkDataReport!$B:$B,CFR20252026_BenchMarkDataReport!AC:AC),0)</f>
        <v>6796.6</v>
      </c>
      <c r="O48" s="88">
        <f>IFERROR(_xlfn.XLOOKUP($A48,CFR20252026_BenchMarkDataReport!$B:$B,CFR20252026_BenchMarkDataReport!AD:AD),0)</f>
        <v>0</v>
      </c>
      <c r="P48" s="88">
        <f>IFERROR(_xlfn.XLOOKUP($A48,CFR20252026_BenchMarkDataReport!$B:$B,CFR20252026_BenchMarkDataReport!AE:AE),0)</f>
        <v>57066.71</v>
      </c>
      <c r="Q48" s="88">
        <f>IFERROR(_xlfn.XLOOKUP($A48,CFR20252026_BenchMarkDataReport!$B:$B,CFR20252026_BenchMarkDataReport!AF:AF),0)</f>
        <v>14511.6</v>
      </c>
      <c r="R48" s="88">
        <f>IFERROR(_xlfn.XLOOKUP($A48,CFR20252026_BenchMarkDataReport!$B:$B,CFR20252026_BenchMarkDataReport!AG:AG),0)</f>
        <v>0</v>
      </c>
      <c r="S48" s="88">
        <f>IFERROR(_xlfn.XLOOKUP($A48,CFR20252026_BenchMarkDataReport!$B:$B,CFR20252026_BenchMarkDataReport!AH:AH),0)</f>
        <v>0</v>
      </c>
      <c r="T48" s="88">
        <f>IFERROR(_xlfn.XLOOKUP($A48,CFR20252026_BenchMarkDataReport!$B:$B,CFR20252026_BenchMarkDataReport!AI:AI),0)</f>
        <v>0</v>
      </c>
      <c r="U48" s="88">
        <f>IFERROR(_xlfn.XLOOKUP($A48,CFR20252026_BenchMarkDataReport!$B:$B,CFR20252026_BenchMarkDataReport!AJ:AJ),0)</f>
        <v>1367859.21</v>
      </c>
      <c r="V48" s="88">
        <f>IFERROR(_xlfn.XLOOKUP($A48,CFR20252026_BenchMarkDataReport!$B:$B,CFR20252026_BenchMarkDataReport!AK:AK),0)</f>
        <v>0</v>
      </c>
      <c r="W48" s="88">
        <f>IFERROR(_xlfn.XLOOKUP($A48,CFR20252026_BenchMarkDataReport!$B:$B,CFR20252026_BenchMarkDataReport!AL:AL),0)</f>
        <v>700322.71</v>
      </c>
      <c r="X48" s="88">
        <f>IFERROR(_xlfn.XLOOKUP($A48,CFR20252026_BenchMarkDataReport!$B:$B,CFR20252026_BenchMarkDataReport!AM:AM),0)</f>
        <v>42672.13</v>
      </c>
      <c r="Y48" s="88">
        <f>IFERROR(_xlfn.XLOOKUP($A48,CFR20252026_BenchMarkDataReport!$B:$B,CFR20252026_BenchMarkDataReport!AN:AN),0)</f>
        <v>94778.15</v>
      </c>
      <c r="Z48" s="88">
        <f>IFERROR(_xlfn.XLOOKUP($A48,CFR20252026_BenchMarkDataReport!$B:$B,CFR20252026_BenchMarkDataReport!AO:AO),0)</f>
        <v>0</v>
      </c>
      <c r="AA48" s="88">
        <f>IFERROR(_xlfn.XLOOKUP($A48,CFR20252026_BenchMarkDataReport!$B:$B,CFR20252026_BenchMarkDataReport!AP:AP),0)</f>
        <v>202141.94</v>
      </c>
      <c r="AB48" s="88">
        <f>IFERROR(_xlfn.XLOOKUP($A48,CFR20252026_BenchMarkDataReport!$B:$B,CFR20252026_BenchMarkDataReport!AQ:AQ),0)</f>
        <v>11060.23</v>
      </c>
      <c r="AC48" s="88">
        <f>IFERROR(_xlfn.XLOOKUP($A48,CFR20252026_BenchMarkDataReport!$B:$B,CFR20252026_BenchMarkDataReport!AR:AR),0)</f>
        <v>1195</v>
      </c>
      <c r="AD48" s="88">
        <f>IFERROR(_xlfn.XLOOKUP($A48,CFR20252026_BenchMarkDataReport!$B:$B,CFR20252026_BenchMarkDataReport!AS:AS),0)</f>
        <v>713.05</v>
      </c>
      <c r="AE48" s="88">
        <f>IFERROR(_xlfn.XLOOKUP($A48,CFR20252026_BenchMarkDataReport!$B:$B,CFR20252026_BenchMarkDataReport!AT:AT),0)</f>
        <v>0</v>
      </c>
      <c r="AF48" s="88">
        <f>IFERROR(_xlfn.XLOOKUP($A48,CFR20252026_BenchMarkDataReport!$B:$B,CFR20252026_BenchMarkDataReport!AU:AU),0)</f>
        <v>10782.74</v>
      </c>
      <c r="AG48" s="88">
        <f>IFERROR(_xlfn.XLOOKUP($A48,CFR20252026_BenchMarkDataReport!$B:$B,CFR20252026_BenchMarkDataReport!AV:AV),0)</f>
        <v>6375.25</v>
      </c>
      <c r="AH48" s="88">
        <f>IFERROR(_xlfn.XLOOKUP($A48,CFR20252026_BenchMarkDataReport!$B:$B,CFR20252026_BenchMarkDataReport!AW:AW),0)</f>
        <v>54785.82</v>
      </c>
      <c r="AI48" s="88">
        <f>IFERROR(_xlfn.XLOOKUP($A48,CFR20252026_BenchMarkDataReport!$B:$B,CFR20252026_BenchMarkDataReport!AX:AX),0)</f>
        <v>4630.51</v>
      </c>
      <c r="AJ48" s="88">
        <f>IFERROR(_xlfn.XLOOKUP($A48,CFR20252026_BenchMarkDataReport!$B:$B,CFR20252026_BenchMarkDataReport!AY:AY),0)</f>
        <v>30199.21</v>
      </c>
      <c r="AK48" s="88">
        <f>IFERROR(_xlfn.XLOOKUP($A48,CFR20252026_BenchMarkDataReport!$B:$B,CFR20252026_BenchMarkDataReport!AZ:AZ),0)</f>
        <v>45752.73</v>
      </c>
      <c r="AL48" s="88">
        <f>IFERROR(_xlfn.XLOOKUP($A48,CFR20252026_BenchMarkDataReport!$B:$B,CFR20252026_BenchMarkDataReport!BA:BA),0)</f>
        <v>13895.9</v>
      </c>
      <c r="AM48" s="88">
        <f>IFERROR(_xlfn.XLOOKUP($A48,CFR20252026_BenchMarkDataReport!$B:$B,CFR20252026_BenchMarkDataReport!BB:BB),0)</f>
        <v>91165.65</v>
      </c>
      <c r="AN48" s="88">
        <f>IFERROR(_xlfn.XLOOKUP($A48,CFR20252026_BenchMarkDataReport!$B:$B,CFR20252026_BenchMarkDataReport!BC:BC),0)</f>
        <v>5905</v>
      </c>
      <c r="AO48" s="88">
        <f>IFERROR(_xlfn.XLOOKUP($A48,CFR20252026_BenchMarkDataReport!$B:$B,CFR20252026_BenchMarkDataReport!BD:BD),0)</f>
        <v>0</v>
      </c>
      <c r="AP48" s="88">
        <f>IFERROR(_xlfn.XLOOKUP($A48,CFR20252026_BenchMarkDataReport!$B:$B,CFR20252026_BenchMarkDataReport!BE:BE),0)</f>
        <v>0</v>
      </c>
      <c r="AQ48" s="88">
        <f>IFERROR(_xlfn.XLOOKUP($A48,CFR20252026_BenchMarkDataReport!$B:$B,CFR20252026_BenchMarkDataReport!BF:BF),0)</f>
        <v>6145.97</v>
      </c>
      <c r="AR48" s="88">
        <f>IFERROR(_xlfn.XLOOKUP($A48,CFR20252026_BenchMarkDataReport!$B:$B,CFR20252026_BenchMarkDataReport!BG:BG),0)</f>
        <v>670</v>
      </c>
      <c r="AS48" s="88">
        <f>IFERROR(_xlfn.XLOOKUP($A48,CFR20252026_BenchMarkDataReport!$B:$B,CFR20252026_BenchMarkDataReport!BH:BH),0)</f>
        <v>107.97</v>
      </c>
      <c r="AT48" s="88">
        <f>IFERROR(_xlfn.XLOOKUP($A48,CFR20252026_BenchMarkDataReport!$B:$B,CFR20252026_BenchMarkDataReport!BI:BI),0)</f>
        <v>3700</v>
      </c>
      <c r="AU48" s="88">
        <f>IFERROR(_xlfn.XLOOKUP($A48,CFR20252026_BenchMarkDataReport!$B:$B,CFR20252026_BenchMarkDataReport!BJ:BJ),0)</f>
        <v>0</v>
      </c>
      <c r="AV48" s="88">
        <f>IFERROR(_xlfn.XLOOKUP($A48,CFR20252026_BenchMarkDataReport!$B:$B,CFR20252026_BenchMarkDataReport!BK:BK),0)</f>
        <v>12884.68</v>
      </c>
      <c r="AW48" s="88">
        <f>IFERROR(_xlfn.XLOOKUP($A48,CFR20252026_BenchMarkDataReport!$B:$B,CFR20252026_BenchMarkDataReport!BL:BL),0)</f>
        <v>22270.91</v>
      </c>
      <c r="AX48" s="88">
        <f>IFERROR(_xlfn.XLOOKUP($A48,CFR20252026_BenchMarkDataReport!$B:$B,CFR20252026_BenchMarkDataReport!BM:BM),0)</f>
        <v>8030.49</v>
      </c>
      <c r="AY48" s="88">
        <f>IFERROR(_xlfn.XLOOKUP($A48,CFR20252026_BenchMarkDataReport!$B:$B,CFR20252026_BenchMarkDataReport!BN:BN),0)</f>
        <v>183920.07</v>
      </c>
      <c r="AZ48" s="88">
        <f>IFERROR(_xlfn.XLOOKUP($A48,CFR20252026_BenchMarkDataReport!$B:$B,CFR20252026_BenchMarkDataReport!BO:BO),0)</f>
        <v>23442.46</v>
      </c>
      <c r="BA48" s="88">
        <f>IFERROR(_xlfn.XLOOKUP($A48,CFR20252026_BenchMarkDataReport!$B:$B,CFR20252026_BenchMarkDataReport!BP:BP),0)</f>
        <v>84857.38</v>
      </c>
      <c r="BB48" s="88">
        <f>IFERROR(_xlfn.XLOOKUP($A48,CFR20252026_BenchMarkDataReport!$B:$B,CFR20252026_BenchMarkDataReport!BQ:BQ),0)</f>
        <v>13308.96</v>
      </c>
      <c r="BC48" s="88">
        <f>IFERROR(_xlfn.XLOOKUP($A48,CFR20252026_BenchMarkDataReport!$B:$B,CFR20252026_BenchMarkDataReport!BR:BR),0)</f>
        <v>0</v>
      </c>
      <c r="BD48" s="88">
        <f>IFERROR(_xlfn.XLOOKUP($A48,CFR20252026_BenchMarkDataReport!$B:$B,CFR20252026_BenchMarkDataReport!BS:BS),0)</f>
        <v>0</v>
      </c>
      <c r="BE48" s="88">
        <f>IFERROR(_xlfn.XLOOKUP($A48,CFR20252026_BenchMarkDataReport!$B:$B,CFR20252026_BenchMarkDataReport!BT:BT),0)</f>
        <v>0</v>
      </c>
      <c r="BF48" s="88">
        <f>IFERROR(_xlfn.XLOOKUP($A48,CFR20252026_BenchMarkDataReport!$B:$B,CFR20252026_BenchMarkDataReport!BU:BU),0)</f>
        <v>0</v>
      </c>
      <c r="BG48" s="88">
        <f>IFERROR(_xlfn.XLOOKUP($A48,CFR20252026_BenchMarkDataReport!$B:$B,CFR20252026_BenchMarkDataReport!BV:BV),0)</f>
        <v>0</v>
      </c>
      <c r="BH48" s="89">
        <f t="shared" si="0"/>
        <v>2951017.2399999998</v>
      </c>
      <c r="BI48" s="90">
        <f t="shared" si="88"/>
        <v>3043574.1199999996</v>
      </c>
      <c r="BJ48" s="126">
        <f t="shared" si="89"/>
        <v>-92556.879999999888</v>
      </c>
      <c r="BK48" s="88">
        <f>IFERROR(_xlfn.XLOOKUP(A48,CFR20252026_BenchMarkDataReport!$B:$B,CFR20252026_BenchMarkDataReport!P:P)+_xlfn.XLOOKUP(A48,CFR20252026_BenchMarkDataReport!$B:$B,CFR20252026_BenchMarkDataReport!Q:Q),0)</f>
        <v>270961</v>
      </c>
      <c r="BL48" s="89">
        <f t="shared" si="1"/>
        <v>178404.12000000011</v>
      </c>
      <c r="BM48" s="91">
        <f>SUMIFS(PP!I:I,PP!E:E,A48)</f>
        <v>417</v>
      </c>
      <c r="BN48" s="90">
        <f t="shared" si="133"/>
        <v>2434718.9000000004</v>
      </c>
      <c r="BO48" t="s">
        <v>173</v>
      </c>
      <c r="BP48" s="92">
        <f t="shared" si="22"/>
        <v>0.75819885416867316</v>
      </c>
      <c r="BQ48" s="93">
        <f t="shared" si="23"/>
        <v>5365.6064508393292</v>
      </c>
      <c r="BR48" s="94">
        <f t="shared" si="24"/>
        <v>0</v>
      </c>
      <c r="BS48" s="95">
        <f t="shared" si="25"/>
        <v>0</v>
      </c>
      <c r="BT48" s="92">
        <f t="shared" si="26"/>
        <v>6.6845088983621126E-2</v>
      </c>
      <c r="BU48" s="93">
        <f t="shared" si="27"/>
        <v>473.0479856115108</v>
      </c>
      <c r="BV48" s="94">
        <f t="shared" si="28"/>
        <v>0</v>
      </c>
      <c r="BW48" s="95">
        <f t="shared" si="29"/>
        <v>0</v>
      </c>
      <c r="BX48" s="92">
        <f t="shared" si="30"/>
        <v>9.996552917461099E-3</v>
      </c>
      <c r="BY48" s="93">
        <f t="shared" si="31"/>
        <v>70.743405275779381</v>
      </c>
      <c r="BZ48" s="94">
        <f t="shared" si="32"/>
        <v>3.3350479511261681E-2</v>
      </c>
      <c r="CA48" s="95">
        <f t="shared" si="33"/>
        <v>236.01400479616305</v>
      </c>
      <c r="CB48" s="92">
        <f t="shared" si="34"/>
        <v>3.8779604012072803E-2</v>
      </c>
      <c r="CC48" s="93">
        <f t="shared" si="35"/>
        <v>274.43472422062348</v>
      </c>
      <c r="CD48" s="94">
        <f t="shared" si="36"/>
        <v>6.5924233638160648E-2</v>
      </c>
      <c r="CE48" s="96">
        <f t="shared" si="37"/>
        <v>466.53129496402875</v>
      </c>
      <c r="CF48" s="97">
        <f t="shared" si="38"/>
        <v>1.9337979197979881E-2</v>
      </c>
      <c r="CG48" s="98">
        <f t="shared" si="39"/>
        <v>136.85062350119904</v>
      </c>
      <c r="CH48" s="94">
        <f t="shared" si="40"/>
        <v>4.9174907565094402E-3</v>
      </c>
      <c r="CI48" s="95">
        <f t="shared" si="41"/>
        <v>34.800000000000004</v>
      </c>
      <c r="CJ48" s="99">
        <f t="shared" si="90"/>
        <v>0.57144242401042666</v>
      </c>
      <c r="CK48" s="97">
        <f t="shared" si="91"/>
        <v>0.47146511079006775</v>
      </c>
      <c r="CL48" s="97">
        <f t="shared" si="92"/>
        <v>0.45712757933425985</v>
      </c>
      <c r="CM48" s="98">
        <f t="shared" si="93"/>
        <v>3336.4548441247002</v>
      </c>
      <c r="CN48" s="94">
        <f t="shared" si="94"/>
        <v>0.28764006801770825</v>
      </c>
      <c r="CO48" s="100">
        <f t="shared" si="95"/>
        <v>0.23731569592592419</v>
      </c>
      <c r="CP48" s="100">
        <f t="shared" si="96"/>
        <v>0.23009878596286659</v>
      </c>
      <c r="CQ48" s="101">
        <f t="shared" si="97"/>
        <v>1679.4309592326138</v>
      </c>
      <c r="CR48" s="99">
        <f t="shared" si="98"/>
        <v>1.7526511992821837E-2</v>
      </c>
      <c r="CS48" s="97">
        <f t="shared" si="99"/>
        <v>1.4460142564263706E-2</v>
      </c>
      <c r="CT48" s="97">
        <f t="shared" si="100"/>
        <v>1.402040111972039E-2</v>
      </c>
      <c r="CU48" s="98">
        <f t="shared" si="101"/>
        <v>102.33124700239807</v>
      </c>
      <c r="CV48" s="94">
        <f t="shared" si="102"/>
        <v>3.8927758765087819E-2</v>
      </c>
      <c r="CW48" s="100">
        <f t="shared" si="103"/>
        <v>3.2117111589629342E-2</v>
      </c>
      <c r="CX48" s="100">
        <f t="shared" si="104"/>
        <v>3.1140411326667478E-2</v>
      </c>
      <c r="CY48" s="95">
        <f t="shared" si="105"/>
        <v>227.28573141486808</v>
      </c>
      <c r="CZ48" s="99">
        <f t="shared" si="106"/>
        <v>0.98893311256588978</v>
      </c>
      <c r="DA48" s="97">
        <f t="shared" si="107"/>
        <v>0.81591327470523345</v>
      </c>
      <c r="DB48" s="97">
        <f t="shared" si="108"/>
        <v>0.79110087189202405</v>
      </c>
      <c r="DC48" s="98">
        <f t="shared" si="109"/>
        <v>5774.0387050359705</v>
      </c>
      <c r="DD48" s="94">
        <f t="shared" si="110"/>
        <v>4.428741239902478E-3</v>
      </c>
      <c r="DE48" s="100">
        <f t="shared" si="111"/>
        <v>3.5427887000169397E-3</v>
      </c>
      <c r="DF48" s="95">
        <f t="shared" si="112"/>
        <v>25.857889688249401</v>
      </c>
      <c r="DG48" s="99">
        <f t="shared" si="113"/>
        <v>1.5214053666614831E-3</v>
      </c>
      <c r="DH48" s="98">
        <f t="shared" si="114"/>
        <v>11.104340527577937</v>
      </c>
      <c r="DI48" s="94">
        <f t="shared" si="115"/>
        <v>1.2403571517023995E-2</v>
      </c>
      <c r="DJ48" s="100">
        <f t="shared" si="116"/>
        <v>9.9222850534686508E-3</v>
      </c>
      <c r="DK48" s="95">
        <f t="shared" si="117"/>
        <v>72.420167865707427</v>
      </c>
      <c r="DL48" s="99">
        <f t="shared" si="118"/>
        <v>5.7073939829357699E-3</v>
      </c>
      <c r="DM48" s="97">
        <f t="shared" si="119"/>
        <v>4.5656519119041533E-3</v>
      </c>
      <c r="DN48" s="102">
        <f t="shared" si="120"/>
        <v>33.32350119904077</v>
      </c>
      <c r="DO48" s="94">
        <f t="shared" si="121"/>
        <v>3.7444014584188744E-2</v>
      </c>
      <c r="DP48" s="100">
        <f t="shared" si="122"/>
        <v>3.0892957439991101E-2</v>
      </c>
      <c r="DQ48" s="100">
        <f t="shared" si="123"/>
        <v>2.9953484425081129E-2</v>
      </c>
      <c r="DR48" s="95">
        <f t="shared" si="124"/>
        <v>218.62266187050358</v>
      </c>
      <c r="DS48" s="99">
        <f t="shared" si="125"/>
        <v>5.2920606152932065E-3</v>
      </c>
      <c r="DT48" s="97">
        <f t="shared" si="126"/>
        <v>4.2334043765623825E-3</v>
      </c>
      <c r="DU48" s="98">
        <f t="shared" si="127"/>
        <v>30.89851318944844</v>
      </c>
      <c r="DV48" s="94">
        <f t="shared" si="128"/>
        <v>3.4853050181686267E-2</v>
      </c>
      <c r="DW48" s="100">
        <f t="shared" si="129"/>
        <v>2.7880832420798748E-2</v>
      </c>
      <c r="DX48" s="95">
        <f t="shared" si="130"/>
        <v>203.49491606714631</v>
      </c>
      <c r="DY48" s="99">
        <f t="shared" si="131"/>
        <v>6.0428976837271844E-2</v>
      </c>
      <c r="DZ48" s="98">
        <f t="shared" si="132"/>
        <v>441.05532374100721</v>
      </c>
      <c r="EA48" s="94">
        <f t="shared" si="14"/>
        <v>1.8000488189195144E-2</v>
      </c>
      <c r="EB48" s="95">
        <f t="shared" si="84"/>
        <v>131.38086330935252</v>
      </c>
      <c r="EC48" s="103">
        <f>IFERROR(VLOOKUP(A48,PP!$E$3:$S$130,14,0),0)</f>
        <v>16</v>
      </c>
    </row>
    <row r="49" spans="1:133">
      <c r="A49" s="26">
        <v>2044</v>
      </c>
      <c r="B49" s="125">
        <v>10081</v>
      </c>
      <c r="C49" s="26" t="s">
        <v>73</v>
      </c>
      <c r="D49" s="88">
        <f>IFERROR(_xlfn.XLOOKUP($A49,CFR20252026_BenchMarkDataReport!$B:$B,CFR20252026_BenchMarkDataReport!S:S),0)</f>
        <v>1944926.03</v>
      </c>
      <c r="E49" s="88">
        <f>IFERROR(_xlfn.XLOOKUP($A49,CFR20252026_BenchMarkDataReport!$B:$B,CFR20252026_BenchMarkDataReport!T:T),0)</f>
        <v>0</v>
      </c>
      <c r="F49" s="88">
        <f>IFERROR(_xlfn.XLOOKUP($A49,CFR20252026_BenchMarkDataReport!$B:$B,CFR20252026_BenchMarkDataReport!U:U),0)</f>
        <v>166296.85</v>
      </c>
      <c r="G49" s="88">
        <f>IFERROR(_xlfn.XLOOKUP($A49,CFR20252026_BenchMarkDataReport!$B:$B,CFR20252026_BenchMarkDataReport!V:V),0)</f>
        <v>0</v>
      </c>
      <c r="H49" s="88">
        <f>IFERROR(_xlfn.XLOOKUP($A49,CFR20252026_BenchMarkDataReport!$B:$B,CFR20252026_BenchMarkDataReport!W:W),0)</f>
        <v>71205</v>
      </c>
      <c r="I49" s="88">
        <f>IFERROR(_xlfn.XLOOKUP($A49,CFR20252026_BenchMarkDataReport!$B:$B,CFR20252026_BenchMarkDataReport!X:X),0)</f>
        <v>162647.45000000001</v>
      </c>
      <c r="J49" s="88">
        <f>IFERROR(_xlfn.XLOOKUP($A49,CFR20252026_BenchMarkDataReport!$B:$B,CFR20252026_BenchMarkDataReport!Y:Y),0)</f>
        <v>13373</v>
      </c>
      <c r="K49" s="88">
        <f>IFERROR(_xlfn.XLOOKUP($A49,CFR20252026_BenchMarkDataReport!$B:$B,CFR20252026_BenchMarkDataReport!Z:Z),0)</f>
        <v>51395.26</v>
      </c>
      <c r="L49" s="88">
        <f>IFERROR(_xlfn.XLOOKUP($A49,CFR20252026_BenchMarkDataReport!$B:$B,CFR20252026_BenchMarkDataReport!AA:AA),0)</f>
        <v>41135.99</v>
      </c>
      <c r="M49" s="88">
        <f>IFERROR(_xlfn.XLOOKUP($A49,CFR20252026_BenchMarkDataReport!$B:$B,CFR20252026_BenchMarkDataReport!AB:AB),0)</f>
        <v>0</v>
      </c>
      <c r="N49" s="88">
        <f>IFERROR(_xlfn.XLOOKUP($A49,CFR20252026_BenchMarkDataReport!$B:$B,CFR20252026_BenchMarkDataReport!AC:AC),0)</f>
        <v>0</v>
      </c>
      <c r="O49" s="88">
        <f>IFERROR(_xlfn.XLOOKUP($A49,CFR20252026_BenchMarkDataReport!$B:$B,CFR20252026_BenchMarkDataReport!AD:AD),0)</f>
        <v>0</v>
      </c>
      <c r="P49" s="88">
        <f>IFERROR(_xlfn.XLOOKUP($A49,CFR20252026_BenchMarkDataReport!$B:$B,CFR20252026_BenchMarkDataReport!AE:AE),0)</f>
        <v>12391.19</v>
      </c>
      <c r="Q49" s="88">
        <f>IFERROR(_xlfn.XLOOKUP($A49,CFR20252026_BenchMarkDataReport!$B:$B,CFR20252026_BenchMarkDataReport!AF:AF),0)</f>
        <v>3513.5</v>
      </c>
      <c r="R49" s="88">
        <f>IFERROR(_xlfn.XLOOKUP($A49,CFR20252026_BenchMarkDataReport!$B:$B,CFR20252026_BenchMarkDataReport!AG:AG),0)</f>
        <v>0</v>
      </c>
      <c r="S49" s="88">
        <f>IFERROR(_xlfn.XLOOKUP($A49,CFR20252026_BenchMarkDataReport!$B:$B,CFR20252026_BenchMarkDataReport!AH:AH),0)</f>
        <v>0</v>
      </c>
      <c r="T49" s="88">
        <f>IFERROR(_xlfn.XLOOKUP($A49,CFR20252026_BenchMarkDataReport!$B:$B,CFR20252026_BenchMarkDataReport!AI:AI),0)</f>
        <v>0</v>
      </c>
      <c r="U49" s="88">
        <f>IFERROR(_xlfn.XLOOKUP($A49,CFR20252026_BenchMarkDataReport!$B:$B,CFR20252026_BenchMarkDataReport!AJ:AJ),0)</f>
        <v>942466.36</v>
      </c>
      <c r="V49" s="88">
        <f>IFERROR(_xlfn.XLOOKUP($A49,CFR20252026_BenchMarkDataReport!$B:$B,CFR20252026_BenchMarkDataReport!AK:AK),0)</f>
        <v>0</v>
      </c>
      <c r="W49" s="88">
        <f>IFERROR(_xlfn.XLOOKUP($A49,CFR20252026_BenchMarkDataReport!$B:$B,CFR20252026_BenchMarkDataReport!AL:AL),0)</f>
        <v>546041.84</v>
      </c>
      <c r="X49" s="88">
        <f>IFERROR(_xlfn.XLOOKUP($A49,CFR20252026_BenchMarkDataReport!$B:$B,CFR20252026_BenchMarkDataReport!AM:AM),0)</f>
        <v>81534.97</v>
      </c>
      <c r="Y49" s="88">
        <f>IFERROR(_xlfn.XLOOKUP($A49,CFR20252026_BenchMarkDataReport!$B:$B,CFR20252026_BenchMarkDataReport!AN:AN),0)</f>
        <v>127947.81</v>
      </c>
      <c r="Z49" s="88">
        <f>IFERROR(_xlfn.XLOOKUP($A49,CFR20252026_BenchMarkDataReport!$B:$B,CFR20252026_BenchMarkDataReport!AO:AO),0)</f>
        <v>0</v>
      </c>
      <c r="AA49" s="88">
        <f>IFERROR(_xlfn.XLOOKUP($A49,CFR20252026_BenchMarkDataReport!$B:$B,CFR20252026_BenchMarkDataReport!AP:AP),0)</f>
        <v>65382.34</v>
      </c>
      <c r="AB49" s="88">
        <f>IFERROR(_xlfn.XLOOKUP($A49,CFR20252026_BenchMarkDataReport!$B:$B,CFR20252026_BenchMarkDataReport!AQ:AQ),0)</f>
        <v>8336.58</v>
      </c>
      <c r="AC49" s="88">
        <f>IFERROR(_xlfn.XLOOKUP($A49,CFR20252026_BenchMarkDataReport!$B:$B,CFR20252026_BenchMarkDataReport!AR:AR),0)</f>
        <v>5597.44</v>
      </c>
      <c r="AD49" s="88">
        <f>IFERROR(_xlfn.XLOOKUP($A49,CFR20252026_BenchMarkDataReport!$B:$B,CFR20252026_BenchMarkDataReport!AS:AS),0)</f>
        <v>542.1</v>
      </c>
      <c r="AE49" s="88">
        <f>IFERROR(_xlfn.XLOOKUP($A49,CFR20252026_BenchMarkDataReport!$B:$B,CFR20252026_BenchMarkDataReport!AT:AT),0)</f>
        <v>0</v>
      </c>
      <c r="AF49" s="88">
        <f>IFERROR(_xlfn.XLOOKUP($A49,CFR20252026_BenchMarkDataReport!$B:$B,CFR20252026_BenchMarkDataReport!AU:AU),0)</f>
        <v>47049.79</v>
      </c>
      <c r="AG49" s="88">
        <f>IFERROR(_xlfn.XLOOKUP($A49,CFR20252026_BenchMarkDataReport!$B:$B,CFR20252026_BenchMarkDataReport!AV:AV),0)</f>
        <v>2774.11</v>
      </c>
      <c r="AH49" s="88">
        <f>IFERROR(_xlfn.XLOOKUP($A49,CFR20252026_BenchMarkDataReport!$B:$B,CFR20252026_BenchMarkDataReport!AW:AW),0)</f>
        <v>55341.21</v>
      </c>
      <c r="AI49" s="88">
        <f>IFERROR(_xlfn.XLOOKUP($A49,CFR20252026_BenchMarkDataReport!$B:$B,CFR20252026_BenchMarkDataReport!AX:AX),0)</f>
        <v>8755.58</v>
      </c>
      <c r="AJ49" s="88">
        <f>IFERROR(_xlfn.XLOOKUP($A49,CFR20252026_BenchMarkDataReport!$B:$B,CFR20252026_BenchMarkDataReport!AY:AY),0)</f>
        <v>64886.84</v>
      </c>
      <c r="AK49" s="88">
        <f>IFERROR(_xlfn.XLOOKUP($A49,CFR20252026_BenchMarkDataReport!$B:$B,CFR20252026_BenchMarkDataReport!AZ:AZ),0)</f>
        <v>28835.43</v>
      </c>
      <c r="AL49" s="88">
        <f>IFERROR(_xlfn.XLOOKUP($A49,CFR20252026_BenchMarkDataReport!$B:$B,CFR20252026_BenchMarkDataReport!BA:BA),0)</f>
        <v>11552.15</v>
      </c>
      <c r="AM49" s="88">
        <f>IFERROR(_xlfn.XLOOKUP($A49,CFR20252026_BenchMarkDataReport!$B:$B,CFR20252026_BenchMarkDataReport!BB:BB),0)</f>
        <v>62918.47</v>
      </c>
      <c r="AN49" s="88">
        <f>IFERROR(_xlfn.XLOOKUP($A49,CFR20252026_BenchMarkDataReport!$B:$B,CFR20252026_BenchMarkDataReport!BC:BC),0)</f>
        <v>5730.09</v>
      </c>
      <c r="AO49" s="88">
        <f>IFERROR(_xlfn.XLOOKUP($A49,CFR20252026_BenchMarkDataReport!$B:$B,CFR20252026_BenchMarkDataReport!BD:BD),0)</f>
        <v>0</v>
      </c>
      <c r="AP49" s="88">
        <f>IFERROR(_xlfn.XLOOKUP($A49,CFR20252026_BenchMarkDataReport!$B:$B,CFR20252026_BenchMarkDataReport!BE:BE),0)</f>
        <v>2497.1999999999998</v>
      </c>
      <c r="AQ49" s="88">
        <f>IFERROR(_xlfn.XLOOKUP($A49,CFR20252026_BenchMarkDataReport!$B:$B,CFR20252026_BenchMarkDataReport!BF:BF),0)</f>
        <v>0</v>
      </c>
      <c r="AR49" s="88">
        <f>IFERROR(_xlfn.XLOOKUP($A49,CFR20252026_BenchMarkDataReport!$B:$B,CFR20252026_BenchMarkDataReport!BG:BG),0)</f>
        <v>46.94</v>
      </c>
      <c r="AS49" s="88">
        <f>IFERROR(_xlfn.XLOOKUP($A49,CFR20252026_BenchMarkDataReport!$B:$B,CFR20252026_BenchMarkDataReport!BH:BH),0)</f>
        <v>0</v>
      </c>
      <c r="AT49" s="88">
        <f>IFERROR(_xlfn.XLOOKUP($A49,CFR20252026_BenchMarkDataReport!$B:$B,CFR20252026_BenchMarkDataReport!BI:BI),0)</f>
        <v>7123.51</v>
      </c>
      <c r="AU49" s="88">
        <f>IFERROR(_xlfn.XLOOKUP($A49,CFR20252026_BenchMarkDataReport!$B:$B,CFR20252026_BenchMarkDataReport!BJ:BJ),0)</f>
        <v>0</v>
      </c>
      <c r="AV49" s="88">
        <f>IFERROR(_xlfn.XLOOKUP($A49,CFR20252026_BenchMarkDataReport!$B:$B,CFR20252026_BenchMarkDataReport!BK:BK),0)</f>
        <v>28249.040000000001</v>
      </c>
      <c r="AW49" s="88">
        <f>IFERROR(_xlfn.XLOOKUP($A49,CFR20252026_BenchMarkDataReport!$B:$B,CFR20252026_BenchMarkDataReport!BL:BL),0)</f>
        <v>15081.94</v>
      </c>
      <c r="AX49" s="88">
        <f>IFERROR(_xlfn.XLOOKUP($A49,CFR20252026_BenchMarkDataReport!$B:$B,CFR20252026_BenchMarkDataReport!BM:BM),0)</f>
        <v>492.48</v>
      </c>
      <c r="AY49" s="88">
        <f>IFERROR(_xlfn.XLOOKUP($A49,CFR20252026_BenchMarkDataReport!$B:$B,CFR20252026_BenchMarkDataReport!BN:BN),0)</f>
        <v>149504.35999999999</v>
      </c>
      <c r="AZ49" s="88">
        <f>IFERROR(_xlfn.XLOOKUP($A49,CFR20252026_BenchMarkDataReport!$B:$B,CFR20252026_BenchMarkDataReport!BO:BO),0)</f>
        <v>24836.9</v>
      </c>
      <c r="BA49" s="88">
        <f>IFERROR(_xlfn.XLOOKUP($A49,CFR20252026_BenchMarkDataReport!$B:$B,CFR20252026_BenchMarkDataReport!BP:BP),0)</f>
        <v>222281.15</v>
      </c>
      <c r="BB49" s="88">
        <f>IFERROR(_xlfn.XLOOKUP($A49,CFR20252026_BenchMarkDataReport!$B:$B,CFR20252026_BenchMarkDataReport!BQ:BQ),0)</f>
        <v>8281.51</v>
      </c>
      <c r="BC49" s="88">
        <f>IFERROR(_xlfn.XLOOKUP($A49,CFR20252026_BenchMarkDataReport!$B:$B,CFR20252026_BenchMarkDataReport!BR:BR),0)</f>
        <v>0</v>
      </c>
      <c r="BD49" s="88">
        <f>IFERROR(_xlfn.XLOOKUP($A49,CFR20252026_BenchMarkDataReport!$B:$B,CFR20252026_BenchMarkDataReport!BS:BS),0)</f>
        <v>0</v>
      </c>
      <c r="BE49" s="88">
        <f>IFERROR(_xlfn.XLOOKUP($A49,CFR20252026_BenchMarkDataReport!$B:$B,CFR20252026_BenchMarkDataReport!BT:BT),0)</f>
        <v>0</v>
      </c>
      <c r="BF49" s="88">
        <f>IFERROR(_xlfn.XLOOKUP($A49,CFR20252026_BenchMarkDataReport!$B:$B,CFR20252026_BenchMarkDataReport!BU:BU),0)</f>
        <v>0</v>
      </c>
      <c r="BG49" s="88">
        <f>IFERROR(_xlfn.XLOOKUP($A49,CFR20252026_BenchMarkDataReport!$B:$B,CFR20252026_BenchMarkDataReport!BV:BV),0)</f>
        <v>0</v>
      </c>
      <c r="BH49" s="89">
        <f t="shared" si="0"/>
        <v>2466884.27</v>
      </c>
      <c r="BI49" s="90">
        <f t="shared" si="88"/>
        <v>2524088.1399999997</v>
      </c>
      <c r="BJ49" s="126">
        <f t="shared" si="89"/>
        <v>-57203.869999999646</v>
      </c>
      <c r="BK49" s="88">
        <f>IFERROR(_xlfn.XLOOKUP(A49,CFR20252026_BenchMarkDataReport!$B:$B,CFR20252026_BenchMarkDataReport!P:P)+_xlfn.XLOOKUP(A49,CFR20252026_BenchMarkDataReport!$B:$B,CFR20252026_BenchMarkDataReport!Q:Q),0)</f>
        <v>-78930.899999999994</v>
      </c>
      <c r="BL49" s="89">
        <f t="shared" si="1"/>
        <v>-136134.76999999964</v>
      </c>
      <c r="BM49" s="91">
        <f>SUMIFS(PP!I:I,PP!E:E,A49)</f>
        <v>317</v>
      </c>
      <c r="BN49" s="90">
        <f t="shared" si="133"/>
        <v>2111222.88</v>
      </c>
      <c r="BO49" t="s">
        <v>173</v>
      </c>
      <c r="BP49" s="92">
        <f t="shared" si="22"/>
        <v>0.78841397371267852</v>
      </c>
      <c r="BQ49" s="93">
        <f t="shared" si="23"/>
        <v>6135.4133438485806</v>
      </c>
      <c r="BR49" s="94">
        <f t="shared" si="24"/>
        <v>0</v>
      </c>
      <c r="BS49" s="95">
        <f t="shared" si="25"/>
        <v>0</v>
      </c>
      <c r="BT49" s="92">
        <f t="shared" si="26"/>
        <v>6.7411694996133725E-2</v>
      </c>
      <c r="BU49" s="93">
        <f t="shared" si="27"/>
        <v>524.59574132492116</v>
      </c>
      <c r="BV49" s="94">
        <f t="shared" si="28"/>
        <v>0</v>
      </c>
      <c r="BW49" s="95">
        <f t="shared" si="29"/>
        <v>0</v>
      </c>
      <c r="BX49" s="92">
        <f t="shared" si="30"/>
        <v>2.8864345549538081E-2</v>
      </c>
      <c r="BY49" s="93">
        <f t="shared" si="31"/>
        <v>224.62145110410094</v>
      </c>
      <c r="BZ49" s="94">
        <f t="shared" si="32"/>
        <v>6.5932339014833474E-2</v>
      </c>
      <c r="CA49" s="95">
        <f t="shared" si="33"/>
        <v>513.08343848580444</v>
      </c>
      <c r="CB49" s="92">
        <f t="shared" si="34"/>
        <v>5.4210082583241734E-3</v>
      </c>
      <c r="CC49" s="93">
        <f t="shared" si="35"/>
        <v>42.186119873817034</v>
      </c>
      <c r="CD49" s="94">
        <f t="shared" si="36"/>
        <v>3.7509359934424488E-2</v>
      </c>
      <c r="CE49" s="96">
        <f t="shared" si="37"/>
        <v>291.89668769716087</v>
      </c>
      <c r="CF49" s="97">
        <f t="shared" si="38"/>
        <v>5.0230122874795422E-3</v>
      </c>
      <c r="CG49" s="98">
        <f t="shared" si="39"/>
        <v>39.088927444794955</v>
      </c>
      <c r="CH49" s="94">
        <f t="shared" si="40"/>
        <v>1.4242662465880492E-3</v>
      </c>
      <c r="CI49" s="95">
        <f t="shared" si="41"/>
        <v>11.083596214511042</v>
      </c>
      <c r="CJ49" s="99">
        <f t="shared" si="90"/>
        <v>0.45817202397882317</v>
      </c>
      <c r="CK49" s="97">
        <f t="shared" si="91"/>
        <v>0.39211537880534625</v>
      </c>
      <c r="CL49" s="97">
        <f t="shared" si="92"/>
        <v>0.38322879643973135</v>
      </c>
      <c r="CM49" s="98">
        <f t="shared" si="93"/>
        <v>3051.4298422712932</v>
      </c>
      <c r="CN49" s="94">
        <f t="shared" si="94"/>
        <v>0.25863770479789422</v>
      </c>
      <c r="CO49" s="100">
        <f t="shared" si="95"/>
        <v>0.22134878666197014</v>
      </c>
      <c r="CP49" s="100">
        <f t="shared" si="96"/>
        <v>0.21633231872798231</v>
      </c>
      <c r="CQ49" s="101">
        <f t="shared" si="97"/>
        <v>1722.5294637223974</v>
      </c>
      <c r="CR49" s="99">
        <f t="shared" si="98"/>
        <v>3.8619783241454833E-2</v>
      </c>
      <c r="CS49" s="97">
        <f t="shared" si="99"/>
        <v>3.3051801818007459E-2</v>
      </c>
      <c r="CT49" s="97">
        <f t="shared" si="100"/>
        <v>3.2302742803585305E-2</v>
      </c>
      <c r="CU49" s="98">
        <f t="shared" si="101"/>
        <v>257.20810725552053</v>
      </c>
      <c r="CV49" s="94">
        <f t="shared" si="102"/>
        <v>6.060364881987259E-2</v>
      </c>
      <c r="CW49" s="100">
        <f t="shared" si="103"/>
        <v>5.1866158277461473E-2</v>
      </c>
      <c r="CX49" s="100">
        <f t="shared" si="104"/>
        <v>5.0690706070192944E-2</v>
      </c>
      <c r="CY49" s="95">
        <f t="shared" si="105"/>
        <v>403.62085173501578</v>
      </c>
      <c r="CZ49" s="99">
        <f t="shared" si="106"/>
        <v>0.8352378788164706</v>
      </c>
      <c r="DA49" s="97">
        <f t="shared" si="107"/>
        <v>0.71481801616903584</v>
      </c>
      <c r="DB49" s="97">
        <f t="shared" si="108"/>
        <v>0.69861796506044371</v>
      </c>
      <c r="DC49" s="98">
        <f t="shared" si="109"/>
        <v>5562.6918611987385</v>
      </c>
      <c r="DD49" s="94">
        <f t="shared" si="110"/>
        <v>2.2285562763510788E-2</v>
      </c>
      <c r="DE49" s="100">
        <f t="shared" si="111"/>
        <v>1.864031182365922E-2</v>
      </c>
      <c r="DF49" s="95">
        <f t="shared" si="112"/>
        <v>148.42205047318612</v>
      </c>
      <c r="DG49" s="99">
        <f t="shared" si="113"/>
        <v>3.4688091359598881E-3</v>
      </c>
      <c r="DH49" s="98">
        <f t="shared" si="114"/>
        <v>27.620126182965301</v>
      </c>
      <c r="DI49" s="94">
        <f t="shared" si="115"/>
        <v>3.0734244410992741E-2</v>
      </c>
      <c r="DJ49" s="100">
        <f t="shared" si="116"/>
        <v>2.5707042068665639E-2</v>
      </c>
      <c r="DK49" s="95">
        <f t="shared" si="117"/>
        <v>204.69034700315456</v>
      </c>
      <c r="DL49" s="99">
        <f t="shared" si="118"/>
        <v>5.4717813592471106E-3</v>
      </c>
      <c r="DM49" s="97">
        <f t="shared" si="119"/>
        <v>4.5767617290892234E-3</v>
      </c>
      <c r="DN49" s="102">
        <f t="shared" si="120"/>
        <v>36.442113564668766</v>
      </c>
      <c r="DO49" s="94">
        <f t="shared" si="121"/>
        <v>2.9801907982353812E-2</v>
      </c>
      <c r="DP49" s="100">
        <f t="shared" si="122"/>
        <v>2.5505237827796439E-2</v>
      </c>
      <c r="DQ49" s="100">
        <f t="shared" si="123"/>
        <v>2.4927207969845305E-2</v>
      </c>
      <c r="DR49" s="95">
        <f t="shared" si="124"/>
        <v>198.48097791798108</v>
      </c>
      <c r="DS49" s="99">
        <f t="shared" si="125"/>
        <v>1.3380415809059441E-2</v>
      </c>
      <c r="DT49" s="97">
        <f t="shared" si="126"/>
        <v>1.1191780331411091E-2</v>
      </c>
      <c r="DU49" s="98">
        <f t="shared" si="127"/>
        <v>89.113690851735015</v>
      </c>
      <c r="DV49" s="94">
        <f t="shared" si="128"/>
        <v>0.10528549690594487</v>
      </c>
      <c r="DW49" s="100">
        <f t="shared" si="129"/>
        <v>8.8063941380430569E-2</v>
      </c>
      <c r="DX49" s="95">
        <f t="shared" si="130"/>
        <v>701.2023659305994</v>
      </c>
      <c r="DY49" s="99">
        <f t="shared" si="131"/>
        <v>5.923103778776917E-2</v>
      </c>
      <c r="DZ49" s="98">
        <f t="shared" si="132"/>
        <v>471.62258675078863</v>
      </c>
      <c r="EA49" s="94">
        <f t="shared" si="14"/>
        <v>2.1925228807580389E-2</v>
      </c>
      <c r="EB49" s="95">
        <f t="shared" si="84"/>
        <v>174.57794952681388</v>
      </c>
      <c r="EC49" s="103">
        <f>IFERROR(VLOOKUP(A49,PP!$E$3:$S$130,14,0),0)</f>
        <v>47</v>
      </c>
    </row>
    <row r="50" spans="1:133">
      <c r="A50" s="26">
        <v>2043</v>
      </c>
      <c r="B50" s="125">
        <v>10080</v>
      </c>
      <c r="C50" s="26" t="s">
        <v>74</v>
      </c>
      <c r="D50" s="88">
        <f>IFERROR(_xlfn.XLOOKUP($A50,CFR20252026_BenchMarkDataReport!$B:$B,CFR20252026_BenchMarkDataReport!S:S),0)</f>
        <v>2713622.42</v>
      </c>
      <c r="E50" s="88">
        <f>IFERROR(_xlfn.XLOOKUP($A50,CFR20252026_BenchMarkDataReport!$B:$B,CFR20252026_BenchMarkDataReport!T:T),0)</f>
        <v>0</v>
      </c>
      <c r="F50" s="88">
        <f>IFERROR(_xlfn.XLOOKUP($A50,CFR20252026_BenchMarkDataReport!$B:$B,CFR20252026_BenchMarkDataReport!U:U),0)</f>
        <v>161956.32</v>
      </c>
      <c r="G50" s="88">
        <f>IFERROR(_xlfn.XLOOKUP($A50,CFR20252026_BenchMarkDataReport!$B:$B,CFR20252026_BenchMarkDataReport!V:V),0)</f>
        <v>0</v>
      </c>
      <c r="H50" s="88">
        <f>IFERROR(_xlfn.XLOOKUP($A50,CFR20252026_BenchMarkDataReport!$B:$B,CFR20252026_BenchMarkDataReport!W:W),0)</f>
        <v>142605</v>
      </c>
      <c r="I50" s="88">
        <f>IFERROR(_xlfn.XLOOKUP($A50,CFR20252026_BenchMarkDataReport!$B:$B,CFR20252026_BenchMarkDataReport!X:X),0)</f>
        <v>86087.19</v>
      </c>
      <c r="J50" s="88">
        <f>IFERROR(_xlfn.XLOOKUP($A50,CFR20252026_BenchMarkDataReport!$B:$B,CFR20252026_BenchMarkDataReport!Y:Y),0)</f>
        <v>189021.65</v>
      </c>
      <c r="K50" s="88">
        <f>IFERROR(_xlfn.XLOOKUP($A50,CFR20252026_BenchMarkDataReport!$B:$B,CFR20252026_BenchMarkDataReport!Z:Z),0)</f>
        <v>131027.01</v>
      </c>
      <c r="L50" s="88">
        <f>IFERROR(_xlfn.XLOOKUP($A50,CFR20252026_BenchMarkDataReport!$B:$B,CFR20252026_BenchMarkDataReport!AA:AA),0)</f>
        <v>57726.32</v>
      </c>
      <c r="M50" s="88">
        <f>IFERROR(_xlfn.XLOOKUP($A50,CFR20252026_BenchMarkDataReport!$B:$B,CFR20252026_BenchMarkDataReport!AB:AB),0)</f>
        <v>0</v>
      </c>
      <c r="N50" s="88">
        <f>IFERROR(_xlfn.XLOOKUP($A50,CFR20252026_BenchMarkDataReport!$B:$B,CFR20252026_BenchMarkDataReport!AC:AC),0)</f>
        <v>0</v>
      </c>
      <c r="O50" s="88">
        <f>IFERROR(_xlfn.XLOOKUP($A50,CFR20252026_BenchMarkDataReport!$B:$B,CFR20252026_BenchMarkDataReport!AD:AD),0)</f>
        <v>0</v>
      </c>
      <c r="P50" s="88">
        <f>IFERROR(_xlfn.XLOOKUP($A50,CFR20252026_BenchMarkDataReport!$B:$B,CFR20252026_BenchMarkDataReport!AE:AE),0)</f>
        <v>57247.12</v>
      </c>
      <c r="Q50" s="88">
        <f>IFERROR(_xlfn.XLOOKUP($A50,CFR20252026_BenchMarkDataReport!$B:$B,CFR20252026_BenchMarkDataReport!AF:AF),0)</f>
        <v>5173.1000000000004</v>
      </c>
      <c r="R50" s="88">
        <f>IFERROR(_xlfn.XLOOKUP($A50,CFR20252026_BenchMarkDataReport!$B:$B,CFR20252026_BenchMarkDataReport!AG:AG),0)</f>
        <v>0</v>
      </c>
      <c r="S50" s="88">
        <f>IFERROR(_xlfn.XLOOKUP($A50,CFR20252026_BenchMarkDataReport!$B:$B,CFR20252026_BenchMarkDataReport!AH:AH),0)</f>
        <v>0</v>
      </c>
      <c r="T50" s="88">
        <f>IFERROR(_xlfn.XLOOKUP($A50,CFR20252026_BenchMarkDataReport!$B:$B,CFR20252026_BenchMarkDataReport!AI:AI),0)</f>
        <v>0</v>
      </c>
      <c r="U50" s="88">
        <f>IFERROR(_xlfn.XLOOKUP($A50,CFR20252026_BenchMarkDataReport!$B:$B,CFR20252026_BenchMarkDataReport!AJ:AJ),0)</f>
        <v>1609732.88</v>
      </c>
      <c r="V50" s="88">
        <f>IFERROR(_xlfn.XLOOKUP($A50,CFR20252026_BenchMarkDataReport!$B:$B,CFR20252026_BenchMarkDataReport!AK:AK),0)</f>
        <v>0</v>
      </c>
      <c r="W50" s="88">
        <f>IFERROR(_xlfn.XLOOKUP($A50,CFR20252026_BenchMarkDataReport!$B:$B,CFR20252026_BenchMarkDataReport!AL:AL),0)</f>
        <v>501753.81</v>
      </c>
      <c r="X50" s="88">
        <f>IFERROR(_xlfn.XLOOKUP($A50,CFR20252026_BenchMarkDataReport!$B:$B,CFR20252026_BenchMarkDataReport!AM:AM),0)</f>
        <v>38628.050000000003</v>
      </c>
      <c r="Y50" s="88">
        <f>IFERROR(_xlfn.XLOOKUP($A50,CFR20252026_BenchMarkDataReport!$B:$B,CFR20252026_BenchMarkDataReport!AN:AN),0)</f>
        <v>127947.34</v>
      </c>
      <c r="Z50" s="88">
        <f>IFERROR(_xlfn.XLOOKUP($A50,CFR20252026_BenchMarkDataReport!$B:$B,CFR20252026_BenchMarkDataReport!AO:AO),0)</f>
        <v>0</v>
      </c>
      <c r="AA50" s="88">
        <f>IFERROR(_xlfn.XLOOKUP($A50,CFR20252026_BenchMarkDataReport!$B:$B,CFR20252026_BenchMarkDataReport!AP:AP),0)</f>
        <v>25885.01</v>
      </c>
      <c r="AB50" s="88">
        <f>IFERROR(_xlfn.XLOOKUP($A50,CFR20252026_BenchMarkDataReport!$B:$B,CFR20252026_BenchMarkDataReport!AQ:AQ),0)</f>
        <v>11503.99</v>
      </c>
      <c r="AC50" s="88">
        <f>IFERROR(_xlfn.XLOOKUP($A50,CFR20252026_BenchMarkDataReport!$B:$B,CFR20252026_BenchMarkDataReport!AR:AR),0)</f>
        <v>6809.95</v>
      </c>
      <c r="AD50" s="88">
        <f>IFERROR(_xlfn.XLOOKUP($A50,CFR20252026_BenchMarkDataReport!$B:$B,CFR20252026_BenchMarkDataReport!AS:AS),0)</f>
        <v>812.24</v>
      </c>
      <c r="AE50" s="88">
        <f>IFERROR(_xlfn.XLOOKUP($A50,CFR20252026_BenchMarkDataReport!$B:$B,CFR20252026_BenchMarkDataReport!AT:AT),0)</f>
        <v>0</v>
      </c>
      <c r="AF50" s="88">
        <f>IFERROR(_xlfn.XLOOKUP($A50,CFR20252026_BenchMarkDataReport!$B:$B,CFR20252026_BenchMarkDataReport!AU:AU),0)</f>
        <v>64795.13</v>
      </c>
      <c r="AG50" s="88">
        <f>IFERROR(_xlfn.XLOOKUP($A50,CFR20252026_BenchMarkDataReport!$B:$B,CFR20252026_BenchMarkDataReport!AV:AV),0)</f>
        <v>6114.11</v>
      </c>
      <c r="AH50" s="88">
        <f>IFERROR(_xlfn.XLOOKUP($A50,CFR20252026_BenchMarkDataReport!$B:$B,CFR20252026_BenchMarkDataReport!AW:AW),0)</f>
        <v>75565.25</v>
      </c>
      <c r="AI50" s="88">
        <f>IFERROR(_xlfn.XLOOKUP($A50,CFR20252026_BenchMarkDataReport!$B:$B,CFR20252026_BenchMarkDataReport!AX:AX),0)</f>
        <v>18566.29</v>
      </c>
      <c r="AJ50" s="88">
        <f>IFERROR(_xlfn.XLOOKUP($A50,CFR20252026_BenchMarkDataReport!$B:$B,CFR20252026_BenchMarkDataReport!AY:AY),0)</f>
        <v>136745.46</v>
      </c>
      <c r="AK50" s="88">
        <f>IFERROR(_xlfn.XLOOKUP($A50,CFR20252026_BenchMarkDataReport!$B:$B,CFR20252026_BenchMarkDataReport!AZ:AZ),0)</f>
        <v>28835.439999999999</v>
      </c>
      <c r="AL50" s="88">
        <f>IFERROR(_xlfn.XLOOKUP($A50,CFR20252026_BenchMarkDataReport!$B:$B,CFR20252026_BenchMarkDataReport!BA:BA),0)</f>
        <v>12907.78</v>
      </c>
      <c r="AM50" s="88">
        <f>IFERROR(_xlfn.XLOOKUP($A50,CFR20252026_BenchMarkDataReport!$B:$B,CFR20252026_BenchMarkDataReport!BB:BB),0)</f>
        <v>115053.73</v>
      </c>
      <c r="AN50" s="88">
        <f>IFERROR(_xlfn.XLOOKUP($A50,CFR20252026_BenchMarkDataReport!$B:$B,CFR20252026_BenchMarkDataReport!BC:BC),0)</f>
        <v>7701</v>
      </c>
      <c r="AO50" s="88">
        <f>IFERROR(_xlfn.XLOOKUP($A50,CFR20252026_BenchMarkDataReport!$B:$B,CFR20252026_BenchMarkDataReport!BD:BD),0)</f>
        <v>0</v>
      </c>
      <c r="AP50" s="88">
        <f>IFERROR(_xlfn.XLOOKUP($A50,CFR20252026_BenchMarkDataReport!$B:$B,CFR20252026_BenchMarkDataReport!BE:BE),0)</f>
        <v>5985.57</v>
      </c>
      <c r="AQ50" s="88">
        <f>IFERROR(_xlfn.XLOOKUP($A50,CFR20252026_BenchMarkDataReport!$B:$B,CFR20252026_BenchMarkDataReport!BF:BF),0)</f>
        <v>0</v>
      </c>
      <c r="AR50" s="88">
        <f>IFERROR(_xlfn.XLOOKUP($A50,CFR20252026_BenchMarkDataReport!$B:$B,CFR20252026_BenchMarkDataReport!BG:BG),0)</f>
        <v>0</v>
      </c>
      <c r="AS50" s="88">
        <f>IFERROR(_xlfn.XLOOKUP($A50,CFR20252026_BenchMarkDataReport!$B:$B,CFR20252026_BenchMarkDataReport!BH:BH),0)</f>
        <v>560.47</v>
      </c>
      <c r="AT50" s="88">
        <f>IFERROR(_xlfn.XLOOKUP($A50,CFR20252026_BenchMarkDataReport!$B:$B,CFR20252026_BenchMarkDataReport!BI:BI),0)</f>
        <v>11123.39</v>
      </c>
      <c r="AU50" s="88">
        <f>IFERROR(_xlfn.XLOOKUP($A50,CFR20252026_BenchMarkDataReport!$B:$B,CFR20252026_BenchMarkDataReport!BJ:BJ),0)</f>
        <v>0</v>
      </c>
      <c r="AV50" s="88">
        <f>IFERROR(_xlfn.XLOOKUP($A50,CFR20252026_BenchMarkDataReport!$B:$B,CFR20252026_BenchMarkDataReport!BK:BK),0)</f>
        <v>35543.78</v>
      </c>
      <c r="AW50" s="88">
        <f>IFERROR(_xlfn.XLOOKUP($A50,CFR20252026_BenchMarkDataReport!$B:$B,CFR20252026_BenchMarkDataReport!BL:BL),0)</f>
        <v>34027.629999999997</v>
      </c>
      <c r="AX50" s="88">
        <f>IFERROR(_xlfn.XLOOKUP($A50,CFR20252026_BenchMarkDataReport!$B:$B,CFR20252026_BenchMarkDataReport!BM:BM),0)</f>
        <v>480</v>
      </c>
      <c r="AY50" s="88">
        <f>IFERROR(_xlfn.XLOOKUP($A50,CFR20252026_BenchMarkDataReport!$B:$B,CFR20252026_BenchMarkDataReport!BN:BN),0)</f>
        <v>223681.95</v>
      </c>
      <c r="AZ50" s="88">
        <f>IFERROR(_xlfn.XLOOKUP($A50,CFR20252026_BenchMarkDataReport!$B:$B,CFR20252026_BenchMarkDataReport!BO:BO),0)</f>
        <v>27637.11</v>
      </c>
      <c r="BA50" s="88">
        <f>IFERROR(_xlfn.XLOOKUP($A50,CFR20252026_BenchMarkDataReport!$B:$B,CFR20252026_BenchMarkDataReport!BP:BP),0)</f>
        <v>195801.68</v>
      </c>
      <c r="BB50" s="88">
        <f>IFERROR(_xlfn.XLOOKUP($A50,CFR20252026_BenchMarkDataReport!$B:$B,CFR20252026_BenchMarkDataReport!BQ:BQ),0)</f>
        <v>26226.560000000001</v>
      </c>
      <c r="BC50" s="88">
        <f>IFERROR(_xlfn.XLOOKUP($A50,CFR20252026_BenchMarkDataReport!$B:$B,CFR20252026_BenchMarkDataReport!BR:BR),0)</f>
        <v>0</v>
      </c>
      <c r="BD50" s="88">
        <f>IFERROR(_xlfn.XLOOKUP($A50,CFR20252026_BenchMarkDataReport!$B:$B,CFR20252026_BenchMarkDataReport!BS:BS),0)</f>
        <v>0</v>
      </c>
      <c r="BE50" s="88">
        <f>IFERROR(_xlfn.XLOOKUP($A50,CFR20252026_BenchMarkDataReport!$B:$B,CFR20252026_BenchMarkDataReport!BT:BT),0)</f>
        <v>0</v>
      </c>
      <c r="BF50" s="88">
        <f>IFERROR(_xlfn.XLOOKUP($A50,CFR20252026_BenchMarkDataReport!$B:$B,CFR20252026_BenchMarkDataReport!BU:BU),0)</f>
        <v>0</v>
      </c>
      <c r="BG50" s="88">
        <f>IFERROR(_xlfn.XLOOKUP($A50,CFR20252026_BenchMarkDataReport!$B:$B,CFR20252026_BenchMarkDataReport!BV:BV),0)</f>
        <v>0</v>
      </c>
      <c r="BH50" s="89">
        <f t="shared" si="0"/>
        <v>3544466.1299999994</v>
      </c>
      <c r="BI50" s="90">
        <f t="shared" si="88"/>
        <v>3350425.5999999996</v>
      </c>
      <c r="BJ50" s="126">
        <f t="shared" si="89"/>
        <v>194040.5299999998</v>
      </c>
      <c r="BK50" s="88">
        <f>IFERROR(_xlfn.XLOOKUP(A50,CFR20252026_BenchMarkDataReport!$B:$B,CFR20252026_BenchMarkDataReport!P:P)+_xlfn.XLOOKUP(A50,CFR20252026_BenchMarkDataReport!$B:$B,CFR20252026_BenchMarkDataReport!Q:Q),0)</f>
        <v>371899.52</v>
      </c>
      <c r="BL50" s="89">
        <f t="shared" si="1"/>
        <v>565940.04999999981</v>
      </c>
      <c r="BM50" s="91">
        <f>SUMIFS(PP!I:I,PP!E:E,A50)</f>
        <v>475</v>
      </c>
      <c r="BN50" s="90">
        <f t="shared" si="133"/>
        <v>2875578.7399999998</v>
      </c>
      <c r="BO50" t="s">
        <v>173</v>
      </c>
      <c r="BP50" s="92">
        <f t="shared" si="22"/>
        <v>0.76559411783686604</v>
      </c>
      <c r="BQ50" s="93">
        <f t="shared" si="23"/>
        <v>5712.8893052631574</v>
      </c>
      <c r="BR50" s="94">
        <f t="shared" si="24"/>
        <v>0</v>
      </c>
      <c r="BS50" s="95">
        <f t="shared" si="25"/>
        <v>0</v>
      </c>
      <c r="BT50" s="92">
        <f t="shared" si="26"/>
        <v>4.5692726086227271E-2</v>
      </c>
      <c r="BU50" s="93">
        <f t="shared" si="27"/>
        <v>340.96067368421052</v>
      </c>
      <c r="BV50" s="94">
        <f t="shared" si="28"/>
        <v>0</v>
      </c>
      <c r="BW50" s="95">
        <f t="shared" si="29"/>
        <v>0</v>
      </c>
      <c r="BX50" s="92">
        <f t="shared" si="30"/>
        <v>4.0233139426275183E-2</v>
      </c>
      <c r="BY50" s="93">
        <f t="shared" si="31"/>
        <v>300.22105263157897</v>
      </c>
      <c r="BZ50" s="94">
        <f t="shared" si="32"/>
        <v>2.428777334656038E-2</v>
      </c>
      <c r="CA50" s="95">
        <f t="shared" si="33"/>
        <v>181.23618947368422</v>
      </c>
      <c r="CB50" s="92">
        <f t="shared" si="34"/>
        <v>5.3328665888535381E-2</v>
      </c>
      <c r="CC50" s="93">
        <f t="shared" si="35"/>
        <v>397.94031578947369</v>
      </c>
      <c r="CD50" s="94">
        <f t="shared" si="36"/>
        <v>5.3252964784290382E-2</v>
      </c>
      <c r="CE50" s="96">
        <f t="shared" si="37"/>
        <v>397.37543157894731</v>
      </c>
      <c r="CF50" s="97">
        <f t="shared" si="38"/>
        <v>1.6151126262842864E-2</v>
      </c>
      <c r="CG50" s="98">
        <f t="shared" si="39"/>
        <v>120.52025263157896</v>
      </c>
      <c r="CH50" s="94">
        <f t="shared" si="40"/>
        <v>1.45948636840268E-3</v>
      </c>
      <c r="CI50" s="95">
        <f t="shared" si="41"/>
        <v>10.890736842105264</v>
      </c>
      <c r="CJ50" s="99">
        <f t="shared" si="90"/>
        <v>0.56940537472467201</v>
      </c>
      <c r="CK50" s="97">
        <f t="shared" si="91"/>
        <v>0.46195108937322538</v>
      </c>
      <c r="CL50" s="97">
        <f t="shared" si="92"/>
        <v>0.48870507376734473</v>
      </c>
      <c r="CM50" s="98">
        <f t="shared" si="93"/>
        <v>3447.0947157894739</v>
      </c>
      <c r="CN50" s="94">
        <f t="shared" si="94"/>
        <v>0.17448793977382099</v>
      </c>
      <c r="CO50" s="100">
        <f t="shared" si="95"/>
        <v>0.14155976996174599</v>
      </c>
      <c r="CP50" s="100">
        <f t="shared" si="96"/>
        <v>0.14975823071552463</v>
      </c>
      <c r="CQ50" s="101">
        <f t="shared" si="97"/>
        <v>1056.3238105263158</v>
      </c>
      <c r="CR50" s="99">
        <f t="shared" si="98"/>
        <v>1.3433139375623567E-2</v>
      </c>
      <c r="CS50" s="97">
        <f t="shared" si="99"/>
        <v>1.0898129248028675E-2</v>
      </c>
      <c r="CT50" s="97">
        <f t="shared" si="100"/>
        <v>1.1529296457142641E-2</v>
      </c>
      <c r="CU50" s="98">
        <f t="shared" si="101"/>
        <v>81.3222105263158</v>
      </c>
      <c r="CV50" s="94">
        <f t="shared" si="102"/>
        <v>4.4494465834032423E-2</v>
      </c>
      <c r="CW50" s="100">
        <f t="shared" si="103"/>
        <v>3.6097774758536066E-2</v>
      </c>
      <c r="CX50" s="100">
        <f t="shared" si="104"/>
        <v>3.8188384186176233E-2</v>
      </c>
      <c r="CY50" s="95">
        <f t="shared" si="105"/>
        <v>269.36282105263155</v>
      </c>
      <c r="CZ50" s="99">
        <f t="shared" si="106"/>
        <v>0.80121161627450321</v>
      </c>
      <c r="DA50" s="97">
        <f t="shared" si="107"/>
        <v>0.65001244348186216</v>
      </c>
      <c r="DB50" s="97">
        <f t="shared" si="108"/>
        <v>0.68765803663868841</v>
      </c>
      <c r="DC50" s="98">
        <f t="shared" si="109"/>
        <v>4850.4149263157879</v>
      </c>
      <c r="DD50" s="94">
        <f t="shared" si="110"/>
        <v>2.2532900629248637E-2</v>
      </c>
      <c r="DE50" s="100">
        <f t="shared" si="111"/>
        <v>1.9339372884447877E-2</v>
      </c>
      <c r="DF50" s="95">
        <f t="shared" si="112"/>
        <v>136.41079999999999</v>
      </c>
      <c r="DG50" s="99">
        <f t="shared" si="113"/>
        <v>5.5414721043201207E-3</v>
      </c>
      <c r="DH50" s="98">
        <f t="shared" si="114"/>
        <v>39.086926315789476</v>
      </c>
      <c r="DI50" s="94">
        <f t="shared" si="115"/>
        <v>4.7554065586115718E-2</v>
      </c>
      <c r="DJ50" s="100">
        <f t="shared" si="116"/>
        <v>4.0814355047907945E-2</v>
      </c>
      <c r="DK50" s="95">
        <f t="shared" si="117"/>
        <v>287.88517894736839</v>
      </c>
      <c r="DL50" s="99">
        <f t="shared" si="118"/>
        <v>4.4887590176021404E-3</v>
      </c>
      <c r="DM50" s="97">
        <f t="shared" si="119"/>
        <v>3.852579206653627E-3</v>
      </c>
      <c r="DN50" s="102">
        <f t="shared" si="120"/>
        <v>27.174273684210529</v>
      </c>
      <c r="DO50" s="94">
        <f t="shared" si="121"/>
        <v>4.001063452013142E-2</v>
      </c>
      <c r="DP50" s="100">
        <f t="shared" si="122"/>
        <v>3.2460101403197786E-2</v>
      </c>
      <c r="DQ50" s="100">
        <f t="shared" si="123"/>
        <v>3.4340034292956692E-2</v>
      </c>
      <c r="DR50" s="95">
        <f t="shared" si="124"/>
        <v>242.21837894736842</v>
      </c>
      <c r="DS50" s="99">
        <f t="shared" si="125"/>
        <v>1.2360565720415641E-2</v>
      </c>
      <c r="DT50" s="97">
        <f t="shared" si="126"/>
        <v>1.0608735797625234E-2</v>
      </c>
      <c r="DU50" s="98">
        <f t="shared" si="127"/>
        <v>74.829010526315784</v>
      </c>
      <c r="DV50" s="94">
        <f t="shared" si="128"/>
        <v>6.8091225351040119E-2</v>
      </c>
      <c r="DW50" s="100">
        <f t="shared" si="129"/>
        <v>5.8440838083376634E-2</v>
      </c>
      <c r="DX50" s="95">
        <f t="shared" si="130"/>
        <v>412.21406315789471</v>
      </c>
      <c r="DY50" s="99">
        <f t="shared" si="131"/>
        <v>6.6762249548236507E-2</v>
      </c>
      <c r="DZ50" s="98">
        <f t="shared" si="132"/>
        <v>470.90936842105265</v>
      </c>
      <c r="EA50" s="94">
        <f t="shared" si="14"/>
        <v>2.2553925686336688E-2</v>
      </c>
      <c r="EB50" s="95">
        <f t="shared" si="84"/>
        <v>159.08473684210526</v>
      </c>
      <c r="EC50" s="103">
        <f>IFERROR(VLOOKUP(A50,PP!$E$3:$S$130,14,0),0)</f>
        <v>89</v>
      </c>
    </row>
    <row r="51" spans="1:133">
      <c r="A51" s="11">
        <v>2053</v>
      </c>
      <c r="B51" s="125">
        <v>10113</v>
      </c>
      <c r="C51" s="128" t="s">
        <v>386</v>
      </c>
      <c r="D51" s="88">
        <f>IFERROR(_xlfn.XLOOKUP($A51,CFR20252026_BenchMarkDataReport!$B:$B,CFR20252026_BenchMarkDataReport!S:S),0)</f>
        <v>1330999.2</v>
      </c>
      <c r="E51" s="88">
        <f>IFERROR(_xlfn.XLOOKUP($A51,CFR20252026_BenchMarkDataReport!$B:$B,CFR20252026_BenchMarkDataReport!T:T),0)</f>
        <v>0</v>
      </c>
      <c r="F51" s="88">
        <f>IFERROR(_xlfn.XLOOKUP($A51,CFR20252026_BenchMarkDataReport!$B:$B,CFR20252026_BenchMarkDataReport!U:U),0)</f>
        <v>146406.14000000001</v>
      </c>
      <c r="G51" s="88">
        <f>IFERROR(_xlfn.XLOOKUP($A51,CFR20252026_BenchMarkDataReport!$B:$B,CFR20252026_BenchMarkDataReport!V:V),0)</f>
        <v>0</v>
      </c>
      <c r="H51" s="88">
        <f>IFERROR(_xlfn.XLOOKUP($A51,CFR20252026_BenchMarkDataReport!$B:$B,CFR20252026_BenchMarkDataReport!W:W),0)</f>
        <v>9090</v>
      </c>
      <c r="I51" s="88">
        <f>IFERROR(_xlfn.XLOOKUP($A51,CFR20252026_BenchMarkDataReport!$B:$B,CFR20252026_BenchMarkDataReport!X:X),0)</f>
        <v>106830.32</v>
      </c>
      <c r="J51" s="88">
        <f>IFERROR(_xlfn.XLOOKUP($A51,CFR20252026_BenchMarkDataReport!$B:$B,CFR20252026_BenchMarkDataReport!Y:Y),0)</f>
        <v>84394.86</v>
      </c>
      <c r="K51" s="88">
        <f>IFERROR(_xlfn.XLOOKUP($A51,CFR20252026_BenchMarkDataReport!$B:$B,CFR20252026_BenchMarkDataReport!Z:Z),0)</f>
        <v>0</v>
      </c>
      <c r="L51" s="88">
        <f>IFERROR(_xlfn.XLOOKUP($A51,CFR20252026_BenchMarkDataReport!$B:$B,CFR20252026_BenchMarkDataReport!AA:AA),0)</f>
        <v>3771.73</v>
      </c>
      <c r="M51" s="88">
        <f>IFERROR(_xlfn.XLOOKUP($A51,CFR20252026_BenchMarkDataReport!$B:$B,CFR20252026_BenchMarkDataReport!AB:AB),0)</f>
        <v>0</v>
      </c>
      <c r="N51" s="88">
        <f>IFERROR(_xlfn.XLOOKUP($A51,CFR20252026_BenchMarkDataReport!$B:$B,CFR20252026_BenchMarkDataReport!AC:AC),0)</f>
        <v>0</v>
      </c>
      <c r="O51" s="88">
        <f>IFERROR(_xlfn.XLOOKUP($A51,CFR20252026_BenchMarkDataReport!$B:$B,CFR20252026_BenchMarkDataReport!AD:AD),0)</f>
        <v>0</v>
      </c>
      <c r="P51" s="88">
        <f>IFERROR(_xlfn.XLOOKUP($A51,CFR20252026_BenchMarkDataReport!$B:$B,CFR20252026_BenchMarkDataReport!AE:AE),0)</f>
        <v>6120</v>
      </c>
      <c r="Q51" s="88">
        <f>IFERROR(_xlfn.XLOOKUP($A51,CFR20252026_BenchMarkDataReport!$B:$B,CFR20252026_BenchMarkDataReport!AF:AF),0)</f>
        <v>741678.48</v>
      </c>
      <c r="R51" s="88">
        <f>IFERROR(_xlfn.XLOOKUP($A51,CFR20252026_BenchMarkDataReport!$B:$B,CFR20252026_BenchMarkDataReport!AG:AG),0)</f>
        <v>0</v>
      </c>
      <c r="S51" s="88">
        <f>IFERROR(_xlfn.XLOOKUP($A51,CFR20252026_BenchMarkDataReport!$B:$B,CFR20252026_BenchMarkDataReport!AH:AH),0)</f>
        <v>0</v>
      </c>
      <c r="T51" s="88">
        <f>IFERROR(_xlfn.XLOOKUP($A51,CFR20252026_BenchMarkDataReport!$B:$B,CFR20252026_BenchMarkDataReport!AI:AI),0)</f>
        <v>0</v>
      </c>
      <c r="U51" s="88">
        <f>IFERROR(_xlfn.XLOOKUP($A51,CFR20252026_BenchMarkDataReport!$B:$B,CFR20252026_BenchMarkDataReport!AJ:AJ),0)</f>
        <v>749100.98</v>
      </c>
      <c r="V51" s="88">
        <f>IFERROR(_xlfn.XLOOKUP($A51,CFR20252026_BenchMarkDataReport!$B:$B,CFR20252026_BenchMarkDataReport!AK:AK),0)</f>
        <v>0</v>
      </c>
      <c r="W51" s="88">
        <f>IFERROR(_xlfn.XLOOKUP($A51,CFR20252026_BenchMarkDataReport!$B:$B,CFR20252026_BenchMarkDataReport!AL:AL),0)</f>
        <v>1010870.88</v>
      </c>
      <c r="X51" s="88">
        <f>IFERROR(_xlfn.XLOOKUP($A51,CFR20252026_BenchMarkDataReport!$B:$B,CFR20252026_BenchMarkDataReport!AM:AM),0)</f>
        <v>36419.4</v>
      </c>
      <c r="Y51" s="88">
        <f>IFERROR(_xlfn.XLOOKUP($A51,CFR20252026_BenchMarkDataReport!$B:$B,CFR20252026_BenchMarkDataReport!AN:AN),0)</f>
        <v>97681.91</v>
      </c>
      <c r="Z51" s="88">
        <f>IFERROR(_xlfn.XLOOKUP($A51,CFR20252026_BenchMarkDataReport!$B:$B,CFR20252026_BenchMarkDataReport!AO:AO),0)</f>
        <v>0</v>
      </c>
      <c r="AA51" s="88">
        <f>IFERROR(_xlfn.XLOOKUP($A51,CFR20252026_BenchMarkDataReport!$B:$B,CFR20252026_BenchMarkDataReport!AP:AP),0)</f>
        <v>0</v>
      </c>
      <c r="AB51" s="88">
        <f>IFERROR(_xlfn.XLOOKUP($A51,CFR20252026_BenchMarkDataReport!$B:$B,CFR20252026_BenchMarkDataReport!AQ:AQ),0)</f>
        <v>6780.97</v>
      </c>
      <c r="AC51" s="88">
        <f>IFERROR(_xlfn.XLOOKUP($A51,CFR20252026_BenchMarkDataReport!$B:$B,CFR20252026_BenchMarkDataReport!AR:AR),0)</f>
        <v>16209.09</v>
      </c>
      <c r="AD51" s="88">
        <f>IFERROR(_xlfn.XLOOKUP($A51,CFR20252026_BenchMarkDataReport!$B:$B,CFR20252026_BenchMarkDataReport!AS:AS),0)</f>
        <v>296.66000000000003</v>
      </c>
      <c r="AE51" s="88">
        <f>IFERROR(_xlfn.XLOOKUP($A51,CFR20252026_BenchMarkDataReport!$B:$B,CFR20252026_BenchMarkDataReport!AT:AT),0)</f>
        <v>0</v>
      </c>
      <c r="AF51" s="88">
        <f>IFERROR(_xlfn.XLOOKUP($A51,CFR20252026_BenchMarkDataReport!$B:$B,CFR20252026_BenchMarkDataReport!AU:AU),0)</f>
        <v>18396.09</v>
      </c>
      <c r="AG51" s="88">
        <f>IFERROR(_xlfn.XLOOKUP($A51,CFR20252026_BenchMarkDataReport!$B:$B,CFR20252026_BenchMarkDataReport!AV:AV),0)</f>
        <v>0</v>
      </c>
      <c r="AH51" s="88">
        <f>IFERROR(_xlfn.XLOOKUP($A51,CFR20252026_BenchMarkDataReport!$B:$B,CFR20252026_BenchMarkDataReport!AW:AW),0)</f>
        <v>47267.040000000001</v>
      </c>
      <c r="AI51" s="88">
        <f>IFERROR(_xlfn.XLOOKUP($A51,CFR20252026_BenchMarkDataReport!$B:$B,CFR20252026_BenchMarkDataReport!AX:AX),0)</f>
        <v>4234.32</v>
      </c>
      <c r="AJ51" s="88">
        <f>IFERROR(_xlfn.XLOOKUP($A51,CFR20252026_BenchMarkDataReport!$B:$B,CFR20252026_BenchMarkDataReport!AY:AY),0)</f>
        <v>26947.38</v>
      </c>
      <c r="AK51" s="88">
        <f>IFERROR(_xlfn.XLOOKUP($A51,CFR20252026_BenchMarkDataReport!$B:$B,CFR20252026_BenchMarkDataReport!AZ:AZ),0)</f>
        <v>9677.4699999999993</v>
      </c>
      <c r="AL51" s="88">
        <f>IFERROR(_xlfn.XLOOKUP($A51,CFR20252026_BenchMarkDataReport!$B:$B,CFR20252026_BenchMarkDataReport!BA:BA),0)</f>
        <v>74352.649999999994</v>
      </c>
      <c r="AM51" s="88">
        <f>IFERROR(_xlfn.XLOOKUP($A51,CFR20252026_BenchMarkDataReport!$B:$B,CFR20252026_BenchMarkDataReport!BB:BB),0)</f>
        <v>76785.55</v>
      </c>
      <c r="AN51" s="88">
        <f>IFERROR(_xlfn.XLOOKUP($A51,CFR20252026_BenchMarkDataReport!$B:$B,CFR20252026_BenchMarkDataReport!BC:BC),0)</f>
        <v>8942.16</v>
      </c>
      <c r="AO51" s="88">
        <f>IFERROR(_xlfn.XLOOKUP($A51,CFR20252026_BenchMarkDataReport!$B:$B,CFR20252026_BenchMarkDataReport!BD:BD),0)</f>
        <v>0</v>
      </c>
      <c r="AP51" s="88">
        <f>IFERROR(_xlfn.XLOOKUP($A51,CFR20252026_BenchMarkDataReport!$B:$B,CFR20252026_BenchMarkDataReport!BE:BE),0)</f>
        <v>3285.32</v>
      </c>
      <c r="AQ51" s="88">
        <f>IFERROR(_xlfn.XLOOKUP($A51,CFR20252026_BenchMarkDataReport!$B:$B,CFR20252026_BenchMarkDataReport!BF:BF),0)</f>
        <v>17677.34</v>
      </c>
      <c r="AR51" s="88">
        <f>IFERROR(_xlfn.XLOOKUP($A51,CFR20252026_BenchMarkDataReport!$B:$B,CFR20252026_BenchMarkDataReport!BG:BG),0)</f>
        <v>50.05</v>
      </c>
      <c r="AS51" s="88">
        <f>IFERROR(_xlfn.XLOOKUP($A51,CFR20252026_BenchMarkDataReport!$B:$B,CFR20252026_BenchMarkDataReport!BH:BH),0)</f>
        <v>0</v>
      </c>
      <c r="AT51" s="88">
        <f>IFERROR(_xlfn.XLOOKUP($A51,CFR20252026_BenchMarkDataReport!$B:$B,CFR20252026_BenchMarkDataReport!BI:BI),0)</f>
        <v>0</v>
      </c>
      <c r="AU51" s="88">
        <f>IFERROR(_xlfn.XLOOKUP($A51,CFR20252026_BenchMarkDataReport!$B:$B,CFR20252026_BenchMarkDataReport!BJ:BJ),0)</f>
        <v>0</v>
      </c>
      <c r="AV51" s="88">
        <f>IFERROR(_xlfn.XLOOKUP($A51,CFR20252026_BenchMarkDataReport!$B:$B,CFR20252026_BenchMarkDataReport!BK:BK),0)</f>
        <v>1787.65</v>
      </c>
      <c r="AW51" s="88">
        <f>IFERROR(_xlfn.XLOOKUP($A51,CFR20252026_BenchMarkDataReport!$B:$B,CFR20252026_BenchMarkDataReport!BL:BL),0)</f>
        <v>19749.689999999999</v>
      </c>
      <c r="AX51" s="88">
        <f>IFERROR(_xlfn.XLOOKUP($A51,CFR20252026_BenchMarkDataReport!$B:$B,CFR20252026_BenchMarkDataReport!BM:BM),0)</f>
        <v>1440.4</v>
      </c>
      <c r="AY51" s="88">
        <f>IFERROR(_xlfn.XLOOKUP($A51,CFR20252026_BenchMarkDataReport!$B:$B,CFR20252026_BenchMarkDataReport!BN:BN),0)</f>
        <v>85400.71</v>
      </c>
      <c r="AZ51" s="88">
        <f>IFERROR(_xlfn.XLOOKUP($A51,CFR20252026_BenchMarkDataReport!$B:$B,CFR20252026_BenchMarkDataReport!BO:BO),0)</f>
        <v>45061.64</v>
      </c>
      <c r="BA51" s="88">
        <f>IFERROR(_xlfn.XLOOKUP($A51,CFR20252026_BenchMarkDataReport!$B:$B,CFR20252026_BenchMarkDataReport!BP:BP),0)</f>
        <v>16939.87</v>
      </c>
      <c r="BB51" s="88">
        <f>IFERROR(_xlfn.XLOOKUP($A51,CFR20252026_BenchMarkDataReport!$B:$B,CFR20252026_BenchMarkDataReport!BQ:BQ),0)</f>
        <v>61550.31</v>
      </c>
      <c r="BC51" s="88">
        <f>IFERROR(_xlfn.XLOOKUP($A51,CFR20252026_BenchMarkDataReport!$B:$B,CFR20252026_BenchMarkDataReport!BR:BR),0)</f>
        <v>0</v>
      </c>
      <c r="BD51" s="88">
        <f>IFERROR(_xlfn.XLOOKUP($A51,CFR20252026_BenchMarkDataReport!$B:$B,CFR20252026_BenchMarkDataReport!BS:BS),0)</f>
        <v>0</v>
      </c>
      <c r="BE51" s="88">
        <f>IFERROR(_xlfn.XLOOKUP($A51,CFR20252026_BenchMarkDataReport!$B:$B,CFR20252026_BenchMarkDataReport!BT:BT),0)</f>
        <v>0</v>
      </c>
      <c r="BF51" s="88">
        <f>IFERROR(_xlfn.XLOOKUP($A51,CFR20252026_BenchMarkDataReport!$B:$B,CFR20252026_BenchMarkDataReport!BU:BU),0)</f>
        <v>0</v>
      </c>
      <c r="BG51" s="88">
        <f>IFERROR(_xlfn.XLOOKUP($A51,CFR20252026_BenchMarkDataReport!$B:$B,CFR20252026_BenchMarkDataReport!BV:BV),0)</f>
        <v>0</v>
      </c>
      <c r="BH51" s="89">
        <f t="shared" si="0"/>
        <v>2429290.73</v>
      </c>
      <c r="BI51" s="90">
        <f t="shared" si="88"/>
        <v>2436905.5299999993</v>
      </c>
      <c r="BJ51" s="126">
        <f t="shared" si="89"/>
        <v>-7614.7999999993481</v>
      </c>
      <c r="BK51" s="88">
        <f>IFERROR(_xlfn.XLOOKUP(A51,CFR20252026_BenchMarkDataReport!$B:$B,CFR20252026_BenchMarkDataReport!P:P)+_xlfn.XLOOKUP(A51,CFR20252026_BenchMarkDataReport!$B:$B,CFR20252026_BenchMarkDataReport!Q:Q),0)</f>
        <v>10960</v>
      </c>
      <c r="BL51" s="89">
        <f t="shared" si="1"/>
        <v>3345.2000000006519</v>
      </c>
      <c r="BM51" s="91">
        <f>SUMIFS(PP!I:I,PP!E:E,A51)</f>
        <v>205</v>
      </c>
      <c r="BN51" s="90">
        <f t="shared" si="133"/>
        <v>1477405.3399999999</v>
      </c>
      <c r="BO51" t="s">
        <v>173</v>
      </c>
      <c r="BP51" s="92">
        <f t="shared" si="22"/>
        <v>0.54789621660475363</v>
      </c>
      <c r="BQ51" s="93">
        <f t="shared" si="23"/>
        <v>6492.6790243902433</v>
      </c>
      <c r="BR51" s="94">
        <f t="shared" si="24"/>
        <v>0</v>
      </c>
      <c r="BS51" s="95">
        <f t="shared" si="25"/>
        <v>0</v>
      </c>
      <c r="BT51" s="92">
        <f t="shared" si="26"/>
        <v>6.0267031109940479E-2</v>
      </c>
      <c r="BU51" s="93">
        <f t="shared" si="27"/>
        <v>714.17629268292694</v>
      </c>
      <c r="BV51" s="94">
        <f t="shared" si="28"/>
        <v>0</v>
      </c>
      <c r="BW51" s="95">
        <f t="shared" si="29"/>
        <v>0</v>
      </c>
      <c r="BX51" s="92">
        <f t="shared" si="30"/>
        <v>3.7418329093940931E-3</v>
      </c>
      <c r="BY51" s="93">
        <f t="shared" si="31"/>
        <v>44.341463414634148</v>
      </c>
      <c r="BZ51" s="94">
        <f t="shared" si="32"/>
        <v>4.3975930373718587E-2</v>
      </c>
      <c r="CA51" s="95">
        <f t="shared" si="33"/>
        <v>521.12351219512198</v>
      </c>
      <c r="CB51" s="92">
        <f t="shared" si="34"/>
        <v>3.474053515200299E-2</v>
      </c>
      <c r="CC51" s="93">
        <f t="shared" si="35"/>
        <v>411.68224390243904</v>
      </c>
      <c r="CD51" s="94">
        <f t="shared" si="36"/>
        <v>1.5526054388722752E-3</v>
      </c>
      <c r="CE51" s="96">
        <f t="shared" si="37"/>
        <v>18.398682926829267</v>
      </c>
      <c r="CF51" s="97">
        <f t="shared" si="38"/>
        <v>2.519253839988102E-3</v>
      </c>
      <c r="CG51" s="98">
        <f t="shared" si="39"/>
        <v>29.853658536585368</v>
      </c>
      <c r="CH51" s="94">
        <f t="shared" si="40"/>
        <v>0.30530659457132986</v>
      </c>
      <c r="CI51" s="95">
        <f t="shared" si="41"/>
        <v>3617.9438048780485</v>
      </c>
      <c r="CJ51" s="99">
        <f t="shared" si="90"/>
        <v>0.5375387501983715</v>
      </c>
      <c r="CK51" s="97">
        <f t="shared" si="91"/>
        <v>0.32691131209313923</v>
      </c>
      <c r="CL51" s="97">
        <f t="shared" si="92"/>
        <v>0.32588978531309754</v>
      </c>
      <c r="CM51" s="98">
        <f t="shared" si="93"/>
        <v>3873.9639999999999</v>
      </c>
      <c r="CN51" s="94">
        <f t="shared" si="94"/>
        <v>0.68422040494316894</v>
      </c>
      <c r="CO51" s="100">
        <f t="shared" si="95"/>
        <v>0.41611770362290068</v>
      </c>
      <c r="CP51" s="100">
        <f t="shared" si="96"/>
        <v>0.41481742626272439</v>
      </c>
      <c r="CQ51" s="101">
        <f t="shared" si="97"/>
        <v>4931.0774634146346</v>
      </c>
      <c r="CR51" s="99">
        <f t="shared" si="98"/>
        <v>2.4650919428787232E-2</v>
      </c>
      <c r="CS51" s="97">
        <f t="shared" si="99"/>
        <v>1.4991783218964492E-2</v>
      </c>
      <c r="CT51" s="97">
        <f t="shared" si="100"/>
        <v>1.4944937155606524E-2</v>
      </c>
      <c r="CU51" s="98">
        <f t="shared" si="101"/>
        <v>177.65560975609756</v>
      </c>
      <c r="CV51" s="94">
        <f t="shared" si="102"/>
        <v>6.611720382708243E-2</v>
      </c>
      <c r="CW51" s="100">
        <f t="shared" si="103"/>
        <v>4.0210053409292845E-2</v>
      </c>
      <c r="CX51" s="100">
        <f t="shared" si="104"/>
        <v>4.0084405734021222E-2</v>
      </c>
      <c r="CY51" s="95">
        <f t="shared" si="105"/>
        <v>476.49712195121953</v>
      </c>
      <c r="CZ51" s="99">
        <f t="shared" si="106"/>
        <v>1.2820267523873983</v>
      </c>
      <c r="DA51" s="97">
        <f t="shared" si="107"/>
        <v>0.77968155338904199</v>
      </c>
      <c r="DB51" s="97">
        <f t="shared" si="108"/>
        <v>0.77724521803682733</v>
      </c>
      <c r="DC51" s="98">
        <f t="shared" si="109"/>
        <v>9239.3813170731701</v>
      </c>
      <c r="DD51" s="94">
        <f t="shared" si="110"/>
        <v>1.2451620081459839E-2</v>
      </c>
      <c r="DE51" s="100">
        <f t="shared" si="111"/>
        <v>7.5489549239933012E-3</v>
      </c>
      <c r="DF51" s="95">
        <f t="shared" si="112"/>
        <v>89.737024390243903</v>
      </c>
      <c r="DG51" s="99">
        <f t="shared" si="113"/>
        <v>1.7375806931670431E-3</v>
      </c>
      <c r="DH51" s="98">
        <f t="shared" si="114"/>
        <v>20.655219512195121</v>
      </c>
      <c r="DI51" s="94">
        <f t="shared" si="115"/>
        <v>1.8239666035050343E-2</v>
      </c>
      <c r="DJ51" s="100">
        <f t="shared" si="116"/>
        <v>1.1058032274234287E-2</v>
      </c>
      <c r="DK51" s="95">
        <f t="shared" si="117"/>
        <v>131.45063414634146</v>
      </c>
      <c r="DL51" s="99">
        <f t="shared" si="118"/>
        <v>5.0326506874545346E-2</v>
      </c>
      <c r="DM51" s="97">
        <f t="shared" si="119"/>
        <v>3.0511092483753367E-2</v>
      </c>
      <c r="DN51" s="102">
        <f t="shared" si="120"/>
        <v>362.69585365853658</v>
      </c>
      <c r="DO51" s="94">
        <f t="shared" si="121"/>
        <v>5.1973245202971863E-2</v>
      </c>
      <c r="DP51" s="100">
        <f t="shared" si="122"/>
        <v>3.1608217596911507E-2</v>
      </c>
      <c r="DQ51" s="100">
        <f t="shared" si="123"/>
        <v>3.1509448788521577E-2</v>
      </c>
      <c r="DR51" s="95">
        <f t="shared" si="124"/>
        <v>374.56365853658536</v>
      </c>
      <c r="DS51" s="99">
        <f t="shared" si="125"/>
        <v>1.2099929190725683E-3</v>
      </c>
      <c r="DT51" s="97">
        <f t="shared" si="126"/>
        <v>7.3357377953014069E-4</v>
      </c>
      <c r="DU51" s="98">
        <f t="shared" si="127"/>
        <v>8.7202439024390248</v>
      </c>
      <c r="DV51" s="94">
        <f t="shared" si="128"/>
        <v>1.1465959639756006E-2</v>
      </c>
      <c r="DW51" s="100">
        <f t="shared" si="129"/>
        <v>6.9513855959775364E-3</v>
      </c>
      <c r="DX51" s="95">
        <f t="shared" si="130"/>
        <v>82.633512195121952</v>
      </c>
      <c r="DY51" s="99">
        <f t="shared" si="131"/>
        <v>3.504473560778535E-2</v>
      </c>
      <c r="DZ51" s="98">
        <f t="shared" si="132"/>
        <v>416.58882926829273</v>
      </c>
      <c r="EA51" s="94">
        <f t="shared" si="14"/>
        <v>1.9396336631892337E-2</v>
      </c>
      <c r="EB51" s="95">
        <f t="shared" si="84"/>
        <v>230.5709268292683</v>
      </c>
      <c r="EC51" s="103">
        <f>IFERROR(VLOOKUP(A51,PP!$E$3:$S$130,14,0),0)</f>
        <v>6</v>
      </c>
    </row>
    <row r="52" spans="1:133">
      <c r="A52" s="29">
        <v>2069</v>
      </c>
      <c r="B52" s="125">
        <v>10141</v>
      </c>
      <c r="C52" s="230" t="s">
        <v>484</v>
      </c>
      <c r="D52" s="88">
        <f>IFERROR(_xlfn.XLOOKUP($A52,CFR20252026_BenchMarkDataReport!$B:$B,CFR20252026_BenchMarkDataReport!S:S),0)</f>
        <v>929089.72</v>
      </c>
      <c r="E52" s="88">
        <f>IFERROR(_xlfn.XLOOKUP($A52,CFR20252026_BenchMarkDataReport!$B:$B,CFR20252026_BenchMarkDataReport!T:T),0)</f>
        <v>0</v>
      </c>
      <c r="F52" s="88">
        <f>IFERROR(_xlfn.XLOOKUP($A52,CFR20252026_BenchMarkDataReport!$B:$B,CFR20252026_BenchMarkDataReport!U:U),0)</f>
        <v>0</v>
      </c>
      <c r="G52" s="88">
        <f>IFERROR(_xlfn.XLOOKUP($A52,CFR20252026_BenchMarkDataReport!$B:$B,CFR20252026_BenchMarkDataReport!V:V),0)</f>
        <v>0</v>
      </c>
      <c r="H52" s="88">
        <f>IFERROR(_xlfn.XLOOKUP($A52,CFR20252026_BenchMarkDataReport!$B:$B,CFR20252026_BenchMarkDataReport!W:W),0)</f>
        <v>0</v>
      </c>
      <c r="I52" s="88">
        <f>IFERROR(_xlfn.XLOOKUP($A52,CFR20252026_BenchMarkDataReport!$B:$B,CFR20252026_BenchMarkDataReport!X:X),0)</f>
        <v>49513.15</v>
      </c>
      <c r="J52" s="88">
        <f>IFERROR(_xlfn.XLOOKUP($A52,CFR20252026_BenchMarkDataReport!$B:$B,CFR20252026_BenchMarkDataReport!Y:Y),0)</f>
        <v>24805.119999999999</v>
      </c>
      <c r="K52" s="88">
        <f>IFERROR(_xlfn.XLOOKUP($A52,CFR20252026_BenchMarkDataReport!$B:$B,CFR20252026_BenchMarkDataReport!Z:Z),0)</f>
        <v>0</v>
      </c>
      <c r="L52" s="88">
        <f>IFERROR(_xlfn.XLOOKUP($A52,CFR20252026_BenchMarkDataReport!$B:$B,CFR20252026_BenchMarkDataReport!AA:AA),0)</f>
        <v>121390.39</v>
      </c>
      <c r="M52" s="88">
        <f>IFERROR(_xlfn.XLOOKUP($A52,CFR20252026_BenchMarkDataReport!$B:$B,CFR20252026_BenchMarkDataReport!AB:AB),0)</f>
        <v>43042.95</v>
      </c>
      <c r="N52" s="88">
        <f>IFERROR(_xlfn.XLOOKUP($A52,CFR20252026_BenchMarkDataReport!$B:$B,CFR20252026_BenchMarkDataReport!AC:AC),0)</f>
        <v>0</v>
      </c>
      <c r="O52" s="88">
        <f>IFERROR(_xlfn.XLOOKUP($A52,CFR20252026_BenchMarkDataReport!$B:$B,CFR20252026_BenchMarkDataReport!AD:AD),0)</f>
        <v>0</v>
      </c>
      <c r="P52" s="88">
        <f>IFERROR(_xlfn.XLOOKUP($A52,CFR20252026_BenchMarkDataReport!$B:$B,CFR20252026_BenchMarkDataReport!AE:AE),0)</f>
        <v>13912.16</v>
      </c>
      <c r="Q52" s="88">
        <f>IFERROR(_xlfn.XLOOKUP($A52,CFR20252026_BenchMarkDataReport!$B:$B,CFR20252026_BenchMarkDataReport!AF:AF),0)</f>
        <v>580945.37</v>
      </c>
      <c r="R52" s="88">
        <f>IFERROR(_xlfn.XLOOKUP($A52,CFR20252026_BenchMarkDataReport!$B:$B,CFR20252026_BenchMarkDataReport!AG:AG),0)</f>
        <v>0</v>
      </c>
      <c r="S52" s="88">
        <f>IFERROR(_xlfn.XLOOKUP($A52,CFR20252026_BenchMarkDataReport!$B:$B,CFR20252026_BenchMarkDataReport!AH:AH),0)</f>
        <v>0</v>
      </c>
      <c r="T52" s="88">
        <f>IFERROR(_xlfn.XLOOKUP($A52,CFR20252026_BenchMarkDataReport!$B:$B,CFR20252026_BenchMarkDataReport!AI:AI),0)</f>
        <v>0</v>
      </c>
      <c r="U52" s="88">
        <f>IFERROR(_xlfn.XLOOKUP($A52,CFR20252026_BenchMarkDataReport!$B:$B,CFR20252026_BenchMarkDataReport!AJ:AJ),0)</f>
        <v>508650.91</v>
      </c>
      <c r="V52" s="88">
        <f>IFERROR(_xlfn.XLOOKUP($A52,CFR20252026_BenchMarkDataReport!$B:$B,CFR20252026_BenchMarkDataReport!AK:AK),0)</f>
        <v>0</v>
      </c>
      <c r="W52" s="88">
        <f>IFERROR(_xlfn.XLOOKUP($A52,CFR20252026_BenchMarkDataReport!$B:$B,CFR20252026_BenchMarkDataReport!AL:AL),0)</f>
        <v>294642.2</v>
      </c>
      <c r="X52" s="88">
        <f>IFERROR(_xlfn.XLOOKUP($A52,CFR20252026_BenchMarkDataReport!$B:$B,CFR20252026_BenchMarkDataReport!AM:AM),0)</f>
        <v>14028</v>
      </c>
      <c r="Y52" s="88">
        <f>IFERROR(_xlfn.XLOOKUP($A52,CFR20252026_BenchMarkDataReport!$B:$B,CFR20252026_BenchMarkDataReport!AN:AN),0)</f>
        <v>73917.240000000005</v>
      </c>
      <c r="Z52" s="88">
        <f>IFERROR(_xlfn.XLOOKUP($A52,CFR20252026_BenchMarkDataReport!$B:$B,CFR20252026_BenchMarkDataReport!AO:AO),0)</f>
        <v>0</v>
      </c>
      <c r="AA52" s="88">
        <f>IFERROR(_xlfn.XLOOKUP($A52,CFR20252026_BenchMarkDataReport!$B:$B,CFR20252026_BenchMarkDataReport!AP:AP),0)</f>
        <v>0</v>
      </c>
      <c r="AB52" s="88">
        <f>IFERROR(_xlfn.XLOOKUP($A52,CFR20252026_BenchMarkDataReport!$B:$B,CFR20252026_BenchMarkDataReport!AQ:AQ),0)</f>
        <v>5536.22</v>
      </c>
      <c r="AC52" s="88">
        <f>IFERROR(_xlfn.XLOOKUP($A52,CFR20252026_BenchMarkDataReport!$B:$B,CFR20252026_BenchMarkDataReport!AR:AR),0)</f>
        <v>8694.7999999999993</v>
      </c>
      <c r="AD52" s="88">
        <f>IFERROR(_xlfn.XLOOKUP($A52,CFR20252026_BenchMarkDataReport!$B:$B,CFR20252026_BenchMarkDataReport!AS:AS),0)</f>
        <v>0</v>
      </c>
      <c r="AE52" s="88">
        <f>IFERROR(_xlfn.XLOOKUP($A52,CFR20252026_BenchMarkDataReport!$B:$B,CFR20252026_BenchMarkDataReport!AT:AT),0)</f>
        <v>0</v>
      </c>
      <c r="AF52" s="88">
        <f>IFERROR(_xlfn.XLOOKUP($A52,CFR20252026_BenchMarkDataReport!$B:$B,CFR20252026_BenchMarkDataReport!AU:AU),0)</f>
        <v>9332.34</v>
      </c>
      <c r="AG52" s="88">
        <f>IFERROR(_xlfn.XLOOKUP($A52,CFR20252026_BenchMarkDataReport!$B:$B,CFR20252026_BenchMarkDataReport!AV:AV),0)</f>
        <v>0</v>
      </c>
      <c r="AH52" s="88">
        <f>IFERROR(_xlfn.XLOOKUP($A52,CFR20252026_BenchMarkDataReport!$B:$B,CFR20252026_BenchMarkDataReport!AW:AW),0)</f>
        <v>26937.42</v>
      </c>
      <c r="AI52" s="88">
        <f>IFERROR(_xlfn.XLOOKUP($A52,CFR20252026_BenchMarkDataReport!$B:$B,CFR20252026_BenchMarkDataReport!AX:AX),0)</f>
        <v>757.5</v>
      </c>
      <c r="AJ52" s="88">
        <f>IFERROR(_xlfn.XLOOKUP($A52,CFR20252026_BenchMarkDataReport!$B:$B,CFR20252026_BenchMarkDataReport!AY:AY),0)</f>
        <v>14655.32</v>
      </c>
      <c r="AK52" s="88">
        <f>IFERROR(_xlfn.XLOOKUP($A52,CFR20252026_BenchMarkDataReport!$B:$B,CFR20252026_BenchMarkDataReport!AZ:AZ),0)</f>
        <v>0</v>
      </c>
      <c r="AL52" s="88">
        <f>IFERROR(_xlfn.XLOOKUP($A52,CFR20252026_BenchMarkDataReport!$B:$B,CFR20252026_BenchMarkDataReport!BA:BA),0)</f>
        <v>71405.56</v>
      </c>
      <c r="AM52" s="88">
        <f>IFERROR(_xlfn.XLOOKUP($A52,CFR20252026_BenchMarkDataReport!$B:$B,CFR20252026_BenchMarkDataReport!BB:BB),0)</f>
        <v>46369.81</v>
      </c>
      <c r="AN52" s="88">
        <f>IFERROR(_xlfn.XLOOKUP($A52,CFR20252026_BenchMarkDataReport!$B:$B,CFR20252026_BenchMarkDataReport!BC:BC),0)</f>
        <v>0</v>
      </c>
      <c r="AO52" s="88">
        <f>IFERROR(_xlfn.XLOOKUP($A52,CFR20252026_BenchMarkDataReport!$B:$B,CFR20252026_BenchMarkDataReport!BD:BD),0)</f>
        <v>0</v>
      </c>
      <c r="AP52" s="88">
        <f>IFERROR(_xlfn.XLOOKUP($A52,CFR20252026_BenchMarkDataReport!$B:$B,CFR20252026_BenchMarkDataReport!BE:BE),0)</f>
        <v>0</v>
      </c>
      <c r="AQ52" s="88">
        <f>IFERROR(_xlfn.XLOOKUP($A52,CFR20252026_BenchMarkDataReport!$B:$B,CFR20252026_BenchMarkDataReport!BF:BF),0)</f>
        <v>0</v>
      </c>
      <c r="AR52" s="88">
        <f>IFERROR(_xlfn.XLOOKUP($A52,CFR20252026_BenchMarkDataReport!$B:$B,CFR20252026_BenchMarkDataReport!BG:BG),0)</f>
        <v>0</v>
      </c>
      <c r="AS52" s="88">
        <f>IFERROR(_xlfn.XLOOKUP($A52,CFR20252026_BenchMarkDataReport!$B:$B,CFR20252026_BenchMarkDataReport!BH:BH),0)</f>
        <v>0</v>
      </c>
      <c r="AT52" s="88">
        <f>IFERROR(_xlfn.XLOOKUP($A52,CFR20252026_BenchMarkDataReport!$B:$B,CFR20252026_BenchMarkDataReport!BI:BI),0)</f>
        <v>0</v>
      </c>
      <c r="AU52" s="88">
        <f>IFERROR(_xlfn.XLOOKUP($A52,CFR20252026_BenchMarkDataReport!$B:$B,CFR20252026_BenchMarkDataReport!BJ:BJ),0)</f>
        <v>0</v>
      </c>
      <c r="AV52" s="88">
        <f>IFERROR(_xlfn.XLOOKUP($A52,CFR20252026_BenchMarkDataReport!$B:$B,CFR20252026_BenchMarkDataReport!BK:BK),0)</f>
        <v>23435.62</v>
      </c>
      <c r="AW52" s="88">
        <f>IFERROR(_xlfn.XLOOKUP($A52,CFR20252026_BenchMarkDataReport!$B:$B,CFR20252026_BenchMarkDataReport!BL:BL),0)</f>
        <v>10034.299999999999</v>
      </c>
      <c r="AX52" s="88">
        <f>IFERROR(_xlfn.XLOOKUP($A52,CFR20252026_BenchMarkDataReport!$B:$B,CFR20252026_BenchMarkDataReport!BM:BM),0)</f>
        <v>15424.09</v>
      </c>
      <c r="AY52" s="88">
        <f>IFERROR(_xlfn.XLOOKUP($A52,CFR20252026_BenchMarkDataReport!$B:$B,CFR20252026_BenchMarkDataReport!BN:BN),0)</f>
        <v>57448.7</v>
      </c>
      <c r="AZ52" s="88">
        <f>IFERROR(_xlfn.XLOOKUP($A52,CFR20252026_BenchMarkDataReport!$B:$B,CFR20252026_BenchMarkDataReport!BO:BO),0)</f>
        <v>0</v>
      </c>
      <c r="BA52" s="88">
        <f>IFERROR(_xlfn.XLOOKUP($A52,CFR20252026_BenchMarkDataReport!$B:$B,CFR20252026_BenchMarkDataReport!BP:BP),0)</f>
        <v>78063.53</v>
      </c>
      <c r="BB52" s="88">
        <f>IFERROR(_xlfn.XLOOKUP($A52,CFR20252026_BenchMarkDataReport!$B:$B,CFR20252026_BenchMarkDataReport!BQ:BQ),0)</f>
        <v>77269.929999999993</v>
      </c>
      <c r="BC52" s="88">
        <f>IFERROR(_xlfn.XLOOKUP($A52,CFR20252026_BenchMarkDataReport!$B:$B,CFR20252026_BenchMarkDataReport!BR:BR),0)</f>
        <v>0</v>
      </c>
      <c r="BD52" s="88">
        <f>IFERROR(_xlfn.XLOOKUP($A52,CFR20252026_BenchMarkDataReport!$B:$B,CFR20252026_BenchMarkDataReport!BS:BS),0)</f>
        <v>0</v>
      </c>
      <c r="BE52" s="88">
        <f>IFERROR(_xlfn.XLOOKUP($A52,CFR20252026_BenchMarkDataReport!$B:$B,CFR20252026_BenchMarkDataReport!BT:BT),0)</f>
        <v>0</v>
      </c>
      <c r="BF52" s="88">
        <f>IFERROR(_xlfn.XLOOKUP($A52,CFR20252026_BenchMarkDataReport!$B:$B,CFR20252026_BenchMarkDataReport!BU:BU),0)</f>
        <v>0</v>
      </c>
      <c r="BG52" s="88">
        <f>IFERROR(_xlfn.XLOOKUP($A52,CFR20252026_BenchMarkDataReport!$B:$B,CFR20252026_BenchMarkDataReport!BV:BV),0)</f>
        <v>0</v>
      </c>
      <c r="BH52" s="89">
        <f t="shared" ref="BH52" si="134">SUM(D52:R52)</f>
        <v>1762698.8599999999</v>
      </c>
      <c r="BI52" s="90">
        <f t="shared" ref="BI52" si="135">SUM(U52:BE52)</f>
        <v>1336603.4900000002</v>
      </c>
      <c r="BJ52" s="126">
        <f t="shared" ref="BJ52" si="136">BH52-BI52</f>
        <v>426095.36999999965</v>
      </c>
      <c r="BK52" s="88">
        <f>IFERROR(_xlfn.XLOOKUP(A52,CFR20252026_BenchMarkDataReport!$B:$B,CFR20252026_BenchMarkDataReport!P:P)+_xlfn.XLOOKUP(A52,CFR20252026_BenchMarkDataReport!$B:$B,CFR20252026_BenchMarkDataReport!Q:Q),0)</f>
        <v>0</v>
      </c>
      <c r="BL52" s="89">
        <f t="shared" ref="BL52" si="137">SUM(BJ52:BK52)</f>
        <v>426095.36999999965</v>
      </c>
      <c r="BM52" s="91">
        <f>SUMIFS(PP!I:I,PP!E:E,A52)</f>
        <v>163</v>
      </c>
      <c r="BN52" s="90">
        <f t="shared" si="133"/>
        <v>929089.72</v>
      </c>
      <c r="BO52" t="s">
        <v>173</v>
      </c>
      <c r="BP52" s="92">
        <f t="shared" ref="BP52" si="138">IFERROR(D52/BH52,0)</f>
        <v>0.5270836335595066</v>
      </c>
      <c r="BQ52" s="93">
        <f t="shared" ref="BQ52" si="139">D52/BM52</f>
        <v>5699.9369325153375</v>
      </c>
      <c r="BR52" s="94">
        <f t="shared" ref="BR52" si="140">E52/BH52</f>
        <v>0</v>
      </c>
      <c r="BS52" s="95">
        <f t="shared" ref="BS52" si="141">E52/BM52</f>
        <v>0</v>
      </c>
      <c r="BT52" s="92">
        <f t="shared" ref="BT52" si="142">F52/BH52</f>
        <v>0</v>
      </c>
      <c r="BU52" s="93">
        <f t="shared" ref="BU52" si="143">F52/BM52</f>
        <v>0</v>
      </c>
      <c r="BV52" s="94">
        <f t="shared" ref="BV52" si="144">G52/BH52</f>
        <v>0</v>
      </c>
      <c r="BW52" s="95">
        <f t="shared" ref="BW52" si="145">G52/BM52</f>
        <v>0</v>
      </c>
      <c r="BX52" s="92">
        <f t="shared" ref="BX52" si="146">H52/BH52</f>
        <v>0</v>
      </c>
      <c r="BY52" s="93">
        <f t="shared" ref="BY52" si="147">H52/BM52</f>
        <v>0</v>
      </c>
      <c r="BZ52" s="94">
        <f t="shared" ref="BZ52" si="148">I52/BH52</f>
        <v>2.8089398094919064E-2</v>
      </c>
      <c r="CA52" s="95">
        <f t="shared" ref="CA52" si="149">I52/BM52</f>
        <v>303.76165644171778</v>
      </c>
      <c r="CB52" s="92">
        <f t="shared" ref="CB52" si="150">J52/BH52</f>
        <v>1.4072239202560103E-2</v>
      </c>
      <c r="CC52" s="93">
        <f t="shared" ref="CC52" si="151">J52/BM52</f>
        <v>152.17865030674847</v>
      </c>
      <c r="CD52" s="94">
        <f t="shared" ref="CD52" si="152">IFERROR((K52+L52)/BH52,0)</f>
        <v>6.8866210079695636E-2</v>
      </c>
      <c r="CE52" s="96">
        <f t="shared" ref="CE52" si="153">IFERROR((K52+L52)/BM52,0)</f>
        <v>744.72631901840487</v>
      </c>
      <c r="CF52" s="97">
        <f t="shared" ref="CF52" si="154">P52/BH52</f>
        <v>7.8925336117821061E-3</v>
      </c>
      <c r="CG52" s="98">
        <f t="shared" ref="CG52" si="155">P52/BM52</f>
        <v>85.350674846625765</v>
      </c>
      <c r="CH52" s="94">
        <f t="shared" ref="CH52" si="156">Q52/BH52</f>
        <v>0.32957720866739543</v>
      </c>
      <c r="CI52" s="95">
        <f t="shared" ref="CI52" si="157">Q52/BM52</f>
        <v>3564.0820245398772</v>
      </c>
      <c r="CJ52" s="99">
        <f t="shared" ref="CJ52" si="158">(U52+V52+AZ52)/BN52</f>
        <v>0.5474723259234856</v>
      </c>
      <c r="CK52" s="97">
        <f t="shared" ref="CK52" si="159">(U52+V52+AZ52)/BH52</f>
        <v>0.28856370282102528</v>
      </c>
      <c r="CL52" s="97">
        <f t="shared" ref="CL52" si="160">(U52+V52+AZ52)/BI52</f>
        <v>0.38055482707141508</v>
      </c>
      <c r="CM52" s="98">
        <f t="shared" ref="CM52" si="161">(U52+V52+AZ52)/BM52</f>
        <v>3120.5577300613495</v>
      </c>
      <c r="CN52" s="94">
        <f t="shared" ref="CN52" si="162">W52/BN52</f>
        <v>0.3171299753483442</v>
      </c>
      <c r="CO52" s="100">
        <f t="shared" ref="CO52" si="163">W52/BH52</f>
        <v>0.16715401971724203</v>
      </c>
      <c r="CP52" s="100">
        <f t="shared" ref="CP52" si="164">W52/BI52</f>
        <v>0.22044099256392033</v>
      </c>
      <c r="CQ52" s="101">
        <f t="shared" ref="CQ52" si="165">W52/BM52</f>
        <v>1807.6208588957056</v>
      </c>
      <c r="CR52" s="99">
        <f t="shared" ref="CR52" si="166">X52/BN52</f>
        <v>1.509864946089383E-2</v>
      </c>
      <c r="CS52" s="97">
        <f t="shared" ref="CS52" si="167">X52/BH52</f>
        <v>7.9582510196892064E-3</v>
      </c>
      <c r="CT52" s="97">
        <f t="shared" ref="CT52" si="168">X52/BI52</f>
        <v>1.0495259143756985E-2</v>
      </c>
      <c r="CU52" s="98">
        <f t="shared" ref="CU52" si="169">X52/BM52</f>
        <v>86.061349693251529</v>
      </c>
      <c r="CV52" s="94">
        <f t="shared" ref="CV52" si="170">Y52/BN52</f>
        <v>7.9558775012600516E-2</v>
      </c>
      <c r="CW52" s="100">
        <f t="shared" ref="CW52" si="171">Y52/BH52</f>
        <v>4.193412821518476E-2</v>
      </c>
      <c r="CX52" s="100">
        <f t="shared" ref="CX52" si="172">Y52/BI52</f>
        <v>5.5302294624414002E-2</v>
      </c>
      <c r="CY52" s="95">
        <f t="shared" ref="CY52" si="173">Y52/BM52</f>
        <v>453.48</v>
      </c>
      <c r="CZ52" s="99">
        <f t="shared" ref="CZ52" si="174">(U52+V52+W52+X52+Y52+Z52+AA52)/BN52</f>
        <v>0.95925972574532414</v>
      </c>
      <c r="DA52" s="97">
        <f t="shared" ref="DA52" si="175">(U52+V52+W52+X52+Y52+Z52+AA52)/BH52</f>
        <v>0.50561010177314125</v>
      </c>
      <c r="DB52" s="97">
        <f t="shared" ref="DB52" si="176">(U52+V52+W52+X52+Y52+Z52+AA52)/BI52</f>
        <v>0.66679337340350642</v>
      </c>
      <c r="DC52" s="98">
        <f t="shared" ref="DC52" si="177">(U52+V52+W52+X52+Y52+Z52+AA52)/BM52</f>
        <v>5467.7199386503062</v>
      </c>
      <c r="DD52" s="94">
        <f t="shared" ref="DD52" si="178">AF52/BN52</f>
        <v>1.0044605810513111E-2</v>
      </c>
      <c r="DE52" s="100">
        <f t="shared" ref="DE52" si="179">AF52/BI52</f>
        <v>6.9821305045372865E-3</v>
      </c>
      <c r="DF52" s="95">
        <f t="shared" ref="DF52" si="180">AF52/BM52</f>
        <v>57.253619631901842</v>
      </c>
      <c r="DG52" s="99">
        <f t="shared" ref="DG52" si="181">AI52/BI52</f>
        <v>5.6673501578242914E-4</v>
      </c>
      <c r="DH52" s="98">
        <f t="shared" ref="DH52" si="182">AI52/BM52</f>
        <v>4.647239263803681</v>
      </c>
      <c r="DI52" s="94">
        <f t="shared" ref="DI52" si="183">AJ52/BN52</f>
        <v>1.577384797670563E-2</v>
      </c>
      <c r="DJ52" s="100">
        <f t="shared" ref="DJ52" si="184">AJ52/BI52</f>
        <v>1.0964598034978942E-2</v>
      </c>
      <c r="DK52" s="95">
        <f t="shared" ref="DK52" si="185">AJ52/BM52</f>
        <v>89.909938650306742</v>
      </c>
      <c r="DL52" s="99">
        <f t="shared" ref="DL52" si="186">AL52/BN52</f>
        <v>7.6855397775792852E-2</v>
      </c>
      <c r="DM52" s="97">
        <f t="shared" ref="DM52" si="187">AL52/BI52</f>
        <v>5.3423143463436552E-2</v>
      </c>
      <c r="DN52" s="102">
        <f t="shared" ref="DN52" si="188">AL52/BM52</f>
        <v>438.07092024539878</v>
      </c>
      <c r="DO52" s="94">
        <f t="shared" ref="DO52" si="189">AM52/BN52</f>
        <v>4.9908861331497668E-2</v>
      </c>
      <c r="DP52" s="100">
        <f t="shared" ref="DP52" si="190">AM52/BH52</f>
        <v>2.6306143977423348E-2</v>
      </c>
      <c r="DQ52" s="100">
        <f t="shared" ref="DQ52" si="191">AM52/BI52</f>
        <v>3.4692270629938272E-2</v>
      </c>
      <c r="DR52" s="95">
        <f t="shared" ref="DR52" si="192">AM52/BM52</f>
        <v>284.47736196319016</v>
      </c>
      <c r="DS52" s="99">
        <f t="shared" ref="DS52" si="193">AV52/BN52</f>
        <v>2.5224280815420067E-2</v>
      </c>
      <c r="DT52" s="97">
        <f t="shared" ref="DT52" si="194">IFERROR(AV52/BI52,0)</f>
        <v>1.7533711512304966E-2</v>
      </c>
      <c r="DU52" s="98">
        <f t="shared" ref="DU52" si="195">AV52/BM52</f>
        <v>143.77680981595091</v>
      </c>
      <c r="DV52" s="94">
        <f t="shared" ref="DV52" si="196">IFERROR(BA52/BN52,0)</f>
        <v>8.4021519471768558E-2</v>
      </c>
      <c r="DW52" s="100">
        <f t="shared" ref="DW52" si="197">IFERROR(BA52/BI52,0)</f>
        <v>5.8404403837072121E-2</v>
      </c>
      <c r="DX52" s="95">
        <f t="shared" ref="DX52" si="198">BA52/BM52</f>
        <v>478.91736196319016</v>
      </c>
      <c r="DY52" s="99">
        <f t="shared" ref="DY52" si="199">AY52/BI52</f>
        <v>4.2981108780435692E-2</v>
      </c>
      <c r="DZ52" s="98">
        <f t="shared" ref="DZ52" si="200">AY52/BM52</f>
        <v>352.44601226993865</v>
      </c>
      <c r="EA52" s="94">
        <f t="shared" ref="EA52" si="201">IFERROR(AH52/BI52,0)</f>
        <v>2.015363584005006E-2</v>
      </c>
      <c r="EB52" s="95">
        <f t="shared" ref="EB52" si="202">IFERROR((AH52/BM52),0)</f>
        <v>165.26024539877301</v>
      </c>
      <c r="EC52" s="103">
        <f>IFERROR(VLOOKUP(A52,PP!$E$3:$S$130,14,0),0)</f>
        <v>0</v>
      </c>
    </row>
    <row r="53" spans="1:133">
      <c r="A53" s="26">
        <v>2045</v>
      </c>
      <c r="B53" s="125">
        <v>10082</v>
      </c>
      <c r="C53" s="26" t="s">
        <v>75</v>
      </c>
      <c r="D53" s="88">
        <f>IFERROR(_xlfn.XLOOKUP($A53,CFR20252026_BenchMarkDataReport!$B:$B,CFR20252026_BenchMarkDataReport!S:S),0)</f>
        <v>1660188.99</v>
      </c>
      <c r="E53" s="88">
        <f>IFERROR(_xlfn.XLOOKUP($A53,CFR20252026_BenchMarkDataReport!$B:$B,CFR20252026_BenchMarkDataReport!T:T),0)</f>
        <v>0</v>
      </c>
      <c r="F53" s="88">
        <f>IFERROR(_xlfn.XLOOKUP($A53,CFR20252026_BenchMarkDataReport!$B:$B,CFR20252026_BenchMarkDataReport!U:U),0)</f>
        <v>146710.29</v>
      </c>
      <c r="G53" s="88">
        <f>IFERROR(_xlfn.XLOOKUP($A53,CFR20252026_BenchMarkDataReport!$B:$B,CFR20252026_BenchMarkDataReport!V:V),0)</f>
        <v>0</v>
      </c>
      <c r="H53" s="88">
        <f>IFERROR(_xlfn.XLOOKUP($A53,CFR20252026_BenchMarkDataReport!$B:$B,CFR20252026_BenchMarkDataReport!W:W),0)</f>
        <v>51992</v>
      </c>
      <c r="I53" s="88">
        <f>IFERROR(_xlfn.XLOOKUP($A53,CFR20252026_BenchMarkDataReport!$B:$B,CFR20252026_BenchMarkDataReport!X:X),0)</f>
        <v>55639.42</v>
      </c>
      <c r="J53" s="88">
        <f>IFERROR(_xlfn.XLOOKUP($A53,CFR20252026_BenchMarkDataReport!$B:$B,CFR20252026_BenchMarkDataReport!Y:Y),0)</f>
        <v>60712.35</v>
      </c>
      <c r="K53" s="88">
        <f>IFERROR(_xlfn.XLOOKUP($A53,CFR20252026_BenchMarkDataReport!$B:$B,CFR20252026_BenchMarkDataReport!Z:Z),0)</f>
        <v>9146.9500000000007</v>
      </c>
      <c r="L53" s="88">
        <f>IFERROR(_xlfn.XLOOKUP($A53,CFR20252026_BenchMarkDataReport!$B:$B,CFR20252026_BenchMarkDataReport!AA:AA),0)</f>
        <v>93773</v>
      </c>
      <c r="M53" s="88">
        <f>IFERROR(_xlfn.XLOOKUP($A53,CFR20252026_BenchMarkDataReport!$B:$B,CFR20252026_BenchMarkDataReport!AB:AB),0)</f>
        <v>4440.33</v>
      </c>
      <c r="N53" s="88">
        <f>IFERROR(_xlfn.XLOOKUP($A53,CFR20252026_BenchMarkDataReport!$B:$B,CFR20252026_BenchMarkDataReport!AC:AC),0)</f>
        <v>0</v>
      </c>
      <c r="O53" s="88">
        <f>IFERROR(_xlfn.XLOOKUP($A53,CFR20252026_BenchMarkDataReport!$B:$B,CFR20252026_BenchMarkDataReport!AD:AD),0)</f>
        <v>0</v>
      </c>
      <c r="P53" s="88">
        <f>IFERROR(_xlfn.XLOOKUP($A53,CFR20252026_BenchMarkDataReport!$B:$B,CFR20252026_BenchMarkDataReport!AE:AE),0)</f>
        <v>82984.320000000007</v>
      </c>
      <c r="Q53" s="88">
        <f>IFERROR(_xlfn.XLOOKUP($A53,CFR20252026_BenchMarkDataReport!$B:$B,CFR20252026_BenchMarkDataReport!AF:AF),0)</f>
        <v>22727.61</v>
      </c>
      <c r="R53" s="88">
        <f>IFERROR(_xlfn.XLOOKUP($A53,CFR20252026_BenchMarkDataReport!$B:$B,CFR20252026_BenchMarkDataReport!AG:AG),0)</f>
        <v>0</v>
      </c>
      <c r="S53" s="88">
        <f>IFERROR(_xlfn.XLOOKUP($A53,CFR20252026_BenchMarkDataReport!$B:$B,CFR20252026_BenchMarkDataReport!AH:AH),0)</f>
        <v>0</v>
      </c>
      <c r="T53" s="88">
        <f>IFERROR(_xlfn.XLOOKUP($A53,CFR20252026_BenchMarkDataReport!$B:$B,CFR20252026_BenchMarkDataReport!AI:AI),0)</f>
        <v>0</v>
      </c>
      <c r="U53" s="88">
        <f>IFERROR(_xlfn.XLOOKUP($A53,CFR20252026_BenchMarkDataReport!$B:$B,CFR20252026_BenchMarkDataReport!AJ:AJ),0)</f>
        <v>809111.74</v>
      </c>
      <c r="V53" s="88">
        <f>IFERROR(_xlfn.XLOOKUP($A53,CFR20252026_BenchMarkDataReport!$B:$B,CFR20252026_BenchMarkDataReport!AK:AK),0)</f>
        <v>0</v>
      </c>
      <c r="W53" s="88">
        <f>IFERROR(_xlfn.XLOOKUP($A53,CFR20252026_BenchMarkDataReport!$B:$B,CFR20252026_BenchMarkDataReport!AL:AL),0)</f>
        <v>606546.19999999995</v>
      </c>
      <c r="X53" s="88">
        <f>IFERROR(_xlfn.XLOOKUP($A53,CFR20252026_BenchMarkDataReport!$B:$B,CFR20252026_BenchMarkDataReport!AM:AM),0)</f>
        <v>77660.259999999995</v>
      </c>
      <c r="Y53" s="88">
        <f>IFERROR(_xlfn.XLOOKUP($A53,CFR20252026_BenchMarkDataReport!$B:$B,CFR20252026_BenchMarkDataReport!AN:AN),0)</f>
        <v>75532.17</v>
      </c>
      <c r="Z53" s="88">
        <f>IFERROR(_xlfn.XLOOKUP($A53,CFR20252026_BenchMarkDataReport!$B:$B,CFR20252026_BenchMarkDataReport!AO:AO),0)</f>
        <v>0</v>
      </c>
      <c r="AA53" s="88">
        <f>IFERROR(_xlfn.XLOOKUP($A53,CFR20252026_BenchMarkDataReport!$B:$B,CFR20252026_BenchMarkDataReport!AP:AP),0)</f>
        <v>75444.92</v>
      </c>
      <c r="AB53" s="88">
        <f>IFERROR(_xlfn.XLOOKUP($A53,CFR20252026_BenchMarkDataReport!$B:$B,CFR20252026_BenchMarkDataReport!AQ:AQ),0)</f>
        <v>9201.73</v>
      </c>
      <c r="AC53" s="88">
        <f>IFERROR(_xlfn.XLOOKUP($A53,CFR20252026_BenchMarkDataReport!$B:$B,CFR20252026_BenchMarkDataReport!AR:AR),0)</f>
        <v>1853.99</v>
      </c>
      <c r="AD53" s="88">
        <f>IFERROR(_xlfn.XLOOKUP($A53,CFR20252026_BenchMarkDataReport!$B:$B,CFR20252026_BenchMarkDataReport!AS:AS),0)</f>
        <v>362.52</v>
      </c>
      <c r="AE53" s="88">
        <f>IFERROR(_xlfn.XLOOKUP($A53,CFR20252026_BenchMarkDataReport!$B:$B,CFR20252026_BenchMarkDataReport!AT:AT),0)</f>
        <v>0</v>
      </c>
      <c r="AF53" s="88">
        <f>IFERROR(_xlfn.XLOOKUP($A53,CFR20252026_BenchMarkDataReport!$B:$B,CFR20252026_BenchMarkDataReport!AU:AU),0)</f>
        <v>12774.31</v>
      </c>
      <c r="AG53" s="88">
        <f>IFERROR(_xlfn.XLOOKUP($A53,CFR20252026_BenchMarkDataReport!$B:$B,CFR20252026_BenchMarkDataReport!AV:AV),0)</f>
        <v>0</v>
      </c>
      <c r="AH53" s="88">
        <f>IFERROR(_xlfn.XLOOKUP($A53,CFR20252026_BenchMarkDataReport!$B:$B,CFR20252026_BenchMarkDataReport!AW:AW),0)</f>
        <v>1142.26</v>
      </c>
      <c r="AI53" s="88">
        <f>IFERROR(_xlfn.XLOOKUP($A53,CFR20252026_BenchMarkDataReport!$B:$B,CFR20252026_BenchMarkDataReport!AX:AX),0)</f>
        <v>4420.34</v>
      </c>
      <c r="AJ53" s="88">
        <f>IFERROR(_xlfn.XLOOKUP($A53,CFR20252026_BenchMarkDataReport!$B:$B,CFR20252026_BenchMarkDataReport!AY:AY),0)</f>
        <v>42076.03</v>
      </c>
      <c r="AK53" s="88">
        <f>IFERROR(_xlfn.XLOOKUP($A53,CFR20252026_BenchMarkDataReport!$B:$B,CFR20252026_BenchMarkDataReport!AZ:AZ),0)</f>
        <v>36036</v>
      </c>
      <c r="AL53" s="88">
        <f>IFERROR(_xlfn.XLOOKUP($A53,CFR20252026_BenchMarkDataReport!$B:$B,CFR20252026_BenchMarkDataReport!BA:BA),0)</f>
        <v>6314.76</v>
      </c>
      <c r="AM53" s="88">
        <f>IFERROR(_xlfn.XLOOKUP($A53,CFR20252026_BenchMarkDataReport!$B:$B,CFR20252026_BenchMarkDataReport!BB:BB),0)</f>
        <v>93210.26</v>
      </c>
      <c r="AN53" s="88">
        <f>IFERROR(_xlfn.XLOOKUP($A53,CFR20252026_BenchMarkDataReport!$B:$B,CFR20252026_BenchMarkDataReport!BC:BC),0)</f>
        <v>9196.7099999999991</v>
      </c>
      <c r="AO53" s="88">
        <f>IFERROR(_xlfn.XLOOKUP($A53,CFR20252026_BenchMarkDataReport!$B:$B,CFR20252026_BenchMarkDataReport!BD:BD),0)</f>
        <v>0</v>
      </c>
      <c r="AP53" s="88">
        <f>IFERROR(_xlfn.XLOOKUP($A53,CFR20252026_BenchMarkDataReport!$B:$B,CFR20252026_BenchMarkDataReport!BE:BE),0)</f>
        <v>1369.25</v>
      </c>
      <c r="AQ53" s="88">
        <f>IFERROR(_xlfn.XLOOKUP($A53,CFR20252026_BenchMarkDataReport!$B:$B,CFR20252026_BenchMarkDataReport!BF:BF),0)</f>
        <v>5808.52</v>
      </c>
      <c r="AR53" s="88">
        <f>IFERROR(_xlfn.XLOOKUP($A53,CFR20252026_BenchMarkDataReport!$B:$B,CFR20252026_BenchMarkDataReport!BG:BG),0)</f>
        <v>929.56</v>
      </c>
      <c r="AS53" s="88">
        <f>IFERROR(_xlfn.XLOOKUP($A53,CFR20252026_BenchMarkDataReport!$B:$B,CFR20252026_BenchMarkDataReport!BH:BH),0)</f>
        <v>89.29</v>
      </c>
      <c r="AT53" s="88">
        <f>IFERROR(_xlfn.XLOOKUP($A53,CFR20252026_BenchMarkDataReport!$B:$B,CFR20252026_BenchMarkDataReport!BI:BI),0)</f>
        <v>5634.3</v>
      </c>
      <c r="AU53" s="88">
        <f>IFERROR(_xlfn.XLOOKUP($A53,CFR20252026_BenchMarkDataReport!$B:$B,CFR20252026_BenchMarkDataReport!BJ:BJ),0)</f>
        <v>0</v>
      </c>
      <c r="AV53" s="88">
        <f>IFERROR(_xlfn.XLOOKUP($A53,CFR20252026_BenchMarkDataReport!$B:$B,CFR20252026_BenchMarkDataReport!BK:BK),0)</f>
        <v>499.43</v>
      </c>
      <c r="AW53" s="88">
        <f>IFERROR(_xlfn.XLOOKUP($A53,CFR20252026_BenchMarkDataReport!$B:$B,CFR20252026_BenchMarkDataReport!BL:BL),0)</f>
        <v>9628.56</v>
      </c>
      <c r="AX53" s="88">
        <f>IFERROR(_xlfn.XLOOKUP($A53,CFR20252026_BenchMarkDataReport!$B:$B,CFR20252026_BenchMarkDataReport!BM:BM),0)</f>
        <v>33149.980000000003</v>
      </c>
      <c r="AY53" s="88">
        <f>IFERROR(_xlfn.XLOOKUP($A53,CFR20252026_BenchMarkDataReport!$B:$B,CFR20252026_BenchMarkDataReport!BN:BN),0)</f>
        <v>84556.04</v>
      </c>
      <c r="AZ53" s="88">
        <f>IFERROR(_xlfn.XLOOKUP($A53,CFR20252026_BenchMarkDataReport!$B:$B,CFR20252026_BenchMarkDataReport!BO:BO),0)</f>
        <v>74638.5</v>
      </c>
      <c r="BA53" s="88">
        <f>IFERROR(_xlfn.XLOOKUP($A53,CFR20252026_BenchMarkDataReport!$B:$B,CFR20252026_BenchMarkDataReport!BP:BP),0)</f>
        <v>112427.53</v>
      </c>
      <c r="BB53" s="88">
        <f>IFERROR(_xlfn.XLOOKUP($A53,CFR20252026_BenchMarkDataReport!$B:$B,CFR20252026_BenchMarkDataReport!BQ:BQ),0)</f>
        <v>27643.1</v>
      </c>
      <c r="BC53" s="88">
        <f>IFERROR(_xlfn.XLOOKUP($A53,CFR20252026_BenchMarkDataReport!$B:$B,CFR20252026_BenchMarkDataReport!BR:BR),0)</f>
        <v>0</v>
      </c>
      <c r="BD53" s="88">
        <f>IFERROR(_xlfn.XLOOKUP($A53,CFR20252026_BenchMarkDataReport!$B:$B,CFR20252026_BenchMarkDataReport!BS:BS),0)</f>
        <v>0</v>
      </c>
      <c r="BE53" s="88">
        <f>IFERROR(_xlfn.XLOOKUP($A53,CFR20252026_BenchMarkDataReport!$B:$B,CFR20252026_BenchMarkDataReport!BT:BT),0)</f>
        <v>0</v>
      </c>
      <c r="BF53" s="88">
        <f>IFERROR(_xlfn.XLOOKUP($A53,CFR20252026_BenchMarkDataReport!$B:$B,CFR20252026_BenchMarkDataReport!BU:BU),0)</f>
        <v>0</v>
      </c>
      <c r="BG53" s="88">
        <f>IFERROR(_xlfn.XLOOKUP($A53,CFR20252026_BenchMarkDataReport!$B:$B,CFR20252026_BenchMarkDataReport!BV:BV),0)</f>
        <v>0</v>
      </c>
      <c r="BH53" s="89">
        <f t="shared" si="0"/>
        <v>2188315.2599999998</v>
      </c>
      <c r="BI53" s="90">
        <f t="shared" si="88"/>
        <v>2217258.2600000002</v>
      </c>
      <c r="BJ53" s="126">
        <f t="shared" si="89"/>
        <v>-28943.000000000466</v>
      </c>
      <c r="BK53" s="88">
        <f>IFERROR(_xlfn.XLOOKUP(A53,CFR20252026_BenchMarkDataReport!$B:$B,CFR20252026_BenchMarkDataReport!P:P)+_xlfn.XLOOKUP(A53,CFR20252026_BenchMarkDataReport!$B:$B,CFR20252026_BenchMarkDataReport!Q:Q),0)</f>
        <v>-1967</v>
      </c>
      <c r="BL53" s="89">
        <f t="shared" si="1"/>
        <v>-30910.000000000466</v>
      </c>
      <c r="BM53" s="91">
        <f>SUMIFS(PP!I:I,PP!E:E,A53)</f>
        <v>212</v>
      </c>
      <c r="BN53" s="90">
        <f t="shared" si="133"/>
        <v>1806899.28</v>
      </c>
      <c r="BO53" t="s">
        <v>173</v>
      </c>
      <c r="BP53" s="92">
        <f t="shared" ref="BP53:BP79" si="203">IFERROR(D53/BH53,0)</f>
        <v>0.75866079277809362</v>
      </c>
      <c r="BQ53" s="93">
        <f t="shared" ref="BQ53:BQ79" si="204">D53/BM53</f>
        <v>7831.0801415094338</v>
      </c>
      <c r="BR53" s="94">
        <f t="shared" ref="BR53:BR79" si="205">E53/BH53</f>
        <v>0</v>
      </c>
      <c r="BS53" s="95">
        <f t="shared" ref="BS53:BS79" si="206">E53/BM53</f>
        <v>0</v>
      </c>
      <c r="BT53" s="92">
        <f t="shared" ref="BT53:BT79" si="207">F53/BH53</f>
        <v>6.7042575026415543E-2</v>
      </c>
      <c r="BU53" s="93">
        <f t="shared" ref="BU53:BU79" si="208">F53/BM53</f>
        <v>692.02966981132079</v>
      </c>
      <c r="BV53" s="94">
        <f t="shared" ref="BV53:BV79" si="209">G53/BH53</f>
        <v>0</v>
      </c>
      <c r="BW53" s="95">
        <f t="shared" ref="BW53:BW79" si="210">G53/BM53</f>
        <v>0</v>
      </c>
      <c r="BX53" s="92">
        <f t="shared" ref="BX53:BX79" si="211">H53/BH53</f>
        <v>2.3758916711114103E-2</v>
      </c>
      <c r="BY53" s="93">
        <f t="shared" ref="BY53:BY79" si="212">H53/BM53</f>
        <v>245.24528301886792</v>
      </c>
      <c r="BZ53" s="94">
        <f t="shared" ref="BZ53:BZ79" si="213">I53/BH53</f>
        <v>2.542568752182444E-2</v>
      </c>
      <c r="CA53" s="95">
        <f t="shared" ref="CA53:CA79" si="214">I53/BM53</f>
        <v>262.45009433962264</v>
      </c>
      <c r="CB53" s="92">
        <f t="shared" ref="CB53:CB79" si="215">J53/BH53</f>
        <v>2.7743877269310824E-2</v>
      </c>
      <c r="CC53" s="93">
        <f t="shared" ref="CC53:CC79" si="216">J53/BM53</f>
        <v>286.37900943396227</v>
      </c>
      <c r="CD53" s="94">
        <f t="shared" ref="CD53:CD79" si="217">IFERROR((K53+L53)/BH53,0)</f>
        <v>4.7031591782620938E-2</v>
      </c>
      <c r="CE53" s="96">
        <f t="shared" ref="CE53:CE79" si="218">IFERROR((K53+L53)/BM53,0)</f>
        <v>485.47146226415094</v>
      </c>
      <c r="CF53" s="97">
        <f t="shared" ref="CF53:CF79" si="219">P53/BH53</f>
        <v>3.7921556147261899E-2</v>
      </c>
      <c r="CG53" s="98">
        <f t="shared" ref="CG53:CG79" si="220">P53/BM53</f>
        <v>391.43547169811325</v>
      </c>
      <c r="CH53" s="94">
        <f t="shared" ref="CH53:CH79" si="221">Q53/BH53</f>
        <v>1.0385893849682337E-2</v>
      </c>
      <c r="CI53" s="95">
        <f t="shared" ref="CI53:CI79" si="222">Q53/BM53</f>
        <v>107.20570754716981</v>
      </c>
      <c r="CJ53" s="99">
        <f t="shared" si="90"/>
        <v>0.48909767676701932</v>
      </c>
      <c r="CK53" s="97">
        <f t="shared" si="91"/>
        <v>0.40384959889188915</v>
      </c>
      <c r="CL53" s="97">
        <f t="shared" si="92"/>
        <v>0.39857794463690482</v>
      </c>
      <c r="CM53" s="98">
        <f t="shared" si="93"/>
        <v>4168.6332075471701</v>
      </c>
      <c r="CN53" s="94">
        <f t="shared" si="94"/>
        <v>0.33568345879245687</v>
      </c>
      <c r="CO53" s="100">
        <f t="shared" si="95"/>
        <v>0.27717496244119783</v>
      </c>
      <c r="CP53" s="100">
        <f t="shared" si="96"/>
        <v>0.27355685665593138</v>
      </c>
      <c r="CQ53" s="101">
        <f t="shared" si="97"/>
        <v>2861.0669811320754</v>
      </c>
      <c r="CR53" s="99">
        <f t="shared" si="98"/>
        <v>4.2979849989203602E-2</v>
      </c>
      <c r="CS53" s="97">
        <f t="shared" si="99"/>
        <v>3.5488606883818011E-2</v>
      </c>
      <c r="CT53" s="97">
        <f t="shared" si="100"/>
        <v>3.5025356044902041E-2</v>
      </c>
      <c r="CU53" s="98">
        <f t="shared" si="101"/>
        <v>366.32198113207545</v>
      </c>
      <c r="CV53" s="94">
        <f t="shared" si="102"/>
        <v>4.1802092034703781E-2</v>
      </c>
      <c r="CW53" s="100">
        <f t="shared" si="103"/>
        <v>3.4516128174328961E-2</v>
      </c>
      <c r="CX53" s="100">
        <f t="shared" si="104"/>
        <v>3.4065571594713552E-2</v>
      </c>
      <c r="CY53" s="95">
        <f t="shared" si="105"/>
        <v>356.283820754717</v>
      </c>
      <c r="CZ53" s="99">
        <f t="shared" si="106"/>
        <v>0.91000937805454207</v>
      </c>
      <c r="DA53" s="97">
        <f t="shared" si="107"/>
        <v>0.75139780819332214</v>
      </c>
      <c r="DB53" s="97">
        <f t="shared" si="108"/>
        <v>0.74158943036252334</v>
      </c>
      <c r="DC53" s="98">
        <f t="shared" si="109"/>
        <v>7756.1098584905649</v>
      </c>
      <c r="DD53" s="94">
        <f t="shared" si="110"/>
        <v>7.069741042787952E-3</v>
      </c>
      <c r="DE53" s="100">
        <f t="shared" si="111"/>
        <v>5.7613090141335173E-3</v>
      </c>
      <c r="DF53" s="95">
        <f t="shared" si="112"/>
        <v>60.256179245283015</v>
      </c>
      <c r="DG53" s="99">
        <f t="shared" si="113"/>
        <v>1.9936062838255024E-3</v>
      </c>
      <c r="DH53" s="98">
        <f t="shared" si="114"/>
        <v>20.850660377358491</v>
      </c>
      <c r="DI53" s="94">
        <f t="shared" si="115"/>
        <v>2.3286317320354456E-2</v>
      </c>
      <c r="DJ53" s="100">
        <f t="shared" si="116"/>
        <v>1.8976603113432529E-2</v>
      </c>
      <c r="DK53" s="95">
        <f t="shared" si="117"/>
        <v>198.47183962264151</v>
      </c>
      <c r="DL53" s="99">
        <f t="shared" si="118"/>
        <v>3.4948046467758844E-3</v>
      </c>
      <c r="DM53" s="97">
        <f t="shared" si="119"/>
        <v>2.8480038225226858E-3</v>
      </c>
      <c r="DN53" s="102">
        <f t="shared" si="120"/>
        <v>29.786603773584908</v>
      </c>
      <c r="DO53" s="94">
        <f t="shared" si="121"/>
        <v>5.1585753025481303E-2</v>
      </c>
      <c r="DP53" s="100">
        <f t="shared" si="122"/>
        <v>4.2594530003871568E-2</v>
      </c>
      <c r="DQ53" s="100">
        <f t="shared" si="123"/>
        <v>4.2038521935644967E-2</v>
      </c>
      <c r="DR53" s="95">
        <f t="shared" si="124"/>
        <v>439.67103773584904</v>
      </c>
      <c r="DS53" s="99">
        <f t="shared" si="125"/>
        <v>2.7640168189120091E-4</v>
      </c>
      <c r="DT53" s="97">
        <f t="shared" si="126"/>
        <v>2.2524665214236251E-4</v>
      </c>
      <c r="DU53" s="98">
        <f t="shared" si="127"/>
        <v>2.3558018867924528</v>
      </c>
      <c r="DV53" s="94">
        <f t="shared" si="128"/>
        <v>6.2221248989595038E-2</v>
      </c>
      <c r="DW53" s="100">
        <f t="shared" si="129"/>
        <v>5.0705653927747681E-2</v>
      </c>
      <c r="DX53" s="95">
        <f t="shared" si="130"/>
        <v>530.31853773584908</v>
      </c>
      <c r="DY53" s="99">
        <f t="shared" si="131"/>
        <v>3.8135404217639488E-2</v>
      </c>
      <c r="DZ53" s="98">
        <f t="shared" si="132"/>
        <v>398.84924528301883</v>
      </c>
      <c r="EA53" s="94">
        <f t="shared" si="14"/>
        <v>5.1516777301350539E-4</v>
      </c>
      <c r="EB53" s="95">
        <f t="shared" si="84"/>
        <v>5.3880188679245284</v>
      </c>
      <c r="EC53" s="103">
        <f>IFERROR(VLOOKUP(A53,PP!$E$3:$S$130,14,0),0)</f>
        <v>31</v>
      </c>
    </row>
    <row r="54" spans="1:133">
      <c r="A54" s="26">
        <v>2077</v>
      </c>
      <c r="B54" s="125">
        <v>10127</v>
      </c>
      <c r="C54" s="26" t="s">
        <v>76</v>
      </c>
      <c r="D54" s="88">
        <f>IFERROR(_xlfn.XLOOKUP($A54,CFR20252026_BenchMarkDataReport!$B:$B,CFR20252026_BenchMarkDataReport!S:S),0)</f>
        <v>6499087.1399999997</v>
      </c>
      <c r="E54" s="88">
        <f>IFERROR(_xlfn.XLOOKUP($A54,CFR20252026_BenchMarkDataReport!$B:$B,CFR20252026_BenchMarkDataReport!T:T),0)</f>
        <v>0</v>
      </c>
      <c r="F54" s="88">
        <f>IFERROR(_xlfn.XLOOKUP($A54,CFR20252026_BenchMarkDataReport!$B:$B,CFR20252026_BenchMarkDataReport!U:U),0)</f>
        <v>900099.56</v>
      </c>
      <c r="G54" s="88">
        <f>IFERROR(_xlfn.XLOOKUP($A54,CFR20252026_BenchMarkDataReport!$B:$B,CFR20252026_BenchMarkDataReport!V:V),0)</f>
        <v>0</v>
      </c>
      <c r="H54" s="88">
        <f>IFERROR(_xlfn.XLOOKUP($A54,CFR20252026_BenchMarkDataReport!$B:$B,CFR20252026_BenchMarkDataReport!W:W),0)</f>
        <v>606390</v>
      </c>
      <c r="I54" s="88">
        <f>IFERROR(_xlfn.XLOOKUP($A54,CFR20252026_BenchMarkDataReport!$B:$B,CFR20252026_BenchMarkDataReport!X:X),0)</f>
        <v>206174.14</v>
      </c>
      <c r="J54" s="88">
        <f>IFERROR(_xlfn.XLOOKUP($A54,CFR20252026_BenchMarkDataReport!$B:$B,CFR20252026_BenchMarkDataReport!Y:Y),0)</f>
        <v>208357.26</v>
      </c>
      <c r="K54" s="88">
        <f>IFERROR(_xlfn.XLOOKUP($A54,CFR20252026_BenchMarkDataReport!$B:$B,CFR20252026_BenchMarkDataReport!Z:Z),0)</f>
        <v>2700</v>
      </c>
      <c r="L54" s="88">
        <f>IFERROR(_xlfn.XLOOKUP($A54,CFR20252026_BenchMarkDataReport!$B:$B,CFR20252026_BenchMarkDataReport!AA:AA),0)</f>
        <v>239225.86</v>
      </c>
      <c r="M54" s="88">
        <f>IFERROR(_xlfn.XLOOKUP($A54,CFR20252026_BenchMarkDataReport!$B:$B,CFR20252026_BenchMarkDataReport!AB:AB),0)</f>
        <v>17265.75</v>
      </c>
      <c r="N54" s="88">
        <f>IFERROR(_xlfn.XLOOKUP($A54,CFR20252026_BenchMarkDataReport!$B:$B,CFR20252026_BenchMarkDataReport!AC:AC),0)</f>
        <v>0</v>
      </c>
      <c r="O54" s="88">
        <f>IFERROR(_xlfn.XLOOKUP($A54,CFR20252026_BenchMarkDataReport!$B:$B,CFR20252026_BenchMarkDataReport!AD:AD),0)</f>
        <v>0</v>
      </c>
      <c r="P54" s="88">
        <f>IFERROR(_xlfn.XLOOKUP($A54,CFR20252026_BenchMarkDataReport!$B:$B,CFR20252026_BenchMarkDataReport!AE:AE),0)</f>
        <v>86143.360000000001</v>
      </c>
      <c r="Q54" s="88">
        <f>IFERROR(_xlfn.XLOOKUP($A54,CFR20252026_BenchMarkDataReport!$B:$B,CFR20252026_BenchMarkDataReport!AF:AF),0)</f>
        <v>44104.5</v>
      </c>
      <c r="R54" s="88">
        <f>IFERROR(_xlfn.XLOOKUP($A54,CFR20252026_BenchMarkDataReport!$B:$B,CFR20252026_BenchMarkDataReport!AG:AG),0)</f>
        <v>0</v>
      </c>
      <c r="S54" s="88">
        <f>IFERROR(_xlfn.XLOOKUP($A54,CFR20252026_BenchMarkDataReport!$B:$B,CFR20252026_BenchMarkDataReport!AH:AH),0)</f>
        <v>0</v>
      </c>
      <c r="T54" s="88">
        <f>IFERROR(_xlfn.XLOOKUP($A54,CFR20252026_BenchMarkDataReport!$B:$B,CFR20252026_BenchMarkDataReport!AI:AI),0)</f>
        <v>0</v>
      </c>
      <c r="U54" s="88">
        <f>IFERROR(_xlfn.XLOOKUP($A54,CFR20252026_BenchMarkDataReport!$B:$B,CFR20252026_BenchMarkDataReport!AJ:AJ),0)</f>
        <v>3690918.39</v>
      </c>
      <c r="V54" s="88">
        <f>IFERROR(_xlfn.XLOOKUP($A54,CFR20252026_BenchMarkDataReport!$B:$B,CFR20252026_BenchMarkDataReport!AK:AK),0)</f>
        <v>0</v>
      </c>
      <c r="W54" s="88">
        <f>IFERROR(_xlfn.XLOOKUP($A54,CFR20252026_BenchMarkDataReport!$B:$B,CFR20252026_BenchMarkDataReport!AL:AL),0)</f>
        <v>2047006.82</v>
      </c>
      <c r="X54" s="88">
        <f>IFERROR(_xlfn.XLOOKUP($A54,CFR20252026_BenchMarkDataReport!$B:$B,CFR20252026_BenchMarkDataReport!AM:AM),0)</f>
        <v>358459.22</v>
      </c>
      <c r="Y54" s="88">
        <f>IFERROR(_xlfn.XLOOKUP($A54,CFR20252026_BenchMarkDataReport!$B:$B,CFR20252026_BenchMarkDataReport!AN:AN),0)</f>
        <v>296275.07</v>
      </c>
      <c r="Z54" s="88">
        <f>IFERROR(_xlfn.XLOOKUP($A54,CFR20252026_BenchMarkDataReport!$B:$B,CFR20252026_BenchMarkDataReport!AO:AO),0)</f>
        <v>154179.46</v>
      </c>
      <c r="AA54" s="88">
        <f>IFERROR(_xlfn.XLOOKUP($A54,CFR20252026_BenchMarkDataReport!$B:$B,CFR20252026_BenchMarkDataReport!AP:AP),0)</f>
        <v>481896.87</v>
      </c>
      <c r="AB54" s="88">
        <f>IFERROR(_xlfn.XLOOKUP($A54,CFR20252026_BenchMarkDataReport!$B:$B,CFR20252026_BenchMarkDataReport!AQ:AQ),0)</f>
        <v>36002.160000000003</v>
      </c>
      <c r="AC54" s="88">
        <f>IFERROR(_xlfn.XLOOKUP($A54,CFR20252026_BenchMarkDataReport!$B:$B,CFR20252026_BenchMarkDataReport!AR:AR),0)</f>
        <v>7099.5</v>
      </c>
      <c r="AD54" s="88">
        <f>IFERROR(_xlfn.XLOOKUP($A54,CFR20252026_BenchMarkDataReport!$B:$B,CFR20252026_BenchMarkDataReport!AS:AS),0)</f>
        <v>1441.53</v>
      </c>
      <c r="AE54" s="88">
        <f>IFERROR(_xlfn.XLOOKUP($A54,CFR20252026_BenchMarkDataReport!$B:$B,CFR20252026_BenchMarkDataReport!AT:AT),0)</f>
        <v>0</v>
      </c>
      <c r="AF54" s="88">
        <f>IFERROR(_xlfn.XLOOKUP($A54,CFR20252026_BenchMarkDataReport!$B:$B,CFR20252026_BenchMarkDataReport!AU:AU),0)</f>
        <v>66040.740000000005</v>
      </c>
      <c r="AG54" s="88">
        <f>IFERROR(_xlfn.XLOOKUP($A54,CFR20252026_BenchMarkDataReport!$B:$B,CFR20252026_BenchMarkDataReport!AV:AV),0)</f>
        <v>21646.34</v>
      </c>
      <c r="AH54" s="88">
        <f>IFERROR(_xlfn.XLOOKUP($A54,CFR20252026_BenchMarkDataReport!$B:$B,CFR20252026_BenchMarkDataReport!AW:AW),0)</f>
        <v>13856.6</v>
      </c>
      <c r="AI54" s="88">
        <f>IFERROR(_xlfn.XLOOKUP($A54,CFR20252026_BenchMarkDataReport!$B:$B,CFR20252026_BenchMarkDataReport!AX:AX),0)</f>
        <v>39704.1</v>
      </c>
      <c r="AJ54" s="88">
        <f>IFERROR(_xlfn.XLOOKUP($A54,CFR20252026_BenchMarkDataReport!$B:$B,CFR20252026_BenchMarkDataReport!AY:AY),0)</f>
        <v>142854.57</v>
      </c>
      <c r="AK54" s="88">
        <f>IFERROR(_xlfn.XLOOKUP($A54,CFR20252026_BenchMarkDataReport!$B:$B,CFR20252026_BenchMarkDataReport!AZ:AZ),0)</f>
        <v>40048.14</v>
      </c>
      <c r="AL54" s="88">
        <f>IFERROR(_xlfn.XLOOKUP($A54,CFR20252026_BenchMarkDataReport!$B:$B,CFR20252026_BenchMarkDataReport!BA:BA),0)</f>
        <v>53547.05</v>
      </c>
      <c r="AM54" s="88">
        <f>IFERROR(_xlfn.XLOOKUP($A54,CFR20252026_BenchMarkDataReport!$B:$B,CFR20252026_BenchMarkDataReport!BB:BB),0)</f>
        <v>261838.58</v>
      </c>
      <c r="AN54" s="88">
        <f>IFERROR(_xlfn.XLOOKUP($A54,CFR20252026_BenchMarkDataReport!$B:$B,CFR20252026_BenchMarkDataReport!BC:BC),0)</f>
        <v>39078.730000000003</v>
      </c>
      <c r="AO54" s="88">
        <f>IFERROR(_xlfn.XLOOKUP($A54,CFR20252026_BenchMarkDataReport!$B:$B,CFR20252026_BenchMarkDataReport!BD:BD),0)</f>
        <v>0</v>
      </c>
      <c r="AP54" s="88">
        <f>IFERROR(_xlfn.XLOOKUP($A54,CFR20252026_BenchMarkDataReport!$B:$B,CFR20252026_BenchMarkDataReport!BE:BE),0)</f>
        <v>0</v>
      </c>
      <c r="AQ54" s="88">
        <f>IFERROR(_xlfn.XLOOKUP($A54,CFR20252026_BenchMarkDataReport!$B:$B,CFR20252026_BenchMarkDataReport!BF:BF),0)</f>
        <v>0</v>
      </c>
      <c r="AR54" s="88">
        <f>IFERROR(_xlfn.XLOOKUP($A54,CFR20252026_BenchMarkDataReport!$B:$B,CFR20252026_BenchMarkDataReport!BG:BG),0)</f>
        <v>0</v>
      </c>
      <c r="AS54" s="88">
        <f>IFERROR(_xlfn.XLOOKUP($A54,CFR20252026_BenchMarkDataReport!$B:$B,CFR20252026_BenchMarkDataReport!BH:BH),0)</f>
        <v>0</v>
      </c>
      <c r="AT54" s="88">
        <f>IFERROR(_xlfn.XLOOKUP($A54,CFR20252026_BenchMarkDataReport!$B:$B,CFR20252026_BenchMarkDataReport!BI:BI),0)</f>
        <v>0</v>
      </c>
      <c r="AU54" s="88">
        <f>IFERROR(_xlfn.XLOOKUP($A54,CFR20252026_BenchMarkDataReport!$B:$B,CFR20252026_BenchMarkDataReport!BJ:BJ),0)</f>
        <v>0</v>
      </c>
      <c r="AV54" s="88">
        <f>IFERROR(_xlfn.XLOOKUP($A54,CFR20252026_BenchMarkDataReport!$B:$B,CFR20252026_BenchMarkDataReport!BK:BK),0)</f>
        <v>78301.789999999994</v>
      </c>
      <c r="AW54" s="88">
        <f>IFERROR(_xlfn.XLOOKUP($A54,CFR20252026_BenchMarkDataReport!$B:$B,CFR20252026_BenchMarkDataReport!BL:BL),0)</f>
        <v>40436.57</v>
      </c>
      <c r="AX54" s="88">
        <f>IFERROR(_xlfn.XLOOKUP($A54,CFR20252026_BenchMarkDataReport!$B:$B,CFR20252026_BenchMarkDataReport!BM:BM),0)</f>
        <v>71772.19</v>
      </c>
      <c r="AY54" s="88">
        <f>IFERROR(_xlfn.XLOOKUP($A54,CFR20252026_BenchMarkDataReport!$B:$B,CFR20252026_BenchMarkDataReport!BN:BN),0)</f>
        <v>284203.49</v>
      </c>
      <c r="AZ54" s="88">
        <f>IFERROR(_xlfn.XLOOKUP($A54,CFR20252026_BenchMarkDataReport!$B:$B,CFR20252026_BenchMarkDataReport!BO:BO),0)</f>
        <v>104895.55</v>
      </c>
      <c r="BA54" s="88">
        <f>IFERROR(_xlfn.XLOOKUP($A54,CFR20252026_BenchMarkDataReport!$B:$B,CFR20252026_BenchMarkDataReport!BP:BP),0)</f>
        <v>324759.38</v>
      </c>
      <c r="BB54" s="88">
        <f>IFERROR(_xlfn.XLOOKUP($A54,CFR20252026_BenchMarkDataReport!$B:$B,CFR20252026_BenchMarkDataReport!BQ:BQ),0)</f>
        <v>93056.95</v>
      </c>
      <c r="BC54" s="88">
        <f>IFERROR(_xlfn.XLOOKUP($A54,CFR20252026_BenchMarkDataReport!$B:$B,CFR20252026_BenchMarkDataReport!BR:BR),0)</f>
        <v>0</v>
      </c>
      <c r="BD54" s="88">
        <f>IFERROR(_xlfn.XLOOKUP($A54,CFR20252026_BenchMarkDataReport!$B:$B,CFR20252026_BenchMarkDataReport!BS:BS),0)</f>
        <v>0</v>
      </c>
      <c r="BE54" s="88">
        <f>IFERROR(_xlfn.XLOOKUP($A54,CFR20252026_BenchMarkDataReport!$B:$B,CFR20252026_BenchMarkDataReport!BT:BT),0)</f>
        <v>0</v>
      </c>
      <c r="BF54" s="88">
        <f>IFERROR(_xlfn.XLOOKUP($A54,CFR20252026_BenchMarkDataReport!$B:$B,CFR20252026_BenchMarkDataReport!BU:BU),0)</f>
        <v>0</v>
      </c>
      <c r="BG54" s="88">
        <f>IFERROR(_xlfn.XLOOKUP($A54,CFR20252026_BenchMarkDataReport!$B:$B,CFR20252026_BenchMarkDataReport!BV:BV),0)</f>
        <v>0</v>
      </c>
      <c r="BH54" s="89">
        <f t="shared" si="0"/>
        <v>8809547.5699999984</v>
      </c>
      <c r="BI54" s="90">
        <f t="shared" si="88"/>
        <v>8749319.790000001</v>
      </c>
      <c r="BJ54" s="126">
        <f t="shared" si="89"/>
        <v>60227.779999997467</v>
      </c>
      <c r="BK54" s="88">
        <f>IFERROR(_xlfn.XLOOKUP(A54,CFR20252026_BenchMarkDataReport!$B:$B,CFR20252026_BenchMarkDataReport!P:P)+_xlfn.XLOOKUP(A54,CFR20252026_BenchMarkDataReport!$B:$B,CFR20252026_BenchMarkDataReport!Q:Q),0)</f>
        <v>-1155970</v>
      </c>
      <c r="BL54" s="89">
        <f t="shared" si="1"/>
        <v>-1095742.2200000025</v>
      </c>
      <c r="BM54" s="91">
        <f>SUMIFS(PP!I:I,PP!E:E,A54)</f>
        <v>843</v>
      </c>
      <c r="BN54" s="90">
        <f t="shared" si="133"/>
        <v>7399186.6999999993</v>
      </c>
      <c r="BO54" t="s">
        <v>173</v>
      </c>
      <c r="BP54" s="92">
        <f t="shared" si="203"/>
        <v>0.73773222612838463</v>
      </c>
      <c r="BQ54" s="93">
        <f t="shared" si="204"/>
        <v>7709.4746619217076</v>
      </c>
      <c r="BR54" s="94">
        <f t="shared" si="205"/>
        <v>0</v>
      </c>
      <c r="BS54" s="95">
        <f t="shared" si="206"/>
        <v>0</v>
      </c>
      <c r="BT54" s="92">
        <f t="shared" si="207"/>
        <v>0.10217318799267239</v>
      </c>
      <c r="BU54" s="93">
        <f t="shared" si="208"/>
        <v>1067.7337603795968</v>
      </c>
      <c r="BV54" s="94">
        <f t="shared" si="209"/>
        <v>0</v>
      </c>
      <c r="BW54" s="95">
        <f t="shared" si="210"/>
        <v>0</v>
      </c>
      <c r="BX54" s="92">
        <f t="shared" si="211"/>
        <v>6.8833273806818224E-2</v>
      </c>
      <c r="BY54" s="93">
        <f t="shared" si="212"/>
        <v>719.3238434163701</v>
      </c>
      <c r="BZ54" s="94">
        <f t="shared" si="213"/>
        <v>2.340348790465752E-2</v>
      </c>
      <c r="CA54" s="95">
        <f t="shared" si="214"/>
        <v>244.57193357058128</v>
      </c>
      <c r="CB54" s="92">
        <f t="shared" si="215"/>
        <v>2.3651300857894117E-2</v>
      </c>
      <c r="CC54" s="93">
        <f t="shared" si="216"/>
        <v>247.16163701067617</v>
      </c>
      <c r="CD54" s="94">
        <f t="shared" si="217"/>
        <v>2.7461780310245834E-2</v>
      </c>
      <c r="CE54" s="96">
        <f t="shared" si="218"/>
        <v>286.98204033214705</v>
      </c>
      <c r="CF54" s="97">
        <f t="shared" si="219"/>
        <v>9.7784090857687498E-3</v>
      </c>
      <c r="CG54" s="98">
        <f t="shared" si="220"/>
        <v>102.18666666666667</v>
      </c>
      <c r="CH54" s="94">
        <f t="shared" si="221"/>
        <v>5.006443253702756E-3</v>
      </c>
      <c r="CI54" s="95">
        <f t="shared" si="222"/>
        <v>52.318505338078289</v>
      </c>
      <c r="CJ54" s="99">
        <f t="shared" si="90"/>
        <v>0.51300421166558752</v>
      </c>
      <c r="CK54" s="97">
        <f t="shared" si="91"/>
        <v>0.43087501484483165</v>
      </c>
      <c r="CL54" s="97">
        <f t="shared" si="92"/>
        <v>0.43384103348678715</v>
      </c>
      <c r="CM54" s="98">
        <f t="shared" si="93"/>
        <v>4502.7448873072362</v>
      </c>
      <c r="CN54" s="94">
        <f t="shared" si="94"/>
        <v>0.2766529488977485</v>
      </c>
      <c r="CO54" s="100">
        <f t="shared" si="95"/>
        <v>0.23236230961177504</v>
      </c>
      <c r="CP54" s="100">
        <f t="shared" si="96"/>
        <v>0.23396182436257709</v>
      </c>
      <c r="CQ54" s="101">
        <f t="shared" si="97"/>
        <v>2428.2405931198105</v>
      </c>
      <c r="CR54" s="99">
        <f t="shared" si="98"/>
        <v>4.8445759585982608E-2</v>
      </c>
      <c r="CS54" s="97">
        <f t="shared" si="99"/>
        <v>4.0689855767473887E-2</v>
      </c>
      <c r="CT54" s="97">
        <f t="shared" si="100"/>
        <v>4.0969952933906872E-2</v>
      </c>
      <c r="CU54" s="98">
        <f t="shared" si="101"/>
        <v>425.21852906287069</v>
      </c>
      <c r="CV54" s="94">
        <f t="shared" si="102"/>
        <v>4.0041572406870077E-2</v>
      </c>
      <c r="CW54" s="100">
        <f t="shared" si="103"/>
        <v>3.3631133454450492E-2</v>
      </c>
      <c r="CX54" s="100">
        <f t="shared" si="104"/>
        <v>3.3862640423616287E-2</v>
      </c>
      <c r="CY54" s="95">
        <f t="shared" si="105"/>
        <v>351.45322657176752</v>
      </c>
      <c r="CZ54" s="99">
        <f t="shared" si="106"/>
        <v>0.94993356905023096</v>
      </c>
      <c r="DA54" s="97">
        <f t="shared" si="107"/>
        <v>0.79785434770062791</v>
      </c>
      <c r="DB54" s="97">
        <f t="shared" si="108"/>
        <v>0.80334654564043539</v>
      </c>
      <c r="DC54" s="98">
        <f t="shared" si="109"/>
        <v>8337.7649228944247</v>
      </c>
      <c r="DD54" s="94">
        <f t="shared" si="110"/>
        <v>8.9254052746094402E-3</v>
      </c>
      <c r="DE54" s="100">
        <f t="shared" si="111"/>
        <v>7.5480999192052622E-3</v>
      </c>
      <c r="DF54" s="95">
        <f t="shared" si="112"/>
        <v>78.340142348754455</v>
      </c>
      <c r="DG54" s="99">
        <f t="shared" si="113"/>
        <v>4.537964202129134E-3</v>
      </c>
      <c r="DH54" s="98">
        <f t="shared" si="114"/>
        <v>47.098576512455516</v>
      </c>
      <c r="DI54" s="94">
        <f t="shared" si="115"/>
        <v>1.9306793542593001E-2</v>
      </c>
      <c r="DJ54" s="100">
        <f t="shared" si="116"/>
        <v>1.6327505843742852E-2</v>
      </c>
      <c r="DK54" s="95">
        <f t="shared" si="117"/>
        <v>169.45975088967973</v>
      </c>
      <c r="DL54" s="99">
        <f t="shared" si="118"/>
        <v>7.2368832104209519E-3</v>
      </c>
      <c r="DM54" s="97">
        <f t="shared" si="119"/>
        <v>6.1201386262279937E-3</v>
      </c>
      <c r="DN54" s="102">
        <f t="shared" si="120"/>
        <v>63.519632265717675</v>
      </c>
      <c r="DO54" s="94">
        <f t="shared" si="121"/>
        <v>3.5387481167355871E-2</v>
      </c>
      <c r="DP54" s="100">
        <f t="shared" si="122"/>
        <v>2.9722137024569134E-2</v>
      </c>
      <c r="DQ54" s="100">
        <f t="shared" si="123"/>
        <v>2.9926735595979394E-2</v>
      </c>
      <c r="DR54" s="95">
        <f t="shared" si="124"/>
        <v>310.60329774614473</v>
      </c>
      <c r="DS54" s="99">
        <f t="shared" si="125"/>
        <v>1.0582486045391989E-2</v>
      </c>
      <c r="DT54" s="97">
        <f t="shared" si="126"/>
        <v>8.9494717165892936E-3</v>
      </c>
      <c r="DU54" s="98">
        <f t="shared" si="127"/>
        <v>92.884685646500586</v>
      </c>
      <c r="DV54" s="94">
        <f t="shared" si="128"/>
        <v>4.3891226585754353E-2</v>
      </c>
      <c r="DW54" s="100">
        <f t="shared" si="129"/>
        <v>3.7118243222882583E-2</v>
      </c>
      <c r="DX54" s="95">
        <f t="shared" si="130"/>
        <v>385.24244365361801</v>
      </c>
      <c r="DY54" s="99">
        <f t="shared" si="131"/>
        <v>3.248292402397146E-2</v>
      </c>
      <c r="DZ54" s="98">
        <f t="shared" si="132"/>
        <v>337.13344009489919</v>
      </c>
      <c r="EA54" s="94">
        <f t="shared" si="14"/>
        <v>1.5837345453800127E-3</v>
      </c>
      <c r="EB54" s="95">
        <f t="shared" si="84"/>
        <v>16.437247924080665</v>
      </c>
      <c r="EC54" s="103">
        <f>IFERROR(VLOOKUP(A54,PP!$E$3:$S$130,14,0),0)</f>
        <v>392</v>
      </c>
    </row>
    <row r="55" spans="1:133">
      <c r="A55" s="26">
        <v>3501</v>
      </c>
      <c r="B55" s="125">
        <v>10085</v>
      </c>
      <c r="C55" s="26" t="s">
        <v>78</v>
      </c>
      <c r="D55" s="88">
        <f>IFERROR(_xlfn.XLOOKUP($A55,CFR20252026_BenchMarkDataReport!$B:$B,CFR20252026_BenchMarkDataReport!S:S),0)</f>
        <v>1263483.6200000001</v>
      </c>
      <c r="E55" s="88">
        <f>IFERROR(_xlfn.XLOOKUP($A55,CFR20252026_BenchMarkDataReport!$B:$B,CFR20252026_BenchMarkDataReport!T:T),0)</f>
        <v>0</v>
      </c>
      <c r="F55" s="88">
        <f>IFERROR(_xlfn.XLOOKUP($A55,CFR20252026_BenchMarkDataReport!$B:$B,CFR20252026_BenchMarkDataReport!U:U),0)</f>
        <v>115460.71</v>
      </c>
      <c r="G55" s="88">
        <f>IFERROR(_xlfn.XLOOKUP($A55,CFR20252026_BenchMarkDataReport!$B:$B,CFR20252026_BenchMarkDataReport!V:V),0)</f>
        <v>0</v>
      </c>
      <c r="H55" s="88">
        <f>IFERROR(_xlfn.XLOOKUP($A55,CFR20252026_BenchMarkDataReport!$B:$B,CFR20252026_BenchMarkDataReport!W:W),0)</f>
        <v>63230</v>
      </c>
      <c r="I55" s="88">
        <f>IFERROR(_xlfn.XLOOKUP($A55,CFR20252026_BenchMarkDataReport!$B:$B,CFR20252026_BenchMarkDataReport!X:X),0)</f>
        <v>32607.5</v>
      </c>
      <c r="J55" s="88">
        <f>IFERROR(_xlfn.XLOOKUP($A55,CFR20252026_BenchMarkDataReport!$B:$B,CFR20252026_BenchMarkDataReport!Y:Y),0)</f>
        <v>73286.789999999994</v>
      </c>
      <c r="K55" s="88">
        <f>IFERROR(_xlfn.XLOOKUP($A55,CFR20252026_BenchMarkDataReport!$B:$B,CFR20252026_BenchMarkDataReport!Z:Z),0)</f>
        <v>7111.36</v>
      </c>
      <c r="L55" s="88">
        <f>IFERROR(_xlfn.XLOOKUP($A55,CFR20252026_BenchMarkDataReport!$B:$B,CFR20252026_BenchMarkDataReport!AA:AA),0)</f>
        <v>8863.08</v>
      </c>
      <c r="M55" s="88">
        <f>IFERROR(_xlfn.XLOOKUP($A55,CFR20252026_BenchMarkDataReport!$B:$B,CFR20252026_BenchMarkDataReport!AB:AB),0)</f>
        <v>3765.11</v>
      </c>
      <c r="N55" s="88">
        <f>IFERROR(_xlfn.XLOOKUP($A55,CFR20252026_BenchMarkDataReport!$B:$B,CFR20252026_BenchMarkDataReport!AC:AC),0)</f>
        <v>0</v>
      </c>
      <c r="O55" s="88">
        <f>IFERROR(_xlfn.XLOOKUP($A55,CFR20252026_BenchMarkDataReport!$B:$B,CFR20252026_BenchMarkDataReport!AD:AD),0)</f>
        <v>0</v>
      </c>
      <c r="P55" s="88">
        <f>IFERROR(_xlfn.XLOOKUP($A55,CFR20252026_BenchMarkDataReport!$B:$B,CFR20252026_BenchMarkDataReport!AE:AE),0)</f>
        <v>30028.83</v>
      </c>
      <c r="Q55" s="88">
        <f>IFERROR(_xlfn.XLOOKUP($A55,CFR20252026_BenchMarkDataReport!$B:$B,CFR20252026_BenchMarkDataReport!AF:AF),0)</f>
        <v>27030.39</v>
      </c>
      <c r="R55" s="88">
        <f>IFERROR(_xlfn.XLOOKUP($A55,CFR20252026_BenchMarkDataReport!$B:$B,CFR20252026_BenchMarkDataReport!AG:AG),0)</f>
        <v>0</v>
      </c>
      <c r="S55" s="88">
        <f>IFERROR(_xlfn.XLOOKUP($A55,CFR20252026_BenchMarkDataReport!$B:$B,CFR20252026_BenchMarkDataReport!AH:AH),0)</f>
        <v>0</v>
      </c>
      <c r="T55" s="88">
        <f>IFERROR(_xlfn.XLOOKUP($A55,CFR20252026_BenchMarkDataReport!$B:$B,CFR20252026_BenchMarkDataReport!AI:AI),0)</f>
        <v>0</v>
      </c>
      <c r="U55" s="88">
        <f>IFERROR(_xlfn.XLOOKUP($A55,CFR20252026_BenchMarkDataReport!$B:$B,CFR20252026_BenchMarkDataReport!AJ:AJ),0)</f>
        <v>840671.61</v>
      </c>
      <c r="V55" s="88">
        <f>IFERROR(_xlfn.XLOOKUP($A55,CFR20252026_BenchMarkDataReport!$B:$B,CFR20252026_BenchMarkDataReport!AK:AK),0)</f>
        <v>0</v>
      </c>
      <c r="W55" s="88">
        <f>IFERROR(_xlfn.XLOOKUP($A55,CFR20252026_BenchMarkDataReport!$B:$B,CFR20252026_BenchMarkDataReport!AL:AL),0)</f>
        <v>251668.63</v>
      </c>
      <c r="X55" s="88">
        <f>IFERROR(_xlfn.XLOOKUP($A55,CFR20252026_BenchMarkDataReport!$B:$B,CFR20252026_BenchMarkDataReport!AM:AM),0)</f>
        <v>83962.54</v>
      </c>
      <c r="Y55" s="88">
        <f>IFERROR(_xlfn.XLOOKUP($A55,CFR20252026_BenchMarkDataReport!$B:$B,CFR20252026_BenchMarkDataReport!AN:AN),0)</f>
        <v>71856.13</v>
      </c>
      <c r="Z55" s="88">
        <f>IFERROR(_xlfn.XLOOKUP($A55,CFR20252026_BenchMarkDataReport!$B:$B,CFR20252026_BenchMarkDataReport!AO:AO),0)</f>
        <v>0</v>
      </c>
      <c r="AA55" s="88">
        <f>IFERROR(_xlfn.XLOOKUP($A55,CFR20252026_BenchMarkDataReport!$B:$B,CFR20252026_BenchMarkDataReport!AP:AP),0)</f>
        <v>30531.5</v>
      </c>
      <c r="AB55" s="88">
        <f>IFERROR(_xlfn.XLOOKUP($A55,CFR20252026_BenchMarkDataReport!$B:$B,CFR20252026_BenchMarkDataReport!AQ:AQ),0)</f>
        <v>1015.5</v>
      </c>
      <c r="AC55" s="88">
        <f>IFERROR(_xlfn.XLOOKUP($A55,CFR20252026_BenchMarkDataReport!$B:$B,CFR20252026_BenchMarkDataReport!AR:AR),0)</f>
        <v>3593.23</v>
      </c>
      <c r="AD55" s="88">
        <f>IFERROR(_xlfn.XLOOKUP($A55,CFR20252026_BenchMarkDataReport!$B:$B,CFR20252026_BenchMarkDataReport!AS:AS),0)</f>
        <v>314.64</v>
      </c>
      <c r="AE55" s="88">
        <f>IFERROR(_xlfn.XLOOKUP($A55,CFR20252026_BenchMarkDataReport!$B:$B,CFR20252026_BenchMarkDataReport!AT:AT),0)</f>
        <v>0</v>
      </c>
      <c r="AF55" s="88">
        <f>IFERROR(_xlfn.XLOOKUP($A55,CFR20252026_BenchMarkDataReport!$B:$B,CFR20252026_BenchMarkDataReport!AU:AU),0)</f>
        <v>20529.080000000002</v>
      </c>
      <c r="AG55" s="88">
        <f>IFERROR(_xlfn.XLOOKUP($A55,CFR20252026_BenchMarkDataReport!$B:$B,CFR20252026_BenchMarkDataReport!AV:AV),0)</f>
        <v>0</v>
      </c>
      <c r="AH55" s="88">
        <f>IFERROR(_xlfn.XLOOKUP($A55,CFR20252026_BenchMarkDataReport!$B:$B,CFR20252026_BenchMarkDataReport!AW:AW),0)</f>
        <v>8278.5499999999993</v>
      </c>
      <c r="AI55" s="88">
        <f>IFERROR(_xlfn.XLOOKUP($A55,CFR20252026_BenchMarkDataReport!$B:$B,CFR20252026_BenchMarkDataReport!AX:AX),0)</f>
        <v>3502.06</v>
      </c>
      <c r="AJ55" s="88">
        <f>IFERROR(_xlfn.XLOOKUP($A55,CFR20252026_BenchMarkDataReport!$B:$B,CFR20252026_BenchMarkDataReport!AY:AY),0)</f>
        <v>36525.99</v>
      </c>
      <c r="AK55" s="88">
        <f>IFERROR(_xlfn.XLOOKUP($A55,CFR20252026_BenchMarkDataReport!$B:$B,CFR20252026_BenchMarkDataReport!AZ:AZ),0)</f>
        <v>4619.79</v>
      </c>
      <c r="AL55" s="88">
        <f>IFERROR(_xlfn.XLOOKUP($A55,CFR20252026_BenchMarkDataReport!$B:$B,CFR20252026_BenchMarkDataReport!BA:BA),0)</f>
        <v>17427.28</v>
      </c>
      <c r="AM55" s="88">
        <f>IFERROR(_xlfn.XLOOKUP($A55,CFR20252026_BenchMarkDataReport!$B:$B,CFR20252026_BenchMarkDataReport!BB:BB),0)</f>
        <v>40979.43</v>
      </c>
      <c r="AN55" s="88">
        <f>IFERROR(_xlfn.XLOOKUP($A55,CFR20252026_BenchMarkDataReport!$B:$B,CFR20252026_BenchMarkDataReport!BC:BC),0)</f>
        <v>12194.89</v>
      </c>
      <c r="AO55" s="88">
        <f>IFERROR(_xlfn.XLOOKUP($A55,CFR20252026_BenchMarkDataReport!$B:$B,CFR20252026_BenchMarkDataReport!BD:BD),0)</f>
        <v>0</v>
      </c>
      <c r="AP55" s="88">
        <f>IFERROR(_xlfn.XLOOKUP($A55,CFR20252026_BenchMarkDataReport!$B:$B,CFR20252026_BenchMarkDataReport!BE:BE),0)</f>
        <v>1220.3499999999999</v>
      </c>
      <c r="AQ55" s="88">
        <f>IFERROR(_xlfn.XLOOKUP($A55,CFR20252026_BenchMarkDataReport!$B:$B,CFR20252026_BenchMarkDataReport!BF:BF),0)</f>
        <v>16287.11</v>
      </c>
      <c r="AR55" s="88">
        <f>IFERROR(_xlfn.XLOOKUP($A55,CFR20252026_BenchMarkDataReport!$B:$B,CFR20252026_BenchMarkDataReport!BG:BG),0)</f>
        <v>376.02</v>
      </c>
      <c r="AS55" s="88">
        <f>IFERROR(_xlfn.XLOOKUP($A55,CFR20252026_BenchMarkDataReport!$B:$B,CFR20252026_BenchMarkDataReport!BH:BH),0)</f>
        <v>0</v>
      </c>
      <c r="AT55" s="88">
        <f>IFERROR(_xlfn.XLOOKUP($A55,CFR20252026_BenchMarkDataReport!$B:$B,CFR20252026_BenchMarkDataReport!BI:BI),0)</f>
        <v>6261.55</v>
      </c>
      <c r="AU55" s="88">
        <f>IFERROR(_xlfn.XLOOKUP($A55,CFR20252026_BenchMarkDataReport!$B:$B,CFR20252026_BenchMarkDataReport!BJ:BJ),0)</f>
        <v>0</v>
      </c>
      <c r="AV55" s="88">
        <f>IFERROR(_xlfn.XLOOKUP($A55,CFR20252026_BenchMarkDataReport!$B:$B,CFR20252026_BenchMarkDataReport!BK:BK),0)</f>
        <v>16030.73</v>
      </c>
      <c r="AW55" s="88">
        <f>IFERROR(_xlfn.XLOOKUP($A55,CFR20252026_BenchMarkDataReport!$B:$B,CFR20252026_BenchMarkDataReport!BL:BL),0)</f>
        <v>8665.65</v>
      </c>
      <c r="AX55" s="88">
        <f>IFERROR(_xlfn.XLOOKUP($A55,CFR20252026_BenchMarkDataReport!$B:$B,CFR20252026_BenchMarkDataReport!BM:BM),0)</f>
        <v>2152.86</v>
      </c>
      <c r="AY55" s="88">
        <f>IFERROR(_xlfn.XLOOKUP($A55,CFR20252026_BenchMarkDataReport!$B:$B,CFR20252026_BenchMarkDataReport!BN:BN),0)</f>
        <v>78010.289999999994</v>
      </c>
      <c r="AZ55" s="88">
        <f>IFERROR(_xlfn.XLOOKUP($A55,CFR20252026_BenchMarkDataReport!$B:$B,CFR20252026_BenchMarkDataReport!BO:BO),0)</f>
        <v>31314.240000000002</v>
      </c>
      <c r="BA55" s="88">
        <f>IFERROR(_xlfn.XLOOKUP($A55,CFR20252026_BenchMarkDataReport!$B:$B,CFR20252026_BenchMarkDataReport!BP:BP),0)</f>
        <v>246531.62</v>
      </c>
      <c r="BB55" s="88">
        <f>IFERROR(_xlfn.XLOOKUP($A55,CFR20252026_BenchMarkDataReport!$B:$B,CFR20252026_BenchMarkDataReport!BQ:BQ),0)</f>
        <v>36197.480000000003</v>
      </c>
      <c r="BC55" s="88">
        <f>IFERROR(_xlfn.XLOOKUP($A55,CFR20252026_BenchMarkDataReport!$B:$B,CFR20252026_BenchMarkDataReport!BR:BR),0)</f>
        <v>0</v>
      </c>
      <c r="BD55" s="88">
        <f>IFERROR(_xlfn.XLOOKUP($A55,CFR20252026_BenchMarkDataReport!$B:$B,CFR20252026_BenchMarkDataReport!BS:BS),0)</f>
        <v>0</v>
      </c>
      <c r="BE55" s="88">
        <f>IFERROR(_xlfn.XLOOKUP($A55,CFR20252026_BenchMarkDataReport!$B:$B,CFR20252026_BenchMarkDataReport!BT:BT),0)</f>
        <v>0</v>
      </c>
      <c r="BF55" s="88">
        <f>IFERROR(_xlfn.XLOOKUP($A55,CFR20252026_BenchMarkDataReport!$B:$B,CFR20252026_BenchMarkDataReport!BU:BU),0)</f>
        <v>0</v>
      </c>
      <c r="BG55" s="88">
        <f>IFERROR(_xlfn.XLOOKUP($A55,CFR20252026_BenchMarkDataReport!$B:$B,CFR20252026_BenchMarkDataReport!BV:BV),0)</f>
        <v>0</v>
      </c>
      <c r="BH55" s="89">
        <f t="shared" si="0"/>
        <v>1624867.3900000004</v>
      </c>
      <c r="BI55" s="90">
        <f t="shared" si="88"/>
        <v>1870718.7500000005</v>
      </c>
      <c r="BJ55" s="126">
        <f t="shared" si="89"/>
        <v>-245851.3600000001</v>
      </c>
      <c r="BK55" s="88">
        <f>IFERROR(_xlfn.XLOOKUP(A55,CFR20252026_BenchMarkDataReport!$B:$B,CFR20252026_BenchMarkDataReport!P:P)+_xlfn.XLOOKUP(A55,CFR20252026_BenchMarkDataReport!$B:$B,CFR20252026_BenchMarkDataReport!Q:Q),0)</f>
        <v>-262675.64</v>
      </c>
      <c r="BL55" s="89">
        <f t="shared" si="1"/>
        <v>-508527.00000000012</v>
      </c>
      <c r="BM55" s="91">
        <f>SUMIFS(PP!I:I,PP!E:E,A55)</f>
        <v>184</v>
      </c>
      <c r="BN55" s="90">
        <f t="shared" si="133"/>
        <v>1378944.33</v>
      </c>
      <c r="BO55" t="s">
        <v>173</v>
      </c>
      <c r="BP55" s="92">
        <f t="shared" si="203"/>
        <v>0.77759183781760788</v>
      </c>
      <c r="BQ55" s="93">
        <f t="shared" si="204"/>
        <v>6866.7588043478263</v>
      </c>
      <c r="BR55" s="94">
        <f t="shared" si="205"/>
        <v>0</v>
      </c>
      <c r="BS55" s="95">
        <f t="shared" si="206"/>
        <v>0</v>
      </c>
      <c r="BT55" s="92">
        <f t="shared" si="207"/>
        <v>7.1058543429811827E-2</v>
      </c>
      <c r="BU55" s="93">
        <f t="shared" si="208"/>
        <v>627.50385869565218</v>
      </c>
      <c r="BV55" s="94">
        <f t="shared" si="209"/>
        <v>0</v>
      </c>
      <c r="BW55" s="95">
        <f t="shared" si="210"/>
        <v>0</v>
      </c>
      <c r="BX55" s="92">
        <f t="shared" si="211"/>
        <v>3.8913944848139259E-2</v>
      </c>
      <c r="BY55" s="93">
        <f t="shared" si="212"/>
        <v>343.64130434782606</v>
      </c>
      <c r="BZ55" s="94">
        <f t="shared" si="213"/>
        <v>2.0067791501434461E-2</v>
      </c>
      <c r="CA55" s="95">
        <f t="shared" si="214"/>
        <v>177.21467391304347</v>
      </c>
      <c r="CB55" s="92">
        <f t="shared" si="215"/>
        <v>4.5103243779173866E-2</v>
      </c>
      <c r="CC55" s="93">
        <f t="shared" si="216"/>
        <v>398.29777173913038</v>
      </c>
      <c r="CD55" s="94">
        <f t="shared" si="217"/>
        <v>9.831226903999837E-3</v>
      </c>
      <c r="CE55" s="96">
        <f t="shared" si="218"/>
        <v>86.817608695652169</v>
      </c>
      <c r="CF55" s="97">
        <f t="shared" si="219"/>
        <v>1.8480788146040639E-2</v>
      </c>
      <c r="CG55" s="98">
        <f t="shared" si="220"/>
        <v>163.20016304347828</v>
      </c>
      <c r="CH55" s="94">
        <f t="shared" si="221"/>
        <v>1.6635443708424718E-2</v>
      </c>
      <c r="CI55" s="95">
        <f t="shared" si="222"/>
        <v>146.90429347826085</v>
      </c>
      <c r="CJ55" s="99">
        <f t="shared" si="90"/>
        <v>0.63235754412217637</v>
      </c>
      <c r="CK55" s="97">
        <f t="shared" si="91"/>
        <v>0.536650470903967</v>
      </c>
      <c r="CL55" s="97">
        <f t="shared" si="92"/>
        <v>0.46612343517698734</v>
      </c>
      <c r="CM55" s="98">
        <f t="shared" si="93"/>
        <v>4739.0535326086956</v>
      </c>
      <c r="CN55" s="94">
        <f t="shared" si="94"/>
        <v>0.18250818725945231</v>
      </c>
      <c r="CO55" s="100">
        <f t="shared" si="95"/>
        <v>0.15488564269850966</v>
      </c>
      <c r="CP55" s="100">
        <f t="shared" si="96"/>
        <v>0.13453044718774532</v>
      </c>
      <c r="CQ55" s="101">
        <f t="shared" si="97"/>
        <v>1367.7642934782609</v>
      </c>
      <c r="CR55" s="99">
        <f t="shared" si="98"/>
        <v>6.0888999050454772E-2</v>
      </c>
      <c r="CS55" s="97">
        <f t="shared" si="99"/>
        <v>5.1673472257942214E-2</v>
      </c>
      <c r="CT55" s="97">
        <f t="shared" si="100"/>
        <v>4.4882503048627682E-2</v>
      </c>
      <c r="CU55" s="98">
        <f t="shared" si="101"/>
        <v>456.31815217391301</v>
      </c>
      <c r="CV55" s="94">
        <f t="shared" si="102"/>
        <v>5.2109522071859128E-2</v>
      </c>
      <c r="CW55" s="100">
        <f t="shared" si="103"/>
        <v>4.4222765772904085E-2</v>
      </c>
      <c r="CX55" s="100">
        <f t="shared" si="104"/>
        <v>3.8410974391527311E-2</v>
      </c>
      <c r="CY55" s="95">
        <f t="shared" si="105"/>
        <v>390.52244565217393</v>
      </c>
      <c r="CZ55" s="99">
        <f t="shared" si="106"/>
        <v>0.92729661537532848</v>
      </c>
      <c r="DA55" s="97">
        <f t="shared" si="107"/>
        <v>0.78695062616771438</v>
      </c>
      <c r="DB55" s="97">
        <f t="shared" si="108"/>
        <v>0.68352894308671452</v>
      </c>
      <c r="DC55" s="98">
        <f t="shared" si="109"/>
        <v>6949.4044021739137</v>
      </c>
      <c r="DD55" s="94">
        <f t="shared" si="110"/>
        <v>1.488753356707301E-2</v>
      </c>
      <c r="DE55" s="100">
        <f t="shared" si="111"/>
        <v>1.0973899737734492E-2</v>
      </c>
      <c r="DF55" s="95">
        <f t="shared" si="112"/>
        <v>111.57108695652175</v>
      </c>
      <c r="DG55" s="99">
        <f t="shared" si="113"/>
        <v>1.8720398242654055E-3</v>
      </c>
      <c r="DH55" s="98">
        <f t="shared" si="114"/>
        <v>19.032934782608695</v>
      </c>
      <c r="DI55" s="94">
        <f t="shared" si="115"/>
        <v>2.6488371724187006E-2</v>
      </c>
      <c r="DJ55" s="100">
        <f t="shared" si="116"/>
        <v>1.9525110335265519E-2</v>
      </c>
      <c r="DK55" s="95">
        <f t="shared" si="117"/>
        <v>198.5108152173913</v>
      </c>
      <c r="DL55" s="99">
        <f t="shared" si="118"/>
        <v>1.2638131664096983E-2</v>
      </c>
      <c r="DM55" s="97">
        <f t="shared" si="119"/>
        <v>9.3158204567094834E-3</v>
      </c>
      <c r="DN55" s="102">
        <f t="shared" si="120"/>
        <v>94.713478260869564</v>
      </c>
      <c r="DO55" s="94">
        <f t="shared" si="121"/>
        <v>2.9717972733533049E-2</v>
      </c>
      <c r="DP55" s="100">
        <f t="shared" si="122"/>
        <v>2.5220168890213245E-2</v>
      </c>
      <c r="DQ55" s="100">
        <f t="shared" si="123"/>
        <v>2.1905714047074146E-2</v>
      </c>
      <c r="DR55" s="95">
        <f t="shared" si="124"/>
        <v>222.71429347826088</v>
      </c>
      <c r="DS55" s="99">
        <f t="shared" si="125"/>
        <v>1.162536416535394E-2</v>
      </c>
      <c r="DT55" s="97">
        <f t="shared" si="126"/>
        <v>8.5692892103636613E-3</v>
      </c>
      <c r="DU55" s="98">
        <f t="shared" si="127"/>
        <v>87.123532608695655</v>
      </c>
      <c r="DV55" s="94">
        <f t="shared" si="128"/>
        <v>0.17878286645552977</v>
      </c>
      <c r="DW55" s="100">
        <f t="shared" si="129"/>
        <v>0.13178443846783486</v>
      </c>
      <c r="DX55" s="95">
        <f t="shared" si="130"/>
        <v>1339.8457608695651</v>
      </c>
      <c r="DY55" s="99">
        <f t="shared" si="131"/>
        <v>4.1700704608856873E-2</v>
      </c>
      <c r="DZ55" s="98">
        <f t="shared" si="132"/>
        <v>423.96896739130432</v>
      </c>
      <c r="EA55" s="94">
        <f t="shared" si="14"/>
        <v>4.4253311728446607E-3</v>
      </c>
      <c r="EB55" s="95">
        <f t="shared" si="84"/>
        <v>44.992119565217386</v>
      </c>
      <c r="EC55" s="103">
        <f>IFERROR(VLOOKUP(A55,PP!$E$3:$S$130,14,0),0)</f>
        <v>40</v>
      </c>
    </row>
    <row r="56" spans="1:133">
      <c r="A56" s="26">
        <v>2078</v>
      </c>
      <c r="B56" s="125">
        <v>10129</v>
      </c>
      <c r="C56" s="26" t="s">
        <v>79</v>
      </c>
      <c r="D56" s="88">
        <f>IFERROR(_xlfn.XLOOKUP($A56,CFR20252026_BenchMarkDataReport!$B:$B,CFR20252026_BenchMarkDataReport!S:S),0)</f>
        <v>1874777.5</v>
      </c>
      <c r="E56" s="88">
        <f>IFERROR(_xlfn.XLOOKUP($A56,CFR20252026_BenchMarkDataReport!$B:$B,CFR20252026_BenchMarkDataReport!T:T),0)</f>
        <v>0</v>
      </c>
      <c r="F56" s="88">
        <f>IFERROR(_xlfn.XLOOKUP($A56,CFR20252026_BenchMarkDataReport!$B:$B,CFR20252026_BenchMarkDataReport!U:U),0)</f>
        <v>75380.73</v>
      </c>
      <c r="G56" s="88">
        <f>IFERROR(_xlfn.XLOOKUP($A56,CFR20252026_BenchMarkDataReport!$B:$B,CFR20252026_BenchMarkDataReport!V:V),0)</f>
        <v>0</v>
      </c>
      <c r="H56" s="88">
        <f>IFERROR(_xlfn.XLOOKUP($A56,CFR20252026_BenchMarkDataReport!$B:$B,CFR20252026_BenchMarkDataReport!W:W),0)</f>
        <v>19695</v>
      </c>
      <c r="I56" s="88">
        <f>IFERROR(_xlfn.XLOOKUP($A56,CFR20252026_BenchMarkDataReport!$B:$B,CFR20252026_BenchMarkDataReport!X:X),0)</f>
        <v>136423.47</v>
      </c>
      <c r="J56" s="88">
        <f>IFERROR(_xlfn.XLOOKUP($A56,CFR20252026_BenchMarkDataReport!$B:$B,CFR20252026_BenchMarkDataReport!Y:Y),0)</f>
        <v>138394.18</v>
      </c>
      <c r="K56" s="88">
        <f>IFERROR(_xlfn.XLOOKUP($A56,CFR20252026_BenchMarkDataReport!$B:$B,CFR20252026_BenchMarkDataReport!Z:Z),0)</f>
        <v>12822.5</v>
      </c>
      <c r="L56" s="88">
        <f>IFERROR(_xlfn.XLOOKUP($A56,CFR20252026_BenchMarkDataReport!$B:$B,CFR20252026_BenchMarkDataReport!AA:AA),0)</f>
        <v>0</v>
      </c>
      <c r="M56" s="88">
        <f>IFERROR(_xlfn.XLOOKUP($A56,CFR20252026_BenchMarkDataReport!$B:$B,CFR20252026_BenchMarkDataReport!AB:AB),0)</f>
        <v>50908.76</v>
      </c>
      <c r="N56" s="88">
        <f>IFERROR(_xlfn.XLOOKUP($A56,CFR20252026_BenchMarkDataReport!$B:$B,CFR20252026_BenchMarkDataReport!AC:AC),0)</f>
        <v>5000</v>
      </c>
      <c r="O56" s="88">
        <f>IFERROR(_xlfn.XLOOKUP($A56,CFR20252026_BenchMarkDataReport!$B:$B,CFR20252026_BenchMarkDataReport!AD:AD),0)</f>
        <v>2275.1999999999998</v>
      </c>
      <c r="P56" s="88">
        <f>IFERROR(_xlfn.XLOOKUP($A56,CFR20252026_BenchMarkDataReport!$B:$B,CFR20252026_BenchMarkDataReport!AE:AE),0)</f>
        <v>20535.55</v>
      </c>
      <c r="Q56" s="88">
        <f>IFERROR(_xlfn.XLOOKUP($A56,CFR20252026_BenchMarkDataReport!$B:$B,CFR20252026_BenchMarkDataReport!AF:AF),0)</f>
        <v>286054.53999999998</v>
      </c>
      <c r="R56" s="88">
        <f>IFERROR(_xlfn.XLOOKUP($A56,CFR20252026_BenchMarkDataReport!$B:$B,CFR20252026_BenchMarkDataReport!AG:AG),0)</f>
        <v>0</v>
      </c>
      <c r="S56" s="88">
        <f>IFERROR(_xlfn.XLOOKUP($A56,CFR20252026_BenchMarkDataReport!$B:$B,CFR20252026_BenchMarkDataReport!AH:AH),0)</f>
        <v>0</v>
      </c>
      <c r="T56" s="88">
        <f>IFERROR(_xlfn.XLOOKUP($A56,CFR20252026_BenchMarkDataReport!$B:$B,CFR20252026_BenchMarkDataReport!AI:AI),0)</f>
        <v>0</v>
      </c>
      <c r="U56" s="88">
        <f>IFERROR(_xlfn.XLOOKUP($A56,CFR20252026_BenchMarkDataReport!$B:$B,CFR20252026_BenchMarkDataReport!AJ:AJ),0)</f>
        <v>1256142.81</v>
      </c>
      <c r="V56" s="88">
        <f>IFERROR(_xlfn.XLOOKUP($A56,CFR20252026_BenchMarkDataReport!$B:$B,CFR20252026_BenchMarkDataReport!AK:AK),0)</f>
        <v>0</v>
      </c>
      <c r="W56" s="88">
        <f>IFERROR(_xlfn.XLOOKUP($A56,CFR20252026_BenchMarkDataReport!$B:$B,CFR20252026_BenchMarkDataReport!AL:AL),0)</f>
        <v>329613.67</v>
      </c>
      <c r="X56" s="88">
        <f>IFERROR(_xlfn.XLOOKUP($A56,CFR20252026_BenchMarkDataReport!$B:$B,CFR20252026_BenchMarkDataReport!AM:AM),0)</f>
        <v>37460.65</v>
      </c>
      <c r="Y56" s="88">
        <f>IFERROR(_xlfn.XLOOKUP($A56,CFR20252026_BenchMarkDataReport!$B:$B,CFR20252026_BenchMarkDataReport!AN:AN),0)</f>
        <v>196363.13</v>
      </c>
      <c r="Z56" s="88">
        <f>IFERROR(_xlfn.XLOOKUP($A56,CFR20252026_BenchMarkDataReport!$B:$B,CFR20252026_BenchMarkDataReport!AO:AO),0)</f>
        <v>0</v>
      </c>
      <c r="AA56" s="88">
        <f>IFERROR(_xlfn.XLOOKUP($A56,CFR20252026_BenchMarkDataReport!$B:$B,CFR20252026_BenchMarkDataReport!AP:AP),0)</f>
        <v>36934.1</v>
      </c>
      <c r="AB56" s="88">
        <f>IFERROR(_xlfn.XLOOKUP($A56,CFR20252026_BenchMarkDataReport!$B:$B,CFR20252026_BenchMarkDataReport!AQ:AQ),0)</f>
        <v>7008.14</v>
      </c>
      <c r="AC56" s="88">
        <f>IFERROR(_xlfn.XLOOKUP($A56,CFR20252026_BenchMarkDataReport!$B:$B,CFR20252026_BenchMarkDataReport!AR:AR),0)</f>
        <v>3818.47</v>
      </c>
      <c r="AD56" s="88">
        <f>IFERROR(_xlfn.XLOOKUP($A56,CFR20252026_BenchMarkDataReport!$B:$B,CFR20252026_BenchMarkDataReport!AS:AS),0)</f>
        <v>10388.780000000001</v>
      </c>
      <c r="AE56" s="88">
        <f>IFERROR(_xlfn.XLOOKUP($A56,CFR20252026_BenchMarkDataReport!$B:$B,CFR20252026_BenchMarkDataReport!AT:AT),0)</f>
        <v>0</v>
      </c>
      <c r="AF56" s="88">
        <f>IFERROR(_xlfn.XLOOKUP($A56,CFR20252026_BenchMarkDataReport!$B:$B,CFR20252026_BenchMarkDataReport!AU:AU),0)</f>
        <v>30543.47</v>
      </c>
      <c r="AG56" s="88">
        <f>IFERROR(_xlfn.XLOOKUP($A56,CFR20252026_BenchMarkDataReport!$B:$B,CFR20252026_BenchMarkDataReport!AV:AV),0)</f>
        <v>0</v>
      </c>
      <c r="AH56" s="88">
        <f>IFERROR(_xlfn.XLOOKUP($A56,CFR20252026_BenchMarkDataReport!$B:$B,CFR20252026_BenchMarkDataReport!AW:AW),0)</f>
        <v>50139.57</v>
      </c>
      <c r="AI56" s="88">
        <f>IFERROR(_xlfn.XLOOKUP($A56,CFR20252026_BenchMarkDataReport!$B:$B,CFR20252026_BenchMarkDataReport!AX:AX),0)</f>
        <v>3744.47</v>
      </c>
      <c r="AJ56" s="88">
        <f>IFERROR(_xlfn.XLOOKUP($A56,CFR20252026_BenchMarkDataReport!$B:$B,CFR20252026_BenchMarkDataReport!AY:AY),0)</f>
        <v>43938.57</v>
      </c>
      <c r="AK56" s="88">
        <f>IFERROR(_xlfn.XLOOKUP($A56,CFR20252026_BenchMarkDataReport!$B:$B,CFR20252026_BenchMarkDataReport!AZ:AZ),0)</f>
        <v>21785.4</v>
      </c>
      <c r="AL56" s="88">
        <f>IFERROR(_xlfn.XLOOKUP($A56,CFR20252026_BenchMarkDataReport!$B:$B,CFR20252026_BenchMarkDataReport!BA:BA),0)</f>
        <v>84509.6</v>
      </c>
      <c r="AM56" s="88">
        <f>IFERROR(_xlfn.XLOOKUP($A56,CFR20252026_BenchMarkDataReport!$B:$B,CFR20252026_BenchMarkDataReport!BB:BB),0)</f>
        <v>101651.76</v>
      </c>
      <c r="AN56" s="88">
        <f>IFERROR(_xlfn.XLOOKUP($A56,CFR20252026_BenchMarkDataReport!$B:$B,CFR20252026_BenchMarkDataReport!BC:BC),0)</f>
        <v>0</v>
      </c>
      <c r="AO56" s="88">
        <f>IFERROR(_xlfn.XLOOKUP($A56,CFR20252026_BenchMarkDataReport!$B:$B,CFR20252026_BenchMarkDataReport!BD:BD),0)</f>
        <v>6922.07</v>
      </c>
      <c r="AP56" s="88">
        <f>IFERROR(_xlfn.XLOOKUP($A56,CFR20252026_BenchMarkDataReport!$B:$B,CFR20252026_BenchMarkDataReport!BE:BE),0)</f>
        <v>0</v>
      </c>
      <c r="AQ56" s="88">
        <f>IFERROR(_xlfn.XLOOKUP($A56,CFR20252026_BenchMarkDataReport!$B:$B,CFR20252026_BenchMarkDataReport!BF:BF),0)</f>
        <v>0</v>
      </c>
      <c r="AR56" s="88">
        <f>IFERROR(_xlfn.XLOOKUP($A56,CFR20252026_BenchMarkDataReport!$B:$B,CFR20252026_BenchMarkDataReport!BG:BG),0)</f>
        <v>0</v>
      </c>
      <c r="AS56" s="88">
        <f>IFERROR(_xlfn.XLOOKUP($A56,CFR20252026_BenchMarkDataReport!$B:$B,CFR20252026_BenchMarkDataReport!BH:BH),0)</f>
        <v>0</v>
      </c>
      <c r="AT56" s="88">
        <f>IFERROR(_xlfn.XLOOKUP($A56,CFR20252026_BenchMarkDataReport!$B:$B,CFR20252026_BenchMarkDataReport!BI:BI),0)</f>
        <v>0</v>
      </c>
      <c r="AU56" s="88">
        <f>IFERROR(_xlfn.XLOOKUP($A56,CFR20252026_BenchMarkDataReport!$B:$B,CFR20252026_BenchMarkDataReport!BJ:BJ),0)</f>
        <v>0</v>
      </c>
      <c r="AV56" s="88">
        <f>IFERROR(_xlfn.XLOOKUP($A56,CFR20252026_BenchMarkDataReport!$B:$B,CFR20252026_BenchMarkDataReport!BK:BK),0)</f>
        <v>13258.49</v>
      </c>
      <c r="AW56" s="88">
        <f>IFERROR(_xlfn.XLOOKUP($A56,CFR20252026_BenchMarkDataReport!$B:$B,CFR20252026_BenchMarkDataReport!BL:BL),0)</f>
        <v>8519.7099999999991</v>
      </c>
      <c r="AX56" s="88">
        <f>IFERROR(_xlfn.XLOOKUP($A56,CFR20252026_BenchMarkDataReport!$B:$B,CFR20252026_BenchMarkDataReport!BM:BM),0)</f>
        <v>12932.64</v>
      </c>
      <c r="AY56" s="88">
        <f>IFERROR(_xlfn.XLOOKUP($A56,CFR20252026_BenchMarkDataReport!$B:$B,CFR20252026_BenchMarkDataReport!BN:BN),0)</f>
        <v>165099.10999999999</v>
      </c>
      <c r="AZ56" s="88">
        <f>IFERROR(_xlfn.XLOOKUP($A56,CFR20252026_BenchMarkDataReport!$B:$B,CFR20252026_BenchMarkDataReport!BO:BO),0)</f>
        <v>50724.81</v>
      </c>
      <c r="BA56" s="88">
        <f>IFERROR(_xlfn.XLOOKUP($A56,CFR20252026_BenchMarkDataReport!$B:$B,CFR20252026_BenchMarkDataReport!BP:BP),0)</f>
        <v>70134.570000000007</v>
      </c>
      <c r="BB56" s="88">
        <f>IFERROR(_xlfn.XLOOKUP($A56,CFR20252026_BenchMarkDataReport!$B:$B,CFR20252026_BenchMarkDataReport!BQ:BQ),0)</f>
        <v>17672.23</v>
      </c>
      <c r="BC56" s="88">
        <f>IFERROR(_xlfn.XLOOKUP($A56,CFR20252026_BenchMarkDataReport!$B:$B,CFR20252026_BenchMarkDataReport!BR:BR),0)</f>
        <v>0</v>
      </c>
      <c r="BD56" s="88">
        <f>IFERROR(_xlfn.XLOOKUP($A56,CFR20252026_BenchMarkDataReport!$B:$B,CFR20252026_BenchMarkDataReport!BS:BS),0)</f>
        <v>0</v>
      </c>
      <c r="BE56" s="88">
        <f>IFERROR(_xlfn.XLOOKUP($A56,CFR20252026_BenchMarkDataReport!$B:$B,CFR20252026_BenchMarkDataReport!BT:BT),0)</f>
        <v>0</v>
      </c>
      <c r="BF56" s="88">
        <f>IFERROR(_xlfn.XLOOKUP($A56,CFR20252026_BenchMarkDataReport!$B:$B,CFR20252026_BenchMarkDataReport!BU:BU),0)</f>
        <v>0</v>
      </c>
      <c r="BG56" s="88">
        <f>IFERROR(_xlfn.XLOOKUP($A56,CFR20252026_BenchMarkDataReport!$B:$B,CFR20252026_BenchMarkDataReport!BV:BV),0)</f>
        <v>0</v>
      </c>
      <c r="BH56" s="89">
        <f t="shared" si="0"/>
        <v>2622267.4300000002</v>
      </c>
      <c r="BI56" s="90">
        <f t="shared" si="88"/>
        <v>2559306.2199999993</v>
      </c>
      <c r="BJ56" s="126">
        <f t="shared" si="89"/>
        <v>62961.210000000894</v>
      </c>
      <c r="BK56" s="88">
        <f>IFERROR(_xlfn.XLOOKUP(A56,CFR20252026_BenchMarkDataReport!$B:$B,CFR20252026_BenchMarkDataReport!P:P)+_xlfn.XLOOKUP(A56,CFR20252026_BenchMarkDataReport!$B:$B,CFR20252026_BenchMarkDataReport!Q:Q),0)</f>
        <v>-191311</v>
      </c>
      <c r="BL56" s="89">
        <f t="shared" si="1"/>
        <v>-128349.78999999911</v>
      </c>
      <c r="BM56" s="91">
        <f>SUMIFS(PP!I:I,PP!E:E,A56)</f>
        <v>355</v>
      </c>
      <c r="BN56" s="90">
        <f t="shared" si="133"/>
        <v>1950158.23</v>
      </c>
      <c r="BO56" t="s">
        <v>173</v>
      </c>
      <c r="BP56" s="92">
        <f t="shared" si="203"/>
        <v>0.71494519534950707</v>
      </c>
      <c r="BQ56" s="93">
        <f t="shared" si="204"/>
        <v>5281.0633802816901</v>
      </c>
      <c r="BR56" s="94">
        <f t="shared" si="205"/>
        <v>0</v>
      </c>
      <c r="BS56" s="95">
        <f t="shared" si="206"/>
        <v>0</v>
      </c>
      <c r="BT56" s="92">
        <f t="shared" si="207"/>
        <v>2.8746392964198921E-2</v>
      </c>
      <c r="BU56" s="93">
        <f t="shared" si="208"/>
        <v>212.34008450704223</v>
      </c>
      <c r="BV56" s="94">
        <f t="shared" si="209"/>
        <v>0</v>
      </c>
      <c r="BW56" s="95">
        <f t="shared" si="210"/>
        <v>0</v>
      </c>
      <c r="BX56" s="92">
        <f t="shared" si="211"/>
        <v>7.5106755987889452E-3</v>
      </c>
      <c r="BY56" s="93">
        <f t="shared" si="212"/>
        <v>55.478873239436616</v>
      </c>
      <c r="BZ56" s="94">
        <f t="shared" si="213"/>
        <v>5.2025002651998768E-2</v>
      </c>
      <c r="CA56" s="95">
        <f t="shared" si="214"/>
        <v>384.29146478873241</v>
      </c>
      <c r="CB56" s="92">
        <f t="shared" si="215"/>
        <v>5.2776531644600409E-2</v>
      </c>
      <c r="CC56" s="93">
        <f t="shared" si="216"/>
        <v>389.84276056338024</v>
      </c>
      <c r="CD56" s="94">
        <f t="shared" si="217"/>
        <v>4.8898521383839173E-3</v>
      </c>
      <c r="CE56" s="96">
        <f t="shared" si="218"/>
        <v>36.119718309859152</v>
      </c>
      <c r="CF56" s="97">
        <f t="shared" si="219"/>
        <v>7.8312188013561976E-3</v>
      </c>
      <c r="CG56" s="98">
        <f t="shared" si="220"/>
        <v>57.84661971830986</v>
      </c>
      <c r="CH56" s="94">
        <f t="shared" si="221"/>
        <v>0.10908671508000996</v>
      </c>
      <c r="CI56" s="95">
        <f t="shared" si="222"/>
        <v>805.78743661971828</v>
      </c>
      <c r="CJ56" s="99">
        <f t="shared" si="90"/>
        <v>0.67013414598670806</v>
      </c>
      <c r="CK56" s="97">
        <f t="shared" si="91"/>
        <v>0.49837312741210382</v>
      </c>
      <c r="CL56" s="97">
        <f t="shared" si="92"/>
        <v>0.51063354974380537</v>
      </c>
      <c r="CM56" s="98">
        <f t="shared" si="93"/>
        <v>3681.3172394366202</v>
      </c>
      <c r="CN56" s="94">
        <f t="shared" si="94"/>
        <v>0.16901893647881075</v>
      </c>
      <c r="CO56" s="100">
        <f t="shared" si="95"/>
        <v>0.12569796132502015</v>
      </c>
      <c r="CP56" s="100">
        <f t="shared" si="96"/>
        <v>0.12879024300577838</v>
      </c>
      <c r="CQ56" s="101">
        <f t="shared" si="97"/>
        <v>928.48921126760558</v>
      </c>
      <c r="CR56" s="99">
        <f t="shared" si="98"/>
        <v>1.920903105385454E-2</v>
      </c>
      <c r="CS56" s="97">
        <f t="shared" si="99"/>
        <v>1.4285594814408383E-2</v>
      </c>
      <c r="CT56" s="97">
        <f t="shared" si="100"/>
        <v>1.4637033156587261E-2</v>
      </c>
      <c r="CU56" s="98">
        <f t="shared" si="101"/>
        <v>105.52295774647888</v>
      </c>
      <c r="CV56" s="94">
        <f t="shared" si="102"/>
        <v>0.10069087060694558</v>
      </c>
      <c r="CW56" s="100">
        <f t="shared" si="103"/>
        <v>7.4882953490369206E-2</v>
      </c>
      <c r="CX56" s="100">
        <f t="shared" si="104"/>
        <v>7.6725140768813538E-2</v>
      </c>
      <c r="CY56" s="95">
        <f t="shared" si="105"/>
        <v>553.13557746478875</v>
      </c>
      <c r="CZ56" s="99">
        <f t="shared" si="106"/>
        <v>0.95198139896576484</v>
      </c>
      <c r="DA56" s="97">
        <f t="shared" si="107"/>
        <v>0.70798055864195353</v>
      </c>
      <c r="DB56" s="97">
        <f t="shared" si="108"/>
        <v>0.7253975102674507</v>
      </c>
      <c r="DC56" s="98">
        <f t="shared" si="109"/>
        <v>5229.6179154929578</v>
      </c>
      <c r="DD56" s="94">
        <f t="shared" si="110"/>
        <v>1.5662047073995631E-2</v>
      </c>
      <c r="DE56" s="100">
        <f t="shared" si="111"/>
        <v>1.1934277251121599E-2</v>
      </c>
      <c r="DF56" s="95">
        <f t="shared" si="112"/>
        <v>86.037943661971838</v>
      </c>
      <c r="DG56" s="99">
        <f t="shared" si="113"/>
        <v>1.4630800998873832E-3</v>
      </c>
      <c r="DH56" s="98">
        <f t="shared" si="114"/>
        <v>10.547802816901408</v>
      </c>
      <c r="DI56" s="94">
        <f t="shared" si="115"/>
        <v>2.2530771772298702E-2</v>
      </c>
      <c r="DJ56" s="100">
        <f t="shared" si="116"/>
        <v>1.7168156610817761E-2</v>
      </c>
      <c r="DK56" s="95">
        <f t="shared" si="117"/>
        <v>123.77061971830986</v>
      </c>
      <c r="DL56" s="99">
        <f t="shared" si="118"/>
        <v>4.3334740073886213E-2</v>
      </c>
      <c r="DM56" s="97">
        <f t="shared" si="119"/>
        <v>3.302051131653954E-2</v>
      </c>
      <c r="DN56" s="102">
        <f t="shared" si="120"/>
        <v>238.05521126760564</v>
      </c>
      <c r="DO56" s="94">
        <f t="shared" si="121"/>
        <v>5.2124878092584308E-2</v>
      </c>
      <c r="DP56" s="100">
        <f t="shared" si="122"/>
        <v>3.8764833379332321E-2</v>
      </c>
      <c r="DQ56" s="100">
        <f t="shared" si="123"/>
        <v>3.9718482769131092E-2</v>
      </c>
      <c r="DR56" s="95">
        <f t="shared" si="124"/>
        <v>286.34298591549293</v>
      </c>
      <c r="DS56" s="99">
        <f t="shared" si="125"/>
        <v>6.7986739722140392E-3</v>
      </c>
      <c r="DT56" s="97">
        <f t="shared" si="126"/>
        <v>5.1805016126597013E-3</v>
      </c>
      <c r="DU56" s="98">
        <f t="shared" si="127"/>
        <v>37.34785915492958</v>
      </c>
      <c r="DV56" s="94">
        <f t="shared" si="128"/>
        <v>3.5963527944088927E-2</v>
      </c>
      <c r="DW56" s="100">
        <f t="shared" si="129"/>
        <v>2.7403743034704157E-2</v>
      </c>
      <c r="DX56" s="95">
        <f t="shared" si="130"/>
        <v>197.56216901408453</v>
      </c>
      <c r="DY56" s="99">
        <f t="shared" si="131"/>
        <v>6.4509322374092473E-2</v>
      </c>
      <c r="DZ56" s="98">
        <f t="shared" si="132"/>
        <v>465.0679154929577</v>
      </c>
      <c r="EA56" s="94">
        <f t="shared" si="14"/>
        <v>1.9591078866678178E-2</v>
      </c>
      <c r="EB56" s="95">
        <f t="shared" si="84"/>
        <v>141.23822535211266</v>
      </c>
      <c r="EC56" s="103">
        <f>IFERROR(VLOOKUP(A56,PP!$E$3:$S$130,14,0),0)</f>
        <v>13</v>
      </c>
    </row>
    <row r="57" spans="1:133">
      <c r="A57" s="26">
        <v>2072</v>
      </c>
      <c r="B57" s="125">
        <v>10086</v>
      </c>
      <c r="C57" s="29" t="s">
        <v>428</v>
      </c>
      <c r="D57" s="88">
        <f>IFERROR(_xlfn.XLOOKUP($A57,CFR20252026_BenchMarkDataReport!$B:$B,CFR20252026_BenchMarkDataReport!S:S),0)</f>
        <v>3299286.3</v>
      </c>
      <c r="E57" s="88">
        <f>IFERROR(_xlfn.XLOOKUP($A57,CFR20252026_BenchMarkDataReport!$B:$B,CFR20252026_BenchMarkDataReport!T:T),0)</f>
        <v>0</v>
      </c>
      <c r="F57" s="88">
        <f>IFERROR(_xlfn.XLOOKUP($A57,CFR20252026_BenchMarkDataReport!$B:$B,CFR20252026_BenchMarkDataReport!U:U),0)</f>
        <v>929937.96</v>
      </c>
      <c r="G57" s="88">
        <f>IFERROR(_xlfn.XLOOKUP($A57,CFR20252026_BenchMarkDataReport!$B:$B,CFR20252026_BenchMarkDataReport!V:V),0)</f>
        <v>0</v>
      </c>
      <c r="H57" s="88">
        <f>IFERROR(_xlfn.XLOOKUP($A57,CFR20252026_BenchMarkDataReport!$B:$B,CFR20252026_BenchMarkDataReport!W:W),0)</f>
        <v>195316.24</v>
      </c>
      <c r="I57" s="88">
        <f>IFERROR(_xlfn.XLOOKUP($A57,CFR20252026_BenchMarkDataReport!$B:$B,CFR20252026_BenchMarkDataReport!X:X),0)</f>
        <v>93310.31</v>
      </c>
      <c r="J57" s="88">
        <f>IFERROR(_xlfn.XLOOKUP($A57,CFR20252026_BenchMarkDataReport!$B:$B,CFR20252026_BenchMarkDataReport!Y:Y),0)</f>
        <v>84768.37</v>
      </c>
      <c r="K57" s="88">
        <f>IFERROR(_xlfn.XLOOKUP($A57,CFR20252026_BenchMarkDataReport!$B:$B,CFR20252026_BenchMarkDataReport!Z:Z),0)</f>
        <v>10567.53</v>
      </c>
      <c r="L57" s="88">
        <f>IFERROR(_xlfn.XLOOKUP($A57,CFR20252026_BenchMarkDataReport!$B:$B,CFR20252026_BenchMarkDataReport!AA:AA),0)</f>
        <v>127729.65</v>
      </c>
      <c r="M57" s="88">
        <f>IFERROR(_xlfn.XLOOKUP($A57,CFR20252026_BenchMarkDataReport!$B:$B,CFR20252026_BenchMarkDataReport!AB:AB),0)</f>
        <v>7284.84</v>
      </c>
      <c r="N57" s="88">
        <f>IFERROR(_xlfn.XLOOKUP($A57,CFR20252026_BenchMarkDataReport!$B:$B,CFR20252026_BenchMarkDataReport!AC:AC),0)</f>
        <v>0</v>
      </c>
      <c r="O57" s="88">
        <f>IFERROR(_xlfn.XLOOKUP($A57,CFR20252026_BenchMarkDataReport!$B:$B,CFR20252026_BenchMarkDataReport!AD:AD),0)</f>
        <v>0</v>
      </c>
      <c r="P57" s="88">
        <f>IFERROR(_xlfn.XLOOKUP($A57,CFR20252026_BenchMarkDataReport!$B:$B,CFR20252026_BenchMarkDataReport!AE:AE),0)</f>
        <v>42170.35</v>
      </c>
      <c r="Q57" s="88">
        <f>IFERROR(_xlfn.XLOOKUP($A57,CFR20252026_BenchMarkDataReport!$B:$B,CFR20252026_BenchMarkDataReport!AF:AF),0)</f>
        <v>11979.77</v>
      </c>
      <c r="R57" s="88">
        <f>IFERROR(_xlfn.XLOOKUP($A57,CFR20252026_BenchMarkDataReport!$B:$B,CFR20252026_BenchMarkDataReport!AG:AG),0)</f>
        <v>0</v>
      </c>
      <c r="S57" s="88">
        <f>IFERROR(_xlfn.XLOOKUP($A57,CFR20252026_BenchMarkDataReport!$B:$B,CFR20252026_BenchMarkDataReport!AH:AH),0)</f>
        <v>0</v>
      </c>
      <c r="T57" s="88">
        <f>IFERROR(_xlfn.XLOOKUP($A57,CFR20252026_BenchMarkDataReport!$B:$B,CFR20252026_BenchMarkDataReport!AI:AI),0)</f>
        <v>0</v>
      </c>
      <c r="U57" s="88">
        <f>IFERROR(_xlfn.XLOOKUP($A57,CFR20252026_BenchMarkDataReport!$B:$B,CFR20252026_BenchMarkDataReport!AJ:AJ),0)</f>
        <v>1985552.75</v>
      </c>
      <c r="V57" s="88">
        <f>IFERROR(_xlfn.XLOOKUP($A57,CFR20252026_BenchMarkDataReport!$B:$B,CFR20252026_BenchMarkDataReport!AK:AK),0)</f>
        <v>0</v>
      </c>
      <c r="W57" s="88">
        <f>IFERROR(_xlfn.XLOOKUP($A57,CFR20252026_BenchMarkDataReport!$B:$B,CFR20252026_BenchMarkDataReport!AL:AL),0)</f>
        <v>1526653.85</v>
      </c>
      <c r="X57" s="88">
        <f>IFERROR(_xlfn.XLOOKUP($A57,CFR20252026_BenchMarkDataReport!$B:$B,CFR20252026_BenchMarkDataReport!AM:AM),0)</f>
        <v>71844.710000000006</v>
      </c>
      <c r="Y57" s="88">
        <f>IFERROR(_xlfn.XLOOKUP($A57,CFR20252026_BenchMarkDataReport!$B:$B,CFR20252026_BenchMarkDataReport!AN:AN),0)</f>
        <v>176373.48</v>
      </c>
      <c r="Z57" s="88">
        <f>IFERROR(_xlfn.XLOOKUP($A57,CFR20252026_BenchMarkDataReport!$B:$B,CFR20252026_BenchMarkDataReport!AO:AO),0)</f>
        <v>0</v>
      </c>
      <c r="AA57" s="88">
        <f>IFERROR(_xlfn.XLOOKUP($A57,CFR20252026_BenchMarkDataReport!$B:$B,CFR20252026_BenchMarkDataReport!AP:AP),0)</f>
        <v>77533.52</v>
      </c>
      <c r="AB57" s="88">
        <f>IFERROR(_xlfn.XLOOKUP($A57,CFR20252026_BenchMarkDataReport!$B:$B,CFR20252026_BenchMarkDataReport!AQ:AQ),0)</f>
        <v>19518.669999999998</v>
      </c>
      <c r="AC57" s="88">
        <f>IFERROR(_xlfn.XLOOKUP($A57,CFR20252026_BenchMarkDataReport!$B:$B,CFR20252026_BenchMarkDataReport!AR:AR),0)</f>
        <v>4209.1400000000003</v>
      </c>
      <c r="AD57" s="88">
        <f>IFERROR(_xlfn.XLOOKUP($A57,CFR20252026_BenchMarkDataReport!$B:$B,CFR20252026_BenchMarkDataReport!AS:AS),0)</f>
        <v>706.23</v>
      </c>
      <c r="AE57" s="88">
        <f>IFERROR(_xlfn.XLOOKUP($A57,CFR20252026_BenchMarkDataReport!$B:$B,CFR20252026_BenchMarkDataReport!AT:AT),0)</f>
        <v>0</v>
      </c>
      <c r="AF57" s="88">
        <f>IFERROR(_xlfn.XLOOKUP($A57,CFR20252026_BenchMarkDataReport!$B:$B,CFR20252026_BenchMarkDataReport!AU:AU),0)</f>
        <v>46907.79</v>
      </c>
      <c r="AG57" s="88">
        <f>IFERROR(_xlfn.XLOOKUP($A57,CFR20252026_BenchMarkDataReport!$B:$B,CFR20252026_BenchMarkDataReport!AV:AV),0)</f>
        <v>11437.2</v>
      </c>
      <c r="AH57" s="88">
        <f>IFERROR(_xlfn.XLOOKUP($A57,CFR20252026_BenchMarkDataReport!$B:$B,CFR20252026_BenchMarkDataReport!AW:AW),0)</f>
        <v>77385.31</v>
      </c>
      <c r="AI57" s="88">
        <f>IFERROR(_xlfn.XLOOKUP($A57,CFR20252026_BenchMarkDataReport!$B:$B,CFR20252026_BenchMarkDataReport!AX:AX),0)</f>
        <v>-3528.97</v>
      </c>
      <c r="AJ57" s="88">
        <f>IFERROR(_xlfn.XLOOKUP($A57,CFR20252026_BenchMarkDataReport!$B:$B,CFR20252026_BenchMarkDataReport!AY:AY),0)</f>
        <v>63643.199999999997</v>
      </c>
      <c r="AK57" s="88">
        <f>IFERROR(_xlfn.XLOOKUP($A57,CFR20252026_BenchMarkDataReport!$B:$B,CFR20252026_BenchMarkDataReport!AZ:AZ),0)</f>
        <v>49153.66</v>
      </c>
      <c r="AL57" s="88">
        <f>IFERROR(_xlfn.XLOOKUP($A57,CFR20252026_BenchMarkDataReport!$B:$B,CFR20252026_BenchMarkDataReport!BA:BA),0)</f>
        <v>24456.93</v>
      </c>
      <c r="AM57" s="88">
        <f>IFERROR(_xlfn.XLOOKUP($A57,CFR20252026_BenchMarkDataReport!$B:$B,CFR20252026_BenchMarkDataReport!BB:BB),0)</f>
        <v>115646.62</v>
      </c>
      <c r="AN57" s="88">
        <f>IFERROR(_xlfn.XLOOKUP($A57,CFR20252026_BenchMarkDataReport!$B:$B,CFR20252026_BenchMarkDataReport!BC:BC),0)</f>
        <v>7490</v>
      </c>
      <c r="AO57" s="88">
        <f>IFERROR(_xlfn.XLOOKUP($A57,CFR20252026_BenchMarkDataReport!$B:$B,CFR20252026_BenchMarkDataReport!BD:BD),0)</f>
        <v>0</v>
      </c>
      <c r="AP57" s="88">
        <f>IFERROR(_xlfn.XLOOKUP($A57,CFR20252026_BenchMarkDataReport!$B:$B,CFR20252026_BenchMarkDataReport!BE:BE),0)</f>
        <v>8623.5</v>
      </c>
      <c r="AQ57" s="88">
        <f>IFERROR(_xlfn.XLOOKUP($A57,CFR20252026_BenchMarkDataReport!$B:$B,CFR20252026_BenchMarkDataReport!BF:BF),0)</f>
        <v>23456.05</v>
      </c>
      <c r="AR57" s="88">
        <f>IFERROR(_xlfn.XLOOKUP($A57,CFR20252026_BenchMarkDataReport!$B:$B,CFR20252026_BenchMarkDataReport!BG:BG),0)</f>
        <v>5855.09</v>
      </c>
      <c r="AS57" s="88">
        <f>IFERROR(_xlfn.XLOOKUP($A57,CFR20252026_BenchMarkDataReport!$B:$B,CFR20252026_BenchMarkDataReport!BH:BH),0)</f>
        <v>728.27</v>
      </c>
      <c r="AT57" s="88">
        <f>IFERROR(_xlfn.XLOOKUP($A57,CFR20252026_BenchMarkDataReport!$B:$B,CFR20252026_BenchMarkDataReport!BI:BI),0)</f>
        <v>10688.64</v>
      </c>
      <c r="AU57" s="88">
        <f>IFERROR(_xlfn.XLOOKUP($A57,CFR20252026_BenchMarkDataReport!$B:$B,CFR20252026_BenchMarkDataReport!BJ:BJ),0)</f>
        <v>0</v>
      </c>
      <c r="AV57" s="88">
        <f>IFERROR(_xlfn.XLOOKUP($A57,CFR20252026_BenchMarkDataReport!$B:$B,CFR20252026_BenchMarkDataReport!BK:BK),0)</f>
        <v>7535.67</v>
      </c>
      <c r="AW57" s="88">
        <f>IFERROR(_xlfn.XLOOKUP($A57,CFR20252026_BenchMarkDataReport!$B:$B,CFR20252026_BenchMarkDataReport!BL:BL),0)</f>
        <v>18482.939999999999</v>
      </c>
      <c r="AX57" s="88">
        <f>IFERROR(_xlfn.XLOOKUP($A57,CFR20252026_BenchMarkDataReport!$B:$B,CFR20252026_BenchMarkDataReport!BM:BM),0)</f>
        <v>11516.11</v>
      </c>
      <c r="AY57" s="88">
        <f>IFERROR(_xlfn.XLOOKUP($A57,CFR20252026_BenchMarkDataReport!$B:$B,CFR20252026_BenchMarkDataReport!BN:BN),0)</f>
        <v>170993.89</v>
      </c>
      <c r="AZ57" s="88">
        <f>IFERROR(_xlfn.XLOOKUP($A57,CFR20252026_BenchMarkDataReport!$B:$B,CFR20252026_BenchMarkDataReport!BO:BO),0)</f>
        <v>56632.39</v>
      </c>
      <c r="BA57" s="88">
        <f>IFERROR(_xlfn.XLOOKUP($A57,CFR20252026_BenchMarkDataReport!$B:$B,CFR20252026_BenchMarkDataReport!BP:BP),0)</f>
        <v>414300.04</v>
      </c>
      <c r="BB57" s="88">
        <f>IFERROR(_xlfn.XLOOKUP($A57,CFR20252026_BenchMarkDataReport!$B:$B,CFR20252026_BenchMarkDataReport!BQ:BQ),0)</f>
        <v>24414.16</v>
      </c>
      <c r="BC57" s="88">
        <f>IFERROR(_xlfn.XLOOKUP($A57,CFR20252026_BenchMarkDataReport!$B:$B,CFR20252026_BenchMarkDataReport!BR:BR),0)</f>
        <v>0</v>
      </c>
      <c r="BD57" s="88">
        <f>IFERROR(_xlfn.XLOOKUP($A57,CFR20252026_BenchMarkDataReport!$B:$B,CFR20252026_BenchMarkDataReport!BS:BS),0)</f>
        <v>0</v>
      </c>
      <c r="BE57" s="88">
        <f>IFERROR(_xlfn.XLOOKUP($A57,CFR20252026_BenchMarkDataReport!$B:$B,CFR20252026_BenchMarkDataReport!BT:BT),0)</f>
        <v>19531.48</v>
      </c>
      <c r="BF57" s="88">
        <f>IFERROR(_xlfn.XLOOKUP($A57,CFR20252026_BenchMarkDataReport!$B:$B,CFR20252026_BenchMarkDataReport!BU:BU),0)</f>
        <v>0</v>
      </c>
      <c r="BG57" s="88">
        <f>IFERROR(_xlfn.XLOOKUP($A57,CFR20252026_BenchMarkDataReport!$B:$B,CFR20252026_BenchMarkDataReport!BV:BV),0)</f>
        <v>0</v>
      </c>
      <c r="BH57" s="89">
        <f t="shared" si="0"/>
        <v>4802351.3199999994</v>
      </c>
      <c r="BI57" s="90">
        <f t="shared" si="88"/>
        <v>5027742.32</v>
      </c>
      <c r="BJ57" s="126">
        <f t="shared" si="89"/>
        <v>-225391.00000000093</v>
      </c>
      <c r="BK57" s="88">
        <f>IFERROR(_xlfn.XLOOKUP(A57,CFR20252026_BenchMarkDataReport!$B:$B,CFR20252026_BenchMarkDataReport!P:P)+_xlfn.XLOOKUP(A57,CFR20252026_BenchMarkDataReport!$B:$B,CFR20252026_BenchMarkDataReport!Q:Q),0)</f>
        <v>143132</v>
      </c>
      <c r="BL57" s="89">
        <f t="shared" si="1"/>
        <v>-82259.000000000931</v>
      </c>
      <c r="BM57" s="91">
        <f>SUMIFS(PP!I:I,PP!E:E,A57)</f>
        <v>268</v>
      </c>
      <c r="BN57" s="90">
        <f t="shared" si="133"/>
        <v>4229224.26</v>
      </c>
      <c r="BO57" t="s">
        <v>173</v>
      </c>
      <c r="BP57" s="92">
        <f t="shared" si="203"/>
        <v>0.6870147725885245</v>
      </c>
      <c r="BQ57" s="93">
        <f t="shared" si="204"/>
        <v>12310.769776119403</v>
      </c>
      <c r="BR57" s="94">
        <f t="shared" si="205"/>
        <v>0</v>
      </c>
      <c r="BS57" s="95">
        <f t="shared" si="206"/>
        <v>0</v>
      </c>
      <c r="BT57" s="92">
        <f t="shared" si="207"/>
        <v>0.19364221774595203</v>
      </c>
      <c r="BU57" s="93">
        <f t="shared" si="208"/>
        <v>3469.9177611940299</v>
      </c>
      <c r="BV57" s="94">
        <f t="shared" si="209"/>
        <v>0</v>
      </c>
      <c r="BW57" s="95">
        <f t="shared" si="210"/>
        <v>0</v>
      </c>
      <c r="BX57" s="92">
        <f t="shared" si="211"/>
        <v>4.0670960324493716E-2</v>
      </c>
      <c r="BY57" s="93">
        <f t="shared" si="212"/>
        <v>728.79194029850748</v>
      </c>
      <c r="BZ57" s="94">
        <f t="shared" si="213"/>
        <v>1.9430129905614654E-2</v>
      </c>
      <c r="CA57" s="95">
        <f t="shared" si="214"/>
        <v>348.17279850746269</v>
      </c>
      <c r="CB57" s="92">
        <f t="shared" si="215"/>
        <v>1.7651430383064937E-2</v>
      </c>
      <c r="CC57" s="93">
        <f t="shared" si="216"/>
        <v>316.29988805970146</v>
      </c>
      <c r="CD57" s="94">
        <f t="shared" si="217"/>
        <v>2.8797805654918227E-2</v>
      </c>
      <c r="CE57" s="96">
        <f t="shared" si="218"/>
        <v>516.03425373134326</v>
      </c>
      <c r="CF57" s="97">
        <f t="shared" si="219"/>
        <v>8.7811880451928292E-3</v>
      </c>
      <c r="CG57" s="98">
        <f t="shared" si="220"/>
        <v>157.35205223880595</v>
      </c>
      <c r="CH57" s="94">
        <f t="shared" si="221"/>
        <v>2.494563433980503E-3</v>
      </c>
      <c r="CI57" s="95">
        <f t="shared" si="222"/>
        <v>44.700634328358213</v>
      </c>
      <c r="CJ57" s="99">
        <f t="shared" si="90"/>
        <v>0.48287463952077114</v>
      </c>
      <c r="CK57" s="97">
        <f t="shared" si="91"/>
        <v>0.42524692674920755</v>
      </c>
      <c r="CL57" s="97">
        <f t="shared" si="92"/>
        <v>0.40618333439172749</v>
      </c>
      <c r="CM57" s="98">
        <f t="shared" si="93"/>
        <v>7620.0938059701484</v>
      </c>
      <c r="CN57" s="94">
        <f t="shared" si="94"/>
        <v>0.36097727529823642</v>
      </c>
      <c r="CO57" s="100">
        <f t="shared" si="95"/>
        <v>0.31789716084328462</v>
      </c>
      <c r="CP57" s="100">
        <f t="shared" si="96"/>
        <v>0.30364600109418494</v>
      </c>
      <c r="CQ57" s="101">
        <f t="shared" si="97"/>
        <v>5696.4695895522391</v>
      </c>
      <c r="CR57" s="99">
        <f t="shared" si="98"/>
        <v>1.6987680383730705E-2</v>
      </c>
      <c r="CS57" s="97">
        <f t="shared" si="99"/>
        <v>1.4960319479500307E-2</v>
      </c>
      <c r="CT57" s="97">
        <f t="shared" si="100"/>
        <v>1.428965635613561E-2</v>
      </c>
      <c r="CU57" s="98">
        <f t="shared" si="101"/>
        <v>268.077276119403</v>
      </c>
      <c r="CV57" s="94">
        <f t="shared" si="102"/>
        <v>4.1703506164981662E-2</v>
      </c>
      <c r="CW57" s="100">
        <f t="shared" si="103"/>
        <v>3.6726484225648039E-2</v>
      </c>
      <c r="CX57" s="100">
        <f t="shared" si="104"/>
        <v>3.5080055574526738E-2</v>
      </c>
      <c r="CY57" s="95">
        <f t="shared" si="105"/>
        <v>658.11</v>
      </c>
      <c r="CZ57" s="99">
        <f t="shared" si="106"/>
        <v>0.90748517317925348</v>
      </c>
      <c r="DA57" s="97">
        <f t="shared" si="107"/>
        <v>0.79918316138520251</v>
      </c>
      <c r="DB57" s="97">
        <f t="shared" si="108"/>
        <v>0.76335620756315925</v>
      </c>
      <c r="DC57" s="98">
        <f t="shared" si="109"/>
        <v>14320.739962686568</v>
      </c>
      <c r="DD57" s="94">
        <f t="shared" si="110"/>
        <v>1.1091346099485394E-2</v>
      </c>
      <c r="DE57" s="100">
        <f t="shared" si="111"/>
        <v>9.3297919850434969E-3</v>
      </c>
      <c r="DF57" s="95">
        <f t="shared" si="112"/>
        <v>175.02906716417911</v>
      </c>
      <c r="DG57" s="99">
        <f t="shared" si="113"/>
        <v>-7.0189953569458187E-4</v>
      </c>
      <c r="DH57" s="98">
        <f t="shared" si="114"/>
        <v>-13.167798507462686</v>
      </c>
      <c r="DI57" s="94">
        <f t="shared" si="115"/>
        <v>1.5048433492150638E-2</v>
      </c>
      <c r="DJ57" s="100">
        <f t="shared" si="116"/>
        <v>1.2658405293929222E-2</v>
      </c>
      <c r="DK57" s="95">
        <f t="shared" si="117"/>
        <v>237.47462686567164</v>
      </c>
      <c r="DL57" s="99">
        <f t="shared" si="118"/>
        <v>5.7828406574022637E-3</v>
      </c>
      <c r="DM57" s="97">
        <f t="shared" si="119"/>
        <v>4.8643960735044196E-3</v>
      </c>
      <c r="DN57" s="102">
        <f t="shared" si="120"/>
        <v>91.25720149253732</v>
      </c>
      <c r="DO57" s="94">
        <f t="shared" si="121"/>
        <v>2.7344641213232802E-2</v>
      </c>
      <c r="DP57" s="100">
        <f t="shared" si="122"/>
        <v>2.4081249432621687E-2</v>
      </c>
      <c r="DQ57" s="100">
        <f t="shared" si="123"/>
        <v>2.3001699896187198E-2</v>
      </c>
      <c r="DR57" s="95">
        <f t="shared" si="124"/>
        <v>431.51723880597012</v>
      </c>
      <c r="DS57" s="99">
        <f t="shared" si="125"/>
        <v>1.7818090355889522E-3</v>
      </c>
      <c r="DT57" s="97">
        <f t="shared" si="126"/>
        <v>1.4988178630443414E-3</v>
      </c>
      <c r="DU57" s="98">
        <f t="shared" si="127"/>
        <v>28.118171641791044</v>
      </c>
      <c r="DV57" s="94">
        <f t="shared" si="128"/>
        <v>9.7961236985810732E-2</v>
      </c>
      <c r="DW57" s="100">
        <f t="shared" si="129"/>
        <v>8.2402799036049232E-2</v>
      </c>
      <c r="DX57" s="95">
        <f t="shared" si="130"/>
        <v>1545.8956716417911</v>
      </c>
      <c r="DY57" s="99">
        <f t="shared" si="131"/>
        <v>3.4010074326959544E-2</v>
      </c>
      <c r="DZ57" s="98">
        <f t="shared" si="132"/>
        <v>638.03690298507468</v>
      </c>
      <c r="EA57" s="94">
        <f t="shared" si="14"/>
        <v>1.5391661917948093E-2</v>
      </c>
      <c r="EB57" s="95">
        <f t="shared" si="84"/>
        <v>288.75115671641788</v>
      </c>
      <c r="EC57" s="103">
        <f>IFERROR(VLOOKUP(A57,PP!$E$3:$S$130,14,0),0)</f>
        <v>94</v>
      </c>
    </row>
    <row r="58" spans="1:133">
      <c r="A58" s="26">
        <v>3512</v>
      </c>
      <c r="B58" s="125">
        <v>10112</v>
      </c>
      <c r="C58" s="26" t="s">
        <v>81</v>
      </c>
      <c r="D58" s="88">
        <f>IFERROR(_xlfn.XLOOKUP($A58,CFR20252026_BenchMarkDataReport!$B:$B,CFR20252026_BenchMarkDataReport!S:S),0)</f>
        <v>2025863.45</v>
      </c>
      <c r="E58" s="88">
        <f>IFERROR(_xlfn.XLOOKUP($A58,CFR20252026_BenchMarkDataReport!$B:$B,CFR20252026_BenchMarkDataReport!T:T),0)</f>
        <v>0</v>
      </c>
      <c r="F58" s="88">
        <f>IFERROR(_xlfn.XLOOKUP($A58,CFR20252026_BenchMarkDataReport!$B:$B,CFR20252026_BenchMarkDataReport!U:U),0)</f>
        <v>79706.679999999993</v>
      </c>
      <c r="G58" s="88">
        <f>IFERROR(_xlfn.XLOOKUP($A58,CFR20252026_BenchMarkDataReport!$B:$B,CFR20252026_BenchMarkDataReport!V:V),0)</f>
        <v>0</v>
      </c>
      <c r="H58" s="88">
        <f>IFERROR(_xlfn.XLOOKUP($A58,CFR20252026_BenchMarkDataReport!$B:$B,CFR20252026_BenchMarkDataReport!W:W),0)</f>
        <v>7575</v>
      </c>
      <c r="I58" s="88">
        <f>IFERROR(_xlfn.XLOOKUP($A58,CFR20252026_BenchMarkDataReport!$B:$B,CFR20252026_BenchMarkDataReport!X:X),0)</f>
        <v>106565.55</v>
      </c>
      <c r="J58" s="88">
        <f>IFERROR(_xlfn.XLOOKUP($A58,CFR20252026_BenchMarkDataReport!$B:$B,CFR20252026_BenchMarkDataReport!Y:Y),0)</f>
        <v>157342.75</v>
      </c>
      <c r="K58" s="88">
        <f>IFERROR(_xlfn.XLOOKUP($A58,CFR20252026_BenchMarkDataReport!$B:$B,CFR20252026_BenchMarkDataReport!Z:Z),0)</f>
        <v>11375</v>
      </c>
      <c r="L58" s="88">
        <f>IFERROR(_xlfn.XLOOKUP($A58,CFR20252026_BenchMarkDataReport!$B:$B,CFR20252026_BenchMarkDataReport!AA:AA),0)</f>
        <v>60358.879999999997</v>
      </c>
      <c r="M58" s="88">
        <f>IFERROR(_xlfn.XLOOKUP($A58,CFR20252026_BenchMarkDataReport!$B:$B,CFR20252026_BenchMarkDataReport!AB:AB),0)</f>
        <v>54701.27</v>
      </c>
      <c r="N58" s="88">
        <f>IFERROR(_xlfn.XLOOKUP($A58,CFR20252026_BenchMarkDataReport!$B:$B,CFR20252026_BenchMarkDataReport!AC:AC),0)</f>
        <v>0</v>
      </c>
      <c r="O58" s="88">
        <f>IFERROR(_xlfn.XLOOKUP($A58,CFR20252026_BenchMarkDataReport!$B:$B,CFR20252026_BenchMarkDataReport!AD:AD),0)</f>
        <v>0</v>
      </c>
      <c r="P58" s="88">
        <f>IFERROR(_xlfn.XLOOKUP($A58,CFR20252026_BenchMarkDataReport!$B:$B,CFR20252026_BenchMarkDataReport!AE:AE),0)</f>
        <v>206912.7</v>
      </c>
      <c r="Q58" s="88">
        <f>IFERROR(_xlfn.XLOOKUP($A58,CFR20252026_BenchMarkDataReport!$B:$B,CFR20252026_BenchMarkDataReport!AF:AF),0)</f>
        <v>421084.28</v>
      </c>
      <c r="R58" s="88">
        <f>IFERROR(_xlfn.XLOOKUP($A58,CFR20252026_BenchMarkDataReport!$B:$B,CFR20252026_BenchMarkDataReport!AG:AG),0)</f>
        <v>0</v>
      </c>
      <c r="S58" s="88">
        <f>IFERROR(_xlfn.XLOOKUP($A58,CFR20252026_BenchMarkDataReport!$B:$B,CFR20252026_BenchMarkDataReport!AH:AH),0)</f>
        <v>0</v>
      </c>
      <c r="T58" s="88">
        <f>IFERROR(_xlfn.XLOOKUP($A58,CFR20252026_BenchMarkDataReport!$B:$B,CFR20252026_BenchMarkDataReport!AI:AI),0)</f>
        <v>0</v>
      </c>
      <c r="U58" s="88">
        <f>IFERROR(_xlfn.XLOOKUP($A58,CFR20252026_BenchMarkDataReport!$B:$B,CFR20252026_BenchMarkDataReport!AJ:AJ),0)</f>
        <v>1572125.11</v>
      </c>
      <c r="V58" s="88">
        <f>IFERROR(_xlfn.XLOOKUP($A58,CFR20252026_BenchMarkDataReport!$B:$B,CFR20252026_BenchMarkDataReport!AK:AK),0)</f>
        <v>35403.629999999997</v>
      </c>
      <c r="W58" s="88">
        <f>IFERROR(_xlfn.XLOOKUP($A58,CFR20252026_BenchMarkDataReport!$B:$B,CFR20252026_BenchMarkDataReport!AL:AL),0)</f>
        <v>370875.81</v>
      </c>
      <c r="X58" s="88">
        <f>IFERROR(_xlfn.XLOOKUP($A58,CFR20252026_BenchMarkDataReport!$B:$B,CFR20252026_BenchMarkDataReport!AM:AM),0)</f>
        <v>82363.13</v>
      </c>
      <c r="Y58" s="88">
        <f>IFERROR(_xlfn.XLOOKUP($A58,CFR20252026_BenchMarkDataReport!$B:$B,CFR20252026_BenchMarkDataReport!AN:AN),0)</f>
        <v>205388.13</v>
      </c>
      <c r="Z58" s="88">
        <f>IFERROR(_xlfn.XLOOKUP($A58,CFR20252026_BenchMarkDataReport!$B:$B,CFR20252026_BenchMarkDataReport!AO:AO),0)</f>
        <v>0</v>
      </c>
      <c r="AA58" s="88">
        <f>IFERROR(_xlfn.XLOOKUP($A58,CFR20252026_BenchMarkDataReport!$B:$B,CFR20252026_BenchMarkDataReport!AP:AP),0)</f>
        <v>48099.43</v>
      </c>
      <c r="AB58" s="88">
        <f>IFERROR(_xlfn.XLOOKUP($A58,CFR20252026_BenchMarkDataReport!$B:$B,CFR20252026_BenchMarkDataReport!AQ:AQ),0)</f>
        <v>4458.51</v>
      </c>
      <c r="AC58" s="88">
        <f>IFERROR(_xlfn.XLOOKUP($A58,CFR20252026_BenchMarkDataReport!$B:$B,CFR20252026_BenchMarkDataReport!AR:AR),0)</f>
        <v>6153.92</v>
      </c>
      <c r="AD58" s="88">
        <f>IFERROR(_xlfn.XLOOKUP($A58,CFR20252026_BenchMarkDataReport!$B:$B,CFR20252026_BenchMarkDataReport!AS:AS),0)</f>
        <v>2364.8200000000002</v>
      </c>
      <c r="AE58" s="88">
        <f>IFERROR(_xlfn.XLOOKUP($A58,CFR20252026_BenchMarkDataReport!$B:$B,CFR20252026_BenchMarkDataReport!AT:AT),0)</f>
        <v>0</v>
      </c>
      <c r="AF58" s="88">
        <f>IFERROR(_xlfn.XLOOKUP($A58,CFR20252026_BenchMarkDataReport!$B:$B,CFR20252026_BenchMarkDataReport!AU:AU),0)</f>
        <v>28909.43</v>
      </c>
      <c r="AG58" s="88">
        <f>IFERROR(_xlfn.XLOOKUP($A58,CFR20252026_BenchMarkDataReport!$B:$B,CFR20252026_BenchMarkDataReport!AV:AV),0)</f>
        <v>137.65</v>
      </c>
      <c r="AH58" s="88">
        <f>IFERROR(_xlfn.XLOOKUP($A58,CFR20252026_BenchMarkDataReport!$B:$B,CFR20252026_BenchMarkDataReport!AW:AW),0)</f>
        <v>61479.79</v>
      </c>
      <c r="AI58" s="88">
        <f>IFERROR(_xlfn.XLOOKUP($A58,CFR20252026_BenchMarkDataReport!$B:$B,CFR20252026_BenchMarkDataReport!AX:AX),0)</f>
        <v>4403.57</v>
      </c>
      <c r="AJ58" s="88">
        <f>IFERROR(_xlfn.XLOOKUP($A58,CFR20252026_BenchMarkDataReport!$B:$B,CFR20252026_BenchMarkDataReport!AY:AY),0)</f>
        <v>68908.160000000003</v>
      </c>
      <c r="AK58" s="88">
        <f>IFERROR(_xlfn.XLOOKUP($A58,CFR20252026_BenchMarkDataReport!$B:$B,CFR20252026_BenchMarkDataReport!AZ:AZ),0)</f>
        <v>15431.38</v>
      </c>
      <c r="AL58" s="88">
        <f>IFERROR(_xlfn.XLOOKUP($A58,CFR20252026_BenchMarkDataReport!$B:$B,CFR20252026_BenchMarkDataReport!BA:BA),0)</f>
        <v>98542.83</v>
      </c>
      <c r="AM58" s="88">
        <f>IFERROR(_xlfn.XLOOKUP($A58,CFR20252026_BenchMarkDataReport!$B:$B,CFR20252026_BenchMarkDataReport!BB:BB),0)</f>
        <v>95669.28</v>
      </c>
      <c r="AN58" s="88">
        <f>IFERROR(_xlfn.XLOOKUP($A58,CFR20252026_BenchMarkDataReport!$B:$B,CFR20252026_BenchMarkDataReport!BC:BC),0)</f>
        <v>7748.48</v>
      </c>
      <c r="AO58" s="88">
        <f>IFERROR(_xlfn.XLOOKUP($A58,CFR20252026_BenchMarkDataReport!$B:$B,CFR20252026_BenchMarkDataReport!BD:BD),0)</f>
        <v>0</v>
      </c>
      <c r="AP58" s="88">
        <f>IFERROR(_xlfn.XLOOKUP($A58,CFR20252026_BenchMarkDataReport!$B:$B,CFR20252026_BenchMarkDataReport!BE:BE),0)</f>
        <v>4584</v>
      </c>
      <c r="AQ58" s="88">
        <f>IFERROR(_xlfn.XLOOKUP($A58,CFR20252026_BenchMarkDataReport!$B:$B,CFR20252026_BenchMarkDataReport!BF:BF),0)</f>
        <v>12088.94</v>
      </c>
      <c r="AR58" s="88">
        <f>IFERROR(_xlfn.XLOOKUP($A58,CFR20252026_BenchMarkDataReport!$B:$B,CFR20252026_BenchMarkDataReport!BG:BG),0)</f>
        <v>4135.7700000000004</v>
      </c>
      <c r="AS58" s="88">
        <f>IFERROR(_xlfn.XLOOKUP($A58,CFR20252026_BenchMarkDataReport!$B:$B,CFR20252026_BenchMarkDataReport!BH:BH),0)</f>
        <v>521.53</v>
      </c>
      <c r="AT58" s="88">
        <f>IFERROR(_xlfn.XLOOKUP($A58,CFR20252026_BenchMarkDataReport!$B:$B,CFR20252026_BenchMarkDataReport!BI:BI),0)</f>
        <v>15680</v>
      </c>
      <c r="AU58" s="88">
        <f>IFERROR(_xlfn.XLOOKUP($A58,CFR20252026_BenchMarkDataReport!$B:$B,CFR20252026_BenchMarkDataReport!BJ:BJ),0)</f>
        <v>0</v>
      </c>
      <c r="AV58" s="88">
        <f>IFERROR(_xlfn.XLOOKUP($A58,CFR20252026_BenchMarkDataReport!$B:$B,CFR20252026_BenchMarkDataReport!BK:BK),0)</f>
        <v>11819.03</v>
      </c>
      <c r="AW58" s="88">
        <f>IFERROR(_xlfn.XLOOKUP($A58,CFR20252026_BenchMarkDataReport!$B:$B,CFR20252026_BenchMarkDataReport!BL:BL),0)</f>
        <v>18188.419999999998</v>
      </c>
      <c r="AX58" s="88">
        <f>IFERROR(_xlfn.XLOOKUP($A58,CFR20252026_BenchMarkDataReport!$B:$B,CFR20252026_BenchMarkDataReport!BM:BM),0)</f>
        <v>16289.11</v>
      </c>
      <c r="AY58" s="88">
        <f>IFERROR(_xlfn.XLOOKUP($A58,CFR20252026_BenchMarkDataReport!$B:$B,CFR20252026_BenchMarkDataReport!BN:BN),0)</f>
        <v>228742.68</v>
      </c>
      <c r="AZ58" s="88">
        <f>IFERROR(_xlfn.XLOOKUP($A58,CFR20252026_BenchMarkDataReport!$B:$B,CFR20252026_BenchMarkDataReport!BO:BO),0)</f>
        <v>7948</v>
      </c>
      <c r="BA58" s="88">
        <f>IFERROR(_xlfn.XLOOKUP($A58,CFR20252026_BenchMarkDataReport!$B:$B,CFR20252026_BenchMarkDataReport!BP:BP),0)</f>
        <v>290487.78999999998</v>
      </c>
      <c r="BB58" s="88">
        <f>IFERROR(_xlfn.XLOOKUP($A58,CFR20252026_BenchMarkDataReport!$B:$B,CFR20252026_BenchMarkDataReport!BQ:BQ),0)</f>
        <v>23356.6</v>
      </c>
      <c r="BC58" s="88">
        <f>IFERROR(_xlfn.XLOOKUP($A58,CFR20252026_BenchMarkDataReport!$B:$B,CFR20252026_BenchMarkDataReport!BR:BR),0)</f>
        <v>0</v>
      </c>
      <c r="BD58" s="88">
        <f>IFERROR(_xlfn.XLOOKUP($A58,CFR20252026_BenchMarkDataReport!$B:$B,CFR20252026_BenchMarkDataReport!BS:BS),0)</f>
        <v>0</v>
      </c>
      <c r="BE58" s="88">
        <f>IFERROR(_xlfn.XLOOKUP($A58,CFR20252026_BenchMarkDataReport!$B:$B,CFR20252026_BenchMarkDataReport!BT:BT),0)</f>
        <v>6750</v>
      </c>
      <c r="BF58" s="88">
        <f>IFERROR(_xlfn.XLOOKUP($A58,CFR20252026_BenchMarkDataReport!$B:$B,CFR20252026_BenchMarkDataReport!BU:BU),0)</f>
        <v>0</v>
      </c>
      <c r="BG58" s="88">
        <f>IFERROR(_xlfn.XLOOKUP($A58,CFR20252026_BenchMarkDataReport!$B:$B,CFR20252026_BenchMarkDataReport!BV:BV),0)</f>
        <v>0</v>
      </c>
      <c r="BH58" s="89">
        <f t="shared" si="0"/>
        <v>3131485.5599999996</v>
      </c>
      <c r="BI58" s="90">
        <f t="shared" si="88"/>
        <v>3349054.9299999992</v>
      </c>
      <c r="BJ58" s="126">
        <f t="shared" si="89"/>
        <v>-217569.36999999965</v>
      </c>
      <c r="BK58" s="88">
        <f>IFERROR(_xlfn.XLOOKUP(A58,CFR20252026_BenchMarkDataReport!$B:$B,CFR20252026_BenchMarkDataReport!P:P)+_xlfn.XLOOKUP(A58,CFR20252026_BenchMarkDataReport!$B:$B,CFR20252026_BenchMarkDataReport!Q:Q),0)</f>
        <v>-29913.63</v>
      </c>
      <c r="BL58" s="89">
        <f t="shared" si="1"/>
        <v>-247482.99999999965</v>
      </c>
      <c r="BM58" s="91">
        <f>SUMIFS(PP!I:I,PP!E:E,A58)</f>
        <v>349</v>
      </c>
      <c r="BN58" s="90">
        <f t="shared" si="133"/>
        <v>2105570.13</v>
      </c>
      <c r="BO58" t="s">
        <v>173</v>
      </c>
      <c r="BP58" s="92">
        <f t="shared" si="203"/>
        <v>0.64693367131477375</v>
      </c>
      <c r="BQ58" s="93">
        <f t="shared" si="204"/>
        <v>5804.7663323782235</v>
      </c>
      <c r="BR58" s="94">
        <f t="shared" si="205"/>
        <v>0</v>
      </c>
      <c r="BS58" s="95">
        <f t="shared" si="206"/>
        <v>0</v>
      </c>
      <c r="BT58" s="92">
        <f t="shared" si="207"/>
        <v>2.545331232502953E-2</v>
      </c>
      <c r="BU58" s="93">
        <f t="shared" si="208"/>
        <v>228.38590257879653</v>
      </c>
      <c r="BV58" s="94">
        <f t="shared" si="209"/>
        <v>0</v>
      </c>
      <c r="BW58" s="95">
        <f t="shared" si="210"/>
        <v>0</v>
      </c>
      <c r="BX58" s="92">
        <f t="shared" si="211"/>
        <v>2.4189796998457182E-3</v>
      </c>
      <c r="BY58" s="93">
        <f t="shared" si="212"/>
        <v>21.704871060171921</v>
      </c>
      <c r="BZ58" s="94">
        <f t="shared" si="213"/>
        <v>3.4030350119193913E-2</v>
      </c>
      <c r="CA58" s="95">
        <f t="shared" si="214"/>
        <v>305.34541547277939</v>
      </c>
      <c r="CB58" s="92">
        <f t="shared" si="215"/>
        <v>5.0245401738336616E-2</v>
      </c>
      <c r="CC58" s="93">
        <f t="shared" si="216"/>
        <v>450.83882521489971</v>
      </c>
      <c r="CD58" s="94">
        <f t="shared" si="217"/>
        <v>2.2907300265500828E-2</v>
      </c>
      <c r="CE58" s="96">
        <f t="shared" si="218"/>
        <v>205.54120343839543</v>
      </c>
      <c r="CF58" s="97">
        <f t="shared" si="219"/>
        <v>6.6074933457461016E-2</v>
      </c>
      <c r="CG58" s="98">
        <f t="shared" si="220"/>
        <v>592.87306590257879</v>
      </c>
      <c r="CH58" s="94">
        <f t="shared" si="221"/>
        <v>0.13446789772200007</v>
      </c>
      <c r="CI58" s="95">
        <f t="shared" si="222"/>
        <v>1206.5452148997135</v>
      </c>
      <c r="CJ58" s="99">
        <f t="shared" si="90"/>
        <v>0.76723957895432349</v>
      </c>
      <c r="CK58" s="97">
        <f t="shared" si="91"/>
        <v>0.51588190622217023</v>
      </c>
      <c r="CL58" s="97">
        <f t="shared" si="92"/>
        <v>0.48236794372315667</v>
      </c>
      <c r="CM58" s="98">
        <f t="shared" si="93"/>
        <v>4628.8731805157595</v>
      </c>
      <c r="CN58" s="94">
        <f t="shared" si="94"/>
        <v>0.17614032642075902</v>
      </c>
      <c r="CO58" s="100">
        <f t="shared" si="95"/>
        <v>0.11843446277938451</v>
      </c>
      <c r="CP58" s="100">
        <f t="shared" si="96"/>
        <v>0.11074043804948881</v>
      </c>
      <c r="CQ58" s="101">
        <f t="shared" si="97"/>
        <v>1062.6814040114614</v>
      </c>
      <c r="CR58" s="99">
        <f t="shared" si="98"/>
        <v>3.9116783063407157E-2</v>
      </c>
      <c r="CS58" s="97">
        <f t="shared" si="99"/>
        <v>2.6301615773696881E-2</v>
      </c>
      <c r="CT58" s="97">
        <f t="shared" si="100"/>
        <v>2.4592946882480673E-2</v>
      </c>
      <c r="CU58" s="98">
        <f t="shared" si="101"/>
        <v>235.9975071633238</v>
      </c>
      <c r="CV58" s="94">
        <f t="shared" si="102"/>
        <v>9.7545138522648026E-2</v>
      </c>
      <c r="CW58" s="100">
        <f t="shared" si="103"/>
        <v>6.5588081459970082E-2</v>
      </c>
      <c r="CX58" s="100">
        <f t="shared" si="104"/>
        <v>6.1327190593437074E-2</v>
      </c>
      <c r="CY58" s="95">
        <f t="shared" si="105"/>
        <v>588.50467048710607</v>
      </c>
      <c r="CZ58" s="99">
        <f t="shared" si="106"/>
        <v>1.0991109757051885</v>
      </c>
      <c r="DA58" s="97">
        <f t="shared" si="107"/>
        <v>0.73902791363981268</v>
      </c>
      <c r="DB58" s="97">
        <f t="shared" si="108"/>
        <v>0.69101740293044422</v>
      </c>
      <c r="DC58" s="98">
        <f t="shared" si="109"/>
        <v>6631.103839541548</v>
      </c>
      <c r="DD58" s="94">
        <f t="shared" si="110"/>
        <v>1.3729977257988553E-2</v>
      </c>
      <c r="DE58" s="100">
        <f t="shared" si="111"/>
        <v>8.6321158070703872E-3</v>
      </c>
      <c r="DF58" s="95">
        <f t="shared" si="112"/>
        <v>82.835042979942699</v>
      </c>
      <c r="DG58" s="99">
        <f t="shared" si="113"/>
        <v>1.314869445870809E-3</v>
      </c>
      <c r="DH58" s="98">
        <f t="shared" si="114"/>
        <v>12.617679083094554</v>
      </c>
      <c r="DI58" s="94">
        <f t="shared" si="115"/>
        <v>3.2726604076588041E-2</v>
      </c>
      <c r="DJ58" s="100">
        <f t="shared" si="116"/>
        <v>2.057540453658669E-2</v>
      </c>
      <c r="DK58" s="95">
        <f t="shared" si="117"/>
        <v>197.44458452722063</v>
      </c>
      <c r="DL58" s="99">
        <f t="shared" si="118"/>
        <v>4.6801020111355784E-2</v>
      </c>
      <c r="DM58" s="97">
        <f t="shared" si="119"/>
        <v>2.9424070987094864E-2</v>
      </c>
      <c r="DN58" s="102">
        <f t="shared" si="120"/>
        <v>282.35767908309458</v>
      </c>
      <c r="DO58" s="94">
        <f t="shared" si="121"/>
        <v>4.5436282856083261E-2</v>
      </c>
      <c r="DP58" s="100">
        <f t="shared" si="122"/>
        <v>3.0550765177406729E-2</v>
      </c>
      <c r="DQ58" s="100">
        <f t="shared" si="123"/>
        <v>2.856605281180026E-2</v>
      </c>
      <c r="DR58" s="95">
        <f t="shared" si="124"/>
        <v>274.12401146131805</v>
      </c>
      <c r="DS58" s="99">
        <f t="shared" si="125"/>
        <v>5.6132207764554489E-3</v>
      </c>
      <c r="DT58" s="97">
        <f t="shared" si="126"/>
        <v>3.5290642426100798E-3</v>
      </c>
      <c r="DU58" s="98">
        <f t="shared" si="127"/>
        <v>33.865415472779368</v>
      </c>
      <c r="DV58" s="94">
        <f t="shared" si="128"/>
        <v>0.13796158383002896</v>
      </c>
      <c r="DW58" s="100">
        <f t="shared" si="129"/>
        <v>8.6737242616680532E-2</v>
      </c>
      <c r="DX58" s="95">
        <f t="shared" si="130"/>
        <v>832.34323782234947</v>
      </c>
      <c r="DY58" s="99">
        <f t="shared" si="131"/>
        <v>6.8300665346208586E-2</v>
      </c>
      <c r="DZ58" s="98">
        <f t="shared" si="132"/>
        <v>655.42315186246412</v>
      </c>
      <c r="EA58" s="94">
        <f t="shared" si="14"/>
        <v>1.8357354921019468E-2</v>
      </c>
      <c r="EB58" s="95">
        <f t="shared" si="84"/>
        <v>176.15985673352435</v>
      </c>
      <c r="EC58" s="103">
        <f>IFERROR(VLOOKUP(A58,PP!$E$3:$S$130,14,0),0)</f>
        <v>5</v>
      </c>
    </row>
    <row r="59" spans="1:133">
      <c r="A59" s="26">
        <v>3510</v>
      </c>
      <c r="B59" s="125">
        <v>10110</v>
      </c>
      <c r="C59" s="26" t="s">
        <v>82</v>
      </c>
      <c r="D59" s="88">
        <f>IFERROR(_xlfn.XLOOKUP($A59,CFR20252026_BenchMarkDataReport!$B:$B,CFR20252026_BenchMarkDataReport!S:S),0)</f>
        <v>2211755.4900000002</v>
      </c>
      <c r="E59" s="88">
        <f>IFERROR(_xlfn.XLOOKUP($A59,CFR20252026_BenchMarkDataReport!$B:$B,CFR20252026_BenchMarkDataReport!T:T),0)</f>
        <v>0</v>
      </c>
      <c r="F59" s="88">
        <f>IFERROR(_xlfn.XLOOKUP($A59,CFR20252026_BenchMarkDataReport!$B:$B,CFR20252026_BenchMarkDataReport!U:U),0)</f>
        <v>95322.97</v>
      </c>
      <c r="G59" s="88">
        <f>IFERROR(_xlfn.XLOOKUP($A59,CFR20252026_BenchMarkDataReport!$B:$B,CFR20252026_BenchMarkDataReport!V:V),0)</f>
        <v>0</v>
      </c>
      <c r="H59" s="88">
        <f>IFERROR(_xlfn.XLOOKUP($A59,CFR20252026_BenchMarkDataReport!$B:$B,CFR20252026_BenchMarkDataReport!W:W),0)</f>
        <v>89925</v>
      </c>
      <c r="I59" s="88">
        <f>IFERROR(_xlfn.XLOOKUP($A59,CFR20252026_BenchMarkDataReport!$B:$B,CFR20252026_BenchMarkDataReport!X:X),0)</f>
        <v>87034</v>
      </c>
      <c r="J59" s="88">
        <f>IFERROR(_xlfn.XLOOKUP($A59,CFR20252026_BenchMarkDataReport!$B:$B,CFR20252026_BenchMarkDataReport!Y:Y),0)</f>
        <v>103789.18</v>
      </c>
      <c r="K59" s="88">
        <f>IFERROR(_xlfn.XLOOKUP($A59,CFR20252026_BenchMarkDataReport!$B:$B,CFR20252026_BenchMarkDataReport!Z:Z),0)</f>
        <v>16900</v>
      </c>
      <c r="L59" s="88">
        <f>IFERROR(_xlfn.XLOOKUP($A59,CFR20252026_BenchMarkDataReport!$B:$B,CFR20252026_BenchMarkDataReport!AA:AA),0)</f>
        <v>2440.2800000000002</v>
      </c>
      <c r="M59" s="88">
        <f>IFERROR(_xlfn.XLOOKUP($A59,CFR20252026_BenchMarkDataReport!$B:$B,CFR20252026_BenchMarkDataReport!AB:AB),0)</f>
        <v>625.25</v>
      </c>
      <c r="N59" s="88">
        <f>IFERROR(_xlfn.XLOOKUP($A59,CFR20252026_BenchMarkDataReport!$B:$B,CFR20252026_BenchMarkDataReport!AC:AC),0)</f>
        <v>0</v>
      </c>
      <c r="O59" s="88">
        <f>IFERROR(_xlfn.XLOOKUP($A59,CFR20252026_BenchMarkDataReport!$B:$B,CFR20252026_BenchMarkDataReport!AD:AD),0)</f>
        <v>0</v>
      </c>
      <c r="P59" s="88">
        <f>IFERROR(_xlfn.XLOOKUP($A59,CFR20252026_BenchMarkDataReport!$B:$B,CFR20252026_BenchMarkDataReport!AE:AE),0)</f>
        <v>34711.65</v>
      </c>
      <c r="Q59" s="88">
        <f>IFERROR(_xlfn.XLOOKUP($A59,CFR20252026_BenchMarkDataReport!$B:$B,CFR20252026_BenchMarkDataReport!AF:AF),0)</f>
        <v>40572.160000000003</v>
      </c>
      <c r="R59" s="88">
        <f>IFERROR(_xlfn.XLOOKUP($A59,CFR20252026_BenchMarkDataReport!$B:$B,CFR20252026_BenchMarkDataReport!AG:AG),0)</f>
        <v>0</v>
      </c>
      <c r="S59" s="88">
        <f>IFERROR(_xlfn.XLOOKUP($A59,CFR20252026_BenchMarkDataReport!$B:$B,CFR20252026_BenchMarkDataReport!AH:AH),0)</f>
        <v>0</v>
      </c>
      <c r="T59" s="88">
        <f>IFERROR(_xlfn.XLOOKUP($A59,CFR20252026_BenchMarkDataReport!$B:$B,CFR20252026_BenchMarkDataReport!AI:AI),0)</f>
        <v>0</v>
      </c>
      <c r="U59" s="88">
        <f>IFERROR(_xlfn.XLOOKUP($A59,CFR20252026_BenchMarkDataReport!$B:$B,CFR20252026_BenchMarkDataReport!AJ:AJ),0)</f>
        <v>1392724.07</v>
      </c>
      <c r="V59" s="88">
        <f>IFERROR(_xlfn.XLOOKUP($A59,CFR20252026_BenchMarkDataReport!$B:$B,CFR20252026_BenchMarkDataReport!AK:AK),0)</f>
        <v>1302.4100000000001</v>
      </c>
      <c r="W59" s="88">
        <f>IFERROR(_xlfn.XLOOKUP($A59,CFR20252026_BenchMarkDataReport!$B:$B,CFR20252026_BenchMarkDataReport!AL:AL),0)</f>
        <v>444492.62</v>
      </c>
      <c r="X59" s="88">
        <f>IFERROR(_xlfn.XLOOKUP($A59,CFR20252026_BenchMarkDataReport!$B:$B,CFR20252026_BenchMarkDataReport!AM:AM),0)</f>
        <v>37453.730000000003</v>
      </c>
      <c r="Y59" s="88">
        <f>IFERROR(_xlfn.XLOOKUP($A59,CFR20252026_BenchMarkDataReport!$B:$B,CFR20252026_BenchMarkDataReport!AN:AN),0)</f>
        <v>114656.2</v>
      </c>
      <c r="Z59" s="88">
        <f>IFERROR(_xlfn.XLOOKUP($A59,CFR20252026_BenchMarkDataReport!$B:$B,CFR20252026_BenchMarkDataReport!AO:AO),0)</f>
        <v>0</v>
      </c>
      <c r="AA59" s="88">
        <f>IFERROR(_xlfn.XLOOKUP($A59,CFR20252026_BenchMarkDataReport!$B:$B,CFR20252026_BenchMarkDataReport!AP:AP),0)</f>
        <v>0</v>
      </c>
      <c r="AB59" s="88">
        <f>IFERROR(_xlfn.XLOOKUP($A59,CFR20252026_BenchMarkDataReport!$B:$B,CFR20252026_BenchMarkDataReport!AQ:AQ),0)</f>
        <v>18712.419999999998</v>
      </c>
      <c r="AC59" s="88">
        <f>IFERROR(_xlfn.XLOOKUP($A59,CFR20252026_BenchMarkDataReport!$B:$B,CFR20252026_BenchMarkDataReport!AR:AR),0)</f>
        <v>3389.19</v>
      </c>
      <c r="AD59" s="88">
        <f>IFERROR(_xlfn.XLOOKUP($A59,CFR20252026_BenchMarkDataReport!$B:$B,CFR20252026_BenchMarkDataReport!AS:AS),0)</f>
        <v>684</v>
      </c>
      <c r="AE59" s="88">
        <f>IFERROR(_xlfn.XLOOKUP($A59,CFR20252026_BenchMarkDataReport!$B:$B,CFR20252026_BenchMarkDataReport!AT:AT),0)</f>
        <v>0</v>
      </c>
      <c r="AF59" s="88">
        <f>IFERROR(_xlfn.XLOOKUP($A59,CFR20252026_BenchMarkDataReport!$B:$B,CFR20252026_BenchMarkDataReport!AU:AU),0)</f>
        <v>19355.89</v>
      </c>
      <c r="AG59" s="88">
        <f>IFERROR(_xlfn.XLOOKUP($A59,CFR20252026_BenchMarkDataReport!$B:$B,CFR20252026_BenchMarkDataReport!AV:AV),0)</f>
        <v>2583.19</v>
      </c>
      <c r="AH59" s="88">
        <f>IFERROR(_xlfn.XLOOKUP($A59,CFR20252026_BenchMarkDataReport!$B:$B,CFR20252026_BenchMarkDataReport!AW:AW),0)</f>
        <v>39037.629999999997</v>
      </c>
      <c r="AI59" s="88">
        <f>IFERROR(_xlfn.XLOOKUP($A59,CFR20252026_BenchMarkDataReport!$B:$B,CFR20252026_BenchMarkDataReport!AX:AX),0)</f>
        <v>-2283.38</v>
      </c>
      <c r="AJ59" s="88">
        <f>IFERROR(_xlfn.XLOOKUP($A59,CFR20252026_BenchMarkDataReport!$B:$B,CFR20252026_BenchMarkDataReport!AY:AY),0)</f>
        <v>44660.480000000003</v>
      </c>
      <c r="AK59" s="88">
        <f>IFERROR(_xlfn.XLOOKUP($A59,CFR20252026_BenchMarkDataReport!$B:$B,CFR20252026_BenchMarkDataReport!AZ:AZ),0)</f>
        <v>5911.73</v>
      </c>
      <c r="AL59" s="88">
        <f>IFERROR(_xlfn.XLOOKUP($A59,CFR20252026_BenchMarkDataReport!$B:$B,CFR20252026_BenchMarkDataReport!BA:BA),0)</f>
        <v>11304.17</v>
      </c>
      <c r="AM59" s="88">
        <f>IFERROR(_xlfn.XLOOKUP($A59,CFR20252026_BenchMarkDataReport!$B:$B,CFR20252026_BenchMarkDataReport!BB:BB),0)</f>
        <v>110640.77</v>
      </c>
      <c r="AN59" s="88">
        <f>IFERROR(_xlfn.XLOOKUP($A59,CFR20252026_BenchMarkDataReport!$B:$B,CFR20252026_BenchMarkDataReport!BC:BC),0)</f>
        <v>8642.1299999999992</v>
      </c>
      <c r="AO59" s="88">
        <f>IFERROR(_xlfn.XLOOKUP($A59,CFR20252026_BenchMarkDataReport!$B:$B,CFR20252026_BenchMarkDataReport!BD:BD),0)</f>
        <v>0</v>
      </c>
      <c r="AP59" s="88">
        <f>IFERROR(_xlfn.XLOOKUP($A59,CFR20252026_BenchMarkDataReport!$B:$B,CFR20252026_BenchMarkDataReport!BE:BE),0)</f>
        <v>3486</v>
      </c>
      <c r="AQ59" s="88">
        <f>IFERROR(_xlfn.XLOOKUP($A59,CFR20252026_BenchMarkDataReport!$B:$B,CFR20252026_BenchMarkDataReport!BF:BF),0)</f>
        <v>9143.16</v>
      </c>
      <c r="AR59" s="88">
        <f>IFERROR(_xlfn.XLOOKUP($A59,CFR20252026_BenchMarkDataReport!$B:$B,CFR20252026_BenchMarkDataReport!BG:BG),0)</f>
        <v>2363</v>
      </c>
      <c r="AS59" s="88">
        <f>IFERROR(_xlfn.XLOOKUP($A59,CFR20252026_BenchMarkDataReport!$B:$B,CFR20252026_BenchMarkDataReport!BH:BH),0)</f>
        <v>51.04</v>
      </c>
      <c r="AT59" s="88">
        <f>IFERROR(_xlfn.XLOOKUP($A59,CFR20252026_BenchMarkDataReport!$B:$B,CFR20252026_BenchMarkDataReport!BI:BI),0)</f>
        <v>5092.83</v>
      </c>
      <c r="AU59" s="88">
        <f>IFERROR(_xlfn.XLOOKUP($A59,CFR20252026_BenchMarkDataReport!$B:$B,CFR20252026_BenchMarkDataReport!BJ:BJ),0)</f>
        <v>0</v>
      </c>
      <c r="AV59" s="88">
        <f>IFERROR(_xlfn.XLOOKUP($A59,CFR20252026_BenchMarkDataReport!$B:$B,CFR20252026_BenchMarkDataReport!BK:BK),0)</f>
        <v>20920.650000000001</v>
      </c>
      <c r="AW59" s="88">
        <f>IFERROR(_xlfn.XLOOKUP($A59,CFR20252026_BenchMarkDataReport!$B:$B,CFR20252026_BenchMarkDataReport!BL:BL),0)</f>
        <v>18731.560000000001</v>
      </c>
      <c r="AX59" s="88">
        <f>IFERROR(_xlfn.XLOOKUP($A59,CFR20252026_BenchMarkDataReport!$B:$B,CFR20252026_BenchMarkDataReport!BM:BM),0)</f>
        <v>7948.14</v>
      </c>
      <c r="AY59" s="88">
        <f>IFERROR(_xlfn.XLOOKUP($A59,CFR20252026_BenchMarkDataReport!$B:$B,CFR20252026_BenchMarkDataReport!BN:BN),0)</f>
        <v>189531.15</v>
      </c>
      <c r="AZ59" s="88">
        <f>IFERROR(_xlfn.XLOOKUP($A59,CFR20252026_BenchMarkDataReport!$B:$B,CFR20252026_BenchMarkDataReport!BO:BO),0)</f>
        <v>46130.78</v>
      </c>
      <c r="BA59" s="88">
        <f>IFERROR(_xlfn.XLOOKUP($A59,CFR20252026_BenchMarkDataReport!$B:$B,CFR20252026_BenchMarkDataReport!BP:BP),0)</f>
        <v>129305.59</v>
      </c>
      <c r="BB59" s="88">
        <f>IFERROR(_xlfn.XLOOKUP($A59,CFR20252026_BenchMarkDataReport!$B:$B,CFR20252026_BenchMarkDataReport!BQ:BQ),0)</f>
        <v>35819.83</v>
      </c>
      <c r="BC59" s="88">
        <f>IFERROR(_xlfn.XLOOKUP($A59,CFR20252026_BenchMarkDataReport!$B:$B,CFR20252026_BenchMarkDataReport!BR:BR),0)</f>
        <v>0</v>
      </c>
      <c r="BD59" s="88">
        <f>IFERROR(_xlfn.XLOOKUP($A59,CFR20252026_BenchMarkDataReport!$B:$B,CFR20252026_BenchMarkDataReport!BS:BS),0)</f>
        <v>0</v>
      </c>
      <c r="BE59" s="88">
        <f>IFERROR(_xlfn.XLOOKUP($A59,CFR20252026_BenchMarkDataReport!$B:$B,CFR20252026_BenchMarkDataReport!BT:BT),0)</f>
        <v>0</v>
      </c>
      <c r="BF59" s="88">
        <f>IFERROR(_xlfn.XLOOKUP($A59,CFR20252026_BenchMarkDataReport!$B:$B,CFR20252026_BenchMarkDataReport!BU:BU),0)</f>
        <v>0</v>
      </c>
      <c r="BG59" s="88">
        <f>IFERROR(_xlfn.XLOOKUP($A59,CFR20252026_BenchMarkDataReport!$B:$B,CFR20252026_BenchMarkDataReport!BV:BV),0)</f>
        <v>0</v>
      </c>
      <c r="BH59" s="89">
        <f t="shared" si="0"/>
        <v>2683075.9800000004</v>
      </c>
      <c r="BI59" s="90">
        <f t="shared" si="88"/>
        <v>2721790.9799999995</v>
      </c>
      <c r="BJ59" s="126">
        <f t="shared" si="89"/>
        <v>-38714.999999999069</v>
      </c>
      <c r="BK59" s="88">
        <f>IFERROR(_xlfn.XLOOKUP(A59,CFR20252026_BenchMarkDataReport!$B:$B,CFR20252026_BenchMarkDataReport!P:P)+_xlfn.XLOOKUP(A59,CFR20252026_BenchMarkDataReport!$B:$B,CFR20252026_BenchMarkDataReport!Q:Q),0)</f>
        <v>196312</v>
      </c>
      <c r="BL59" s="89">
        <f t="shared" si="1"/>
        <v>157597.00000000093</v>
      </c>
      <c r="BM59" s="91">
        <f>SUMIFS(PP!I:I,PP!E:E,A59)</f>
        <v>400</v>
      </c>
      <c r="BN59" s="90">
        <f t="shared" si="133"/>
        <v>2307078.4600000004</v>
      </c>
      <c r="BO59" t="s">
        <v>173</v>
      </c>
      <c r="BP59" s="92">
        <f t="shared" si="203"/>
        <v>0.824335764803798</v>
      </c>
      <c r="BQ59" s="93">
        <f t="shared" si="204"/>
        <v>5529.3887250000007</v>
      </c>
      <c r="BR59" s="94">
        <f t="shared" si="205"/>
        <v>0</v>
      </c>
      <c r="BS59" s="95">
        <f t="shared" si="206"/>
        <v>0</v>
      </c>
      <c r="BT59" s="92">
        <f t="shared" si="207"/>
        <v>3.5527495572451134E-2</v>
      </c>
      <c r="BU59" s="93">
        <f t="shared" si="208"/>
        <v>238.30742499999999</v>
      </c>
      <c r="BV59" s="94">
        <f t="shared" si="209"/>
        <v>0</v>
      </c>
      <c r="BW59" s="95">
        <f t="shared" si="210"/>
        <v>0</v>
      </c>
      <c r="BX59" s="92">
        <f t="shared" si="211"/>
        <v>3.351563678043884E-2</v>
      </c>
      <c r="BY59" s="93">
        <f t="shared" si="212"/>
        <v>224.8125</v>
      </c>
      <c r="BZ59" s="94">
        <f t="shared" si="213"/>
        <v>3.243814213565431E-2</v>
      </c>
      <c r="CA59" s="95">
        <f t="shared" si="214"/>
        <v>217.58500000000001</v>
      </c>
      <c r="CB59" s="92">
        <f t="shared" si="215"/>
        <v>3.8682907518705442E-2</v>
      </c>
      <c r="CC59" s="93">
        <f t="shared" si="216"/>
        <v>259.47294999999997</v>
      </c>
      <c r="CD59" s="94">
        <f t="shared" si="217"/>
        <v>7.2082490932664518E-3</v>
      </c>
      <c r="CE59" s="96">
        <f t="shared" si="218"/>
        <v>48.350699999999996</v>
      </c>
      <c r="CF59" s="97">
        <f t="shared" si="219"/>
        <v>1.2937259421181206E-2</v>
      </c>
      <c r="CG59" s="98">
        <f t="shared" si="220"/>
        <v>86.779125000000008</v>
      </c>
      <c r="CH59" s="94">
        <f t="shared" si="221"/>
        <v>1.5121509902227962E-2</v>
      </c>
      <c r="CI59" s="95">
        <f t="shared" si="222"/>
        <v>101.43040000000001</v>
      </c>
      <c r="CJ59" s="99">
        <f t="shared" si="90"/>
        <v>0.62423419271141722</v>
      </c>
      <c r="CK59" s="97">
        <f t="shared" si="91"/>
        <v>0.53675604818317513</v>
      </c>
      <c r="CL59" s="97">
        <f t="shared" si="92"/>
        <v>0.52912118181830414</v>
      </c>
      <c r="CM59" s="98">
        <f t="shared" si="93"/>
        <v>3600.3931499999999</v>
      </c>
      <c r="CN59" s="94">
        <f t="shared" si="94"/>
        <v>0.19266471760999404</v>
      </c>
      <c r="CO59" s="100">
        <f t="shared" si="95"/>
        <v>0.16566531224359882</v>
      </c>
      <c r="CP59" s="100">
        <f t="shared" si="96"/>
        <v>0.16330887392388965</v>
      </c>
      <c r="CQ59" s="101">
        <f t="shared" si="97"/>
        <v>1111.23155</v>
      </c>
      <c r="CR59" s="99">
        <f t="shared" si="98"/>
        <v>1.6234267992775588E-2</v>
      </c>
      <c r="CS59" s="97">
        <f t="shared" si="99"/>
        <v>1.3959250606089805E-2</v>
      </c>
      <c r="CT59" s="97">
        <f t="shared" si="100"/>
        <v>1.3760692968421848E-2</v>
      </c>
      <c r="CU59" s="98">
        <f t="shared" si="101"/>
        <v>93.634325000000004</v>
      </c>
      <c r="CV59" s="94">
        <f t="shared" si="102"/>
        <v>4.9697572920861986E-2</v>
      </c>
      <c r="CW59" s="100">
        <f t="shared" si="103"/>
        <v>4.2733117084518782E-2</v>
      </c>
      <c r="CX59" s="100">
        <f t="shared" si="104"/>
        <v>4.2125277378941131E-2</v>
      </c>
      <c r="CY59" s="95">
        <f t="shared" si="105"/>
        <v>286.64049999999997</v>
      </c>
      <c r="CZ59" s="99">
        <f t="shared" si="106"/>
        <v>0.86283542779901801</v>
      </c>
      <c r="DA59" s="97">
        <f t="shared" si="107"/>
        <v>0.74192048411539946</v>
      </c>
      <c r="DB59" s="97">
        <f t="shared" si="108"/>
        <v>0.73136734033852968</v>
      </c>
      <c r="DC59" s="98">
        <f t="shared" si="109"/>
        <v>4976.5725750000001</v>
      </c>
      <c r="DD59" s="94">
        <f t="shared" si="110"/>
        <v>8.3897840214762331E-3</v>
      </c>
      <c r="DE59" s="100">
        <f t="shared" si="111"/>
        <v>7.1114535033105306E-3</v>
      </c>
      <c r="DF59" s="95">
        <f t="shared" si="112"/>
        <v>48.389724999999999</v>
      </c>
      <c r="DG59" s="99">
        <f t="shared" si="113"/>
        <v>-8.3892555188054909E-4</v>
      </c>
      <c r="DH59" s="98">
        <f t="shared" si="114"/>
        <v>-5.70845</v>
      </c>
      <c r="DI59" s="94">
        <f t="shared" si="115"/>
        <v>1.9358023913933119E-2</v>
      </c>
      <c r="DJ59" s="100">
        <f t="shared" si="116"/>
        <v>1.6408489971555425E-2</v>
      </c>
      <c r="DK59" s="95">
        <f t="shared" si="117"/>
        <v>111.6512</v>
      </c>
      <c r="DL59" s="99">
        <f t="shared" si="118"/>
        <v>4.8997770106180083E-3</v>
      </c>
      <c r="DM59" s="97">
        <f t="shared" si="119"/>
        <v>4.153210177807262E-3</v>
      </c>
      <c r="DN59" s="102">
        <f t="shared" si="120"/>
        <v>28.260425000000001</v>
      </c>
      <c r="DO59" s="94">
        <f t="shared" si="121"/>
        <v>4.7957090284653774E-2</v>
      </c>
      <c r="DP59" s="100">
        <f t="shared" si="122"/>
        <v>4.1236540010320538E-2</v>
      </c>
      <c r="DQ59" s="100">
        <f t="shared" si="123"/>
        <v>4.064998775181481E-2</v>
      </c>
      <c r="DR59" s="95">
        <f t="shared" si="124"/>
        <v>276.60192499999999</v>
      </c>
      <c r="DS59" s="99">
        <f t="shared" si="125"/>
        <v>9.0680271012542838E-3</v>
      </c>
      <c r="DT59" s="97">
        <f t="shared" si="126"/>
        <v>7.6863543724433993E-3</v>
      </c>
      <c r="DU59" s="98">
        <f t="shared" si="127"/>
        <v>52.301625000000001</v>
      </c>
      <c r="DV59" s="94">
        <f t="shared" si="128"/>
        <v>5.6047330960733763E-2</v>
      </c>
      <c r="DW59" s="100">
        <f t="shared" si="129"/>
        <v>4.750753858402456E-2</v>
      </c>
      <c r="DX59" s="95">
        <f t="shared" si="130"/>
        <v>323.26397500000002</v>
      </c>
      <c r="DY59" s="99">
        <f t="shared" si="131"/>
        <v>6.9634718974636342E-2</v>
      </c>
      <c r="DZ59" s="98">
        <f t="shared" si="132"/>
        <v>473.82787500000001</v>
      </c>
      <c r="EA59" s="94">
        <f t="shared" si="14"/>
        <v>1.4342625971962036E-2</v>
      </c>
      <c r="EB59" s="95">
        <f t="shared" si="84"/>
        <v>97.594074999999989</v>
      </c>
      <c r="EC59" s="103">
        <f>IFERROR(VLOOKUP(A59,PP!$E$3:$S$130,14,0),0)</f>
        <v>57</v>
      </c>
    </row>
    <row r="60" spans="1:133">
      <c r="A60" s="26">
        <v>3502</v>
      </c>
      <c r="B60" s="125">
        <v>10087</v>
      </c>
      <c r="C60" s="26" t="s">
        <v>83</v>
      </c>
      <c r="D60" s="88">
        <f>IFERROR(_xlfn.XLOOKUP($A60,CFR20252026_BenchMarkDataReport!$B:$B,CFR20252026_BenchMarkDataReport!S:S),0)</f>
        <v>2630976.7799999998</v>
      </c>
      <c r="E60" s="88">
        <f>IFERROR(_xlfn.XLOOKUP($A60,CFR20252026_BenchMarkDataReport!$B:$B,CFR20252026_BenchMarkDataReport!T:T),0)</f>
        <v>0</v>
      </c>
      <c r="F60" s="88">
        <f>IFERROR(_xlfn.XLOOKUP($A60,CFR20252026_BenchMarkDataReport!$B:$B,CFR20252026_BenchMarkDataReport!U:U),0)</f>
        <v>182055.91</v>
      </c>
      <c r="G60" s="88">
        <f>IFERROR(_xlfn.XLOOKUP($A60,CFR20252026_BenchMarkDataReport!$B:$B,CFR20252026_BenchMarkDataReport!V:V),0)</f>
        <v>0</v>
      </c>
      <c r="H60" s="88">
        <f>IFERROR(_xlfn.XLOOKUP($A60,CFR20252026_BenchMarkDataReport!$B:$B,CFR20252026_BenchMarkDataReport!W:W),0)</f>
        <v>161925</v>
      </c>
      <c r="I60" s="88">
        <f>IFERROR(_xlfn.XLOOKUP($A60,CFR20252026_BenchMarkDataReport!$B:$B,CFR20252026_BenchMarkDataReport!X:X),0)</f>
        <v>3544.42</v>
      </c>
      <c r="J60" s="88">
        <f>IFERROR(_xlfn.XLOOKUP($A60,CFR20252026_BenchMarkDataReport!$B:$B,CFR20252026_BenchMarkDataReport!Y:Y),0)</f>
        <v>154982.97</v>
      </c>
      <c r="K60" s="88">
        <f>IFERROR(_xlfn.XLOOKUP($A60,CFR20252026_BenchMarkDataReport!$B:$B,CFR20252026_BenchMarkDataReport!Z:Z),0)</f>
        <v>9942.2999999999993</v>
      </c>
      <c r="L60" s="88">
        <f>IFERROR(_xlfn.XLOOKUP($A60,CFR20252026_BenchMarkDataReport!$B:$B,CFR20252026_BenchMarkDataReport!AA:AA),0)</f>
        <v>32178.78</v>
      </c>
      <c r="M60" s="88">
        <f>IFERROR(_xlfn.XLOOKUP($A60,CFR20252026_BenchMarkDataReport!$B:$B,CFR20252026_BenchMarkDataReport!AB:AB),0)</f>
        <v>2004.33</v>
      </c>
      <c r="N60" s="88">
        <f>IFERROR(_xlfn.XLOOKUP($A60,CFR20252026_BenchMarkDataReport!$B:$B,CFR20252026_BenchMarkDataReport!AC:AC),0)</f>
        <v>0</v>
      </c>
      <c r="O60" s="88">
        <f>IFERROR(_xlfn.XLOOKUP($A60,CFR20252026_BenchMarkDataReport!$B:$B,CFR20252026_BenchMarkDataReport!AD:AD),0)</f>
        <v>0</v>
      </c>
      <c r="P60" s="88">
        <f>IFERROR(_xlfn.XLOOKUP($A60,CFR20252026_BenchMarkDataReport!$B:$B,CFR20252026_BenchMarkDataReport!AE:AE),0)</f>
        <v>40323.589999999997</v>
      </c>
      <c r="Q60" s="88">
        <f>IFERROR(_xlfn.XLOOKUP($A60,CFR20252026_BenchMarkDataReport!$B:$B,CFR20252026_BenchMarkDataReport!AF:AF),0)</f>
        <v>13902.4</v>
      </c>
      <c r="R60" s="88">
        <f>IFERROR(_xlfn.XLOOKUP($A60,CFR20252026_BenchMarkDataReport!$B:$B,CFR20252026_BenchMarkDataReport!AG:AG),0)</f>
        <v>0</v>
      </c>
      <c r="S60" s="88">
        <f>IFERROR(_xlfn.XLOOKUP($A60,CFR20252026_BenchMarkDataReport!$B:$B,CFR20252026_BenchMarkDataReport!AH:AH),0)</f>
        <v>0</v>
      </c>
      <c r="T60" s="88">
        <f>IFERROR(_xlfn.XLOOKUP($A60,CFR20252026_BenchMarkDataReport!$B:$B,CFR20252026_BenchMarkDataReport!AI:AI),0)</f>
        <v>0</v>
      </c>
      <c r="U60" s="88">
        <f>IFERROR(_xlfn.XLOOKUP($A60,CFR20252026_BenchMarkDataReport!$B:$B,CFR20252026_BenchMarkDataReport!AJ:AJ),0)</f>
        <v>1511150.9</v>
      </c>
      <c r="V60" s="88">
        <f>IFERROR(_xlfn.XLOOKUP($A60,CFR20252026_BenchMarkDataReport!$B:$B,CFR20252026_BenchMarkDataReport!AK:AK),0)</f>
        <v>0</v>
      </c>
      <c r="W60" s="88">
        <f>IFERROR(_xlfn.XLOOKUP($A60,CFR20252026_BenchMarkDataReport!$B:$B,CFR20252026_BenchMarkDataReport!AL:AL),0)</f>
        <v>839636.16</v>
      </c>
      <c r="X60" s="88">
        <f>IFERROR(_xlfn.XLOOKUP($A60,CFR20252026_BenchMarkDataReport!$B:$B,CFR20252026_BenchMarkDataReport!AM:AM),0)</f>
        <v>103777.45</v>
      </c>
      <c r="Y60" s="88">
        <f>IFERROR(_xlfn.XLOOKUP($A60,CFR20252026_BenchMarkDataReport!$B:$B,CFR20252026_BenchMarkDataReport!AN:AN),0)</f>
        <v>77770.62</v>
      </c>
      <c r="Z60" s="88">
        <f>IFERROR(_xlfn.XLOOKUP($A60,CFR20252026_BenchMarkDataReport!$B:$B,CFR20252026_BenchMarkDataReport!AO:AO),0)</f>
        <v>0</v>
      </c>
      <c r="AA60" s="88">
        <f>IFERROR(_xlfn.XLOOKUP($A60,CFR20252026_BenchMarkDataReport!$B:$B,CFR20252026_BenchMarkDataReport!AP:AP),0)</f>
        <v>34978.36</v>
      </c>
      <c r="AB60" s="88">
        <f>IFERROR(_xlfn.XLOOKUP($A60,CFR20252026_BenchMarkDataReport!$B:$B,CFR20252026_BenchMarkDataReport!AQ:AQ),0)</f>
        <v>3015.13</v>
      </c>
      <c r="AC60" s="88">
        <f>IFERROR(_xlfn.XLOOKUP($A60,CFR20252026_BenchMarkDataReport!$B:$B,CFR20252026_BenchMarkDataReport!AR:AR),0)</f>
        <v>8775.67</v>
      </c>
      <c r="AD60" s="88">
        <f>IFERROR(_xlfn.XLOOKUP($A60,CFR20252026_BenchMarkDataReport!$B:$B,CFR20252026_BenchMarkDataReport!AS:AS),0)</f>
        <v>694.26</v>
      </c>
      <c r="AE60" s="88">
        <f>IFERROR(_xlfn.XLOOKUP($A60,CFR20252026_BenchMarkDataReport!$B:$B,CFR20252026_BenchMarkDataReport!AT:AT),0)</f>
        <v>89</v>
      </c>
      <c r="AF60" s="88">
        <f>IFERROR(_xlfn.XLOOKUP($A60,CFR20252026_BenchMarkDataReport!$B:$B,CFR20252026_BenchMarkDataReport!AU:AU),0)</f>
        <v>98119.07</v>
      </c>
      <c r="AG60" s="88">
        <f>IFERROR(_xlfn.XLOOKUP($A60,CFR20252026_BenchMarkDataReport!$B:$B,CFR20252026_BenchMarkDataReport!AV:AV),0)</f>
        <v>1024.94</v>
      </c>
      <c r="AH60" s="88">
        <f>IFERROR(_xlfn.XLOOKUP($A60,CFR20252026_BenchMarkDataReport!$B:$B,CFR20252026_BenchMarkDataReport!AW:AW),0)</f>
        <v>6408.41</v>
      </c>
      <c r="AI60" s="88">
        <f>IFERROR(_xlfn.XLOOKUP($A60,CFR20252026_BenchMarkDataReport!$B:$B,CFR20252026_BenchMarkDataReport!AX:AX),0)</f>
        <v>9650.3799999999992</v>
      </c>
      <c r="AJ60" s="88">
        <f>IFERROR(_xlfn.XLOOKUP($A60,CFR20252026_BenchMarkDataReport!$B:$B,CFR20252026_BenchMarkDataReport!AY:AY),0)</f>
        <v>31909.21</v>
      </c>
      <c r="AK60" s="88">
        <f>IFERROR(_xlfn.XLOOKUP($A60,CFR20252026_BenchMarkDataReport!$B:$B,CFR20252026_BenchMarkDataReport!AZ:AZ),0)</f>
        <v>7715.93</v>
      </c>
      <c r="AL60" s="88">
        <f>IFERROR(_xlfn.XLOOKUP($A60,CFR20252026_BenchMarkDataReport!$B:$B,CFR20252026_BenchMarkDataReport!BA:BA),0)</f>
        <v>11822.01</v>
      </c>
      <c r="AM60" s="88">
        <f>IFERROR(_xlfn.XLOOKUP($A60,CFR20252026_BenchMarkDataReport!$B:$B,CFR20252026_BenchMarkDataReport!BB:BB),0)</f>
        <v>90389.06</v>
      </c>
      <c r="AN60" s="88">
        <f>IFERROR(_xlfn.XLOOKUP($A60,CFR20252026_BenchMarkDataReport!$B:$B,CFR20252026_BenchMarkDataReport!BC:BC),0)</f>
        <v>10222.93</v>
      </c>
      <c r="AO60" s="88">
        <f>IFERROR(_xlfn.XLOOKUP($A60,CFR20252026_BenchMarkDataReport!$B:$B,CFR20252026_BenchMarkDataReport!BD:BD),0)</f>
        <v>0</v>
      </c>
      <c r="AP60" s="88">
        <f>IFERROR(_xlfn.XLOOKUP($A60,CFR20252026_BenchMarkDataReport!$B:$B,CFR20252026_BenchMarkDataReport!BE:BE),0)</f>
        <v>7992.98</v>
      </c>
      <c r="AQ60" s="88">
        <f>IFERROR(_xlfn.XLOOKUP($A60,CFR20252026_BenchMarkDataReport!$B:$B,CFR20252026_BenchMarkDataReport!BF:BF),0)</f>
        <v>2500.5500000000002</v>
      </c>
      <c r="AR60" s="88">
        <f>IFERROR(_xlfn.XLOOKUP($A60,CFR20252026_BenchMarkDataReport!$B:$B,CFR20252026_BenchMarkDataReport!BG:BG),0)</f>
        <v>3398.75</v>
      </c>
      <c r="AS60" s="88">
        <f>IFERROR(_xlfn.XLOOKUP($A60,CFR20252026_BenchMarkDataReport!$B:$B,CFR20252026_BenchMarkDataReport!BH:BH),0)</f>
        <v>9618.15</v>
      </c>
      <c r="AT60" s="88">
        <f>IFERROR(_xlfn.XLOOKUP($A60,CFR20252026_BenchMarkDataReport!$B:$B,CFR20252026_BenchMarkDataReport!BI:BI),0)</f>
        <v>7540</v>
      </c>
      <c r="AU60" s="88">
        <f>IFERROR(_xlfn.XLOOKUP($A60,CFR20252026_BenchMarkDataReport!$B:$B,CFR20252026_BenchMarkDataReport!BJ:BJ),0)</f>
        <v>0</v>
      </c>
      <c r="AV60" s="88">
        <f>IFERROR(_xlfn.XLOOKUP($A60,CFR20252026_BenchMarkDataReport!$B:$B,CFR20252026_BenchMarkDataReport!BK:BK),0)</f>
        <v>30404.71</v>
      </c>
      <c r="AW60" s="88">
        <f>IFERROR(_xlfn.XLOOKUP($A60,CFR20252026_BenchMarkDataReport!$B:$B,CFR20252026_BenchMarkDataReport!BL:BL),0)</f>
        <v>18621.939999999999</v>
      </c>
      <c r="AX60" s="88">
        <f>IFERROR(_xlfn.XLOOKUP($A60,CFR20252026_BenchMarkDataReport!$B:$B,CFR20252026_BenchMarkDataReport!BM:BM),0)</f>
        <v>10412.65</v>
      </c>
      <c r="AY60" s="88">
        <f>IFERROR(_xlfn.XLOOKUP($A60,CFR20252026_BenchMarkDataReport!$B:$B,CFR20252026_BenchMarkDataReport!BN:BN),0)</f>
        <v>179974.04</v>
      </c>
      <c r="AZ60" s="88">
        <f>IFERROR(_xlfn.XLOOKUP($A60,CFR20252026_BenchMarkDataReport!$B:$B,CFR20252026_BenchMarkDataReport!BO:BO),0)</f>
        <v>99836.81</v>
      </c>
      <c r="BA60" s="88">
        <f>IFERROR(_xlfn.XLOOKUP($A60,CFR20252026_BenchMarkDataReport!$B:$B,CFR20252026_BenchMarkDataReport!BP:BP),0)</f>
        <v>141528.23000000001</v>
      </c>
      <c r="BB60" s="88">
        <f>IFERROR(_xlfn.XLOOKUP($A60,CFR20252026_BenchMarkDataReport!$B:$B,CFR20252026_BenchMarkDataReport!BQ:BQ),0)</f>
        <v>0</v>
      </c>
      <c r="BC60" s="88">
        <f>IFERROR(_xlfn.XLOOKUP($A60,CFR20252026_BenchMarkDataReport!$B:$B,CFR20252026_BenchMarkDataReport!BR:BR),0)</f>
        <v>54346.18</v>
      </c>
      <c r="BD60" s="88">
        <f>IFERROR(_xlfn.XLOOKUP($A60,CFR20252026_BenchMarkDataReport!$B:$B,CFR20252026_BenchMarkDataReport!BS:BS),0)</f>
        <v>0</v>
      </c>
      <c r="BE60" s="88">
        <f>IFERROR(_xlfn.XLOOKUP($A60,CFR20252026_BenchMarkDataReport!$B:$B,CFR20252026_BenchMarkDataReport!BT:BT),0)</f>
        <v>0</v>
      </c>
      <c r="BF60" s="88">
        <f>IFERROR(_xlfn.XLOOKUP($A60,CFR20252026_BenchMarkDataReport!$B:$B,CFR20252026_BenchMarkDataReport!BU:BU),0)</f>
        <v>0</v>
      </c>
      <c r="BG60" s="88">
        <f>IFERROR(_xlfn.XLOOKUP($A60,CFR20252026_BenchMarkDataReport!$B:$B,CFR20252026_BenchMarkDataReport!BV:BV),0)</f>
        <v>0</v>
      </c>
      <c r="BH60" s="89">
        <f t="shared" si="0"/>
        <v>3231836.4799999995</v>
      </c>
      <c r="BI60" s="90">
        <f t="shared" si="88"/>
        <v>3413324.4799999995</v>
      </c>
      <c r="BJ60" s="126">
        <f t="shared" si="89"/>
        <v>-181488</v>
      </c>
      <c r="BK60" s="88">
        <f>IFERROR(_xlfn.XLOOKUP(A60,CFR20252026_BenchMarkDataReport!$B:$B,CFR20252026_BenchMarkDataReport!P:P)+_xlfn.XLOOKUP(A60,CFR20252026_BenchMarkDataReport!$B:$B,CFR20252026_BenchMarkDataReport!Q:Q),0)</f>
        <v>811514</v>
      </c>
      <c r="BL60" s="89">
        <f t="shared" si="1"/>
        <v>630026</v>
      </c>
      <c r="BM60" s="91">
        <f>SUMIFS(PP!I:I,PP!E:E,A60)</f>
        <v>406</v>
      </c>
      <c r="BN60" s="90">
        <f t="shared" si="133"/>
        <v>2813032.69</v>
      </c>
      <c r="BO60" t="s">
        <v>173</v>
      </c>
      <c r="BP60" s="92">
        <f t="shared" si="203"/>
        <v>0.81408103296117262</v>
      </c>
      <c r="BQ60" s="93">
        <f t="shared" si="204"/>
        <v>6480.2383743842356</v>
      </c>
      <c r="BR60" s="94">
        <f t="shared" si="205"/>
        <v>0</v>
      </c>
      <c r="BS60" s="95">
        <f t="shared" si="206"/>
        <v>0</v>
      </c>
      <c r="BT60" s="92">
        <f t="shared" si="207"/>
        <v>5.633203014033681E-2</v>
      </c>
      <c r="BU60" s="93">
        <f t="shared" si="208"/>
        <v>448.41357142857146</v>
      </c>
      <c r="BV60" s="94">
        <f t="shared" si="209"/>
        <v>0</v>
      </c>
      <c r="BW60" s="95">
        <f t="shared" si="210"/>
        <v>0</v>
      </c>
      <c r="BX60" s="92">
        <f t="shared" si="211"/>
        <v>5.0103091849498529E-2</v>
      </c>
      <c r="BY60" s="93">
        <f t="shared" si="212"/>
        <v>398.83004926108373</v>
      </c>
      <c r="BZ60" s="94">
        <f t="shared" si="213"/>
        <v>1.0967200914818564E-3</v>
      </c>
      <c r="CA60" s="95">
        <f t="shared" si="214"/>
        <v>8.7300985221674878</v>
      </c>
      <c r="CB60" s="92">
        <f t="shared" si="215"/>
        <v>4.795507785096851E-2</v>
      </c>
      <c r="CC60" s="93">
        <f t="shared" si="216"/>
        <v>381.73145320197045</v>
      </c>
      <c r="CD60" s="94">
        <f t="shared" si="217"/>
        <v>1.3033171777304776E-2</v>
      </c>
      <c r="CE60" s="96">
        <f t="shared" si="218"/>
        <v>103.74650246305418</v>
      </c>
      <c r="CF60" s="97">
        <f t="shared" si="219"/>
        <v>1.2476989553629893E-2</v>
      </c>
      <c r="CG60" s="98">
        <f t="shared" si="220"/>
        <v>99.319187192118221</v>
      </c>
      <c r="CH60" s="94">
        <f t="shared" si="221"/>
        <v>4.3017027891213118E-3</v>
      </c>
      <c r="CI60" s="95">
        <f t="shared" si="222"/>
        <v>34.242364532019707</v>
      </c>
      <c r="CJ60" s="99">
        <f t="shared" si="90"/>
        <v>0.57268716276453935</v>
      </c>
      <c r="CK60" s="97">
        <f t="shared" si="91"/>
        <v>0.49847438754079543</v>
      </c>
      <c r="CL60" s="97">
        <f t="shared" si="92"/>
        <v>0.47197027983697587</v>
      </c>
      <c r="CM60" s="98">
        <f t="shared" si="93"/>
        <v>3967.950024630542</v>
      </c>
      <c r="CN60" s="94">
        <f t="shared" si="94"/>
        <v>0.29848076881040442</v>
      </c>
      <c r="CO60" s="100">
        <f t="shared" si="95"/>
        <v>0.25980156025715762</v>
      </c>
      <c r="CP60" s="100">
        <f t="shared" si="96"/>
        <v>0.24598779428084147</v>
      </c>
      <c r="CQ60" s="101">
        <f t="shared" si="97"/>
        <v>2068.0693596059114</v>
      </c>
      <c r="CR60" s="99">
        <f t="shared" si="98"/>
        <v>3.6891661575393919E-2</v>
      </c>
      <c r="CS60" s="97">
        <f t="shared" si="99"/>
        <v>3.211098415474288E-2</v>
      </c>
      <c r="CT60" s="97">
        <f t="shared" si="100"/>
        <v>3.040362866409935E-2</v>
      </c>
      <c r="CU60" s="98">
        <f t="shared" si="101"/>
        <v>255.60948275862069</v>
      </c>
      <c r="CV60" s="94">
        <f t="shared" si="102"/>
        <v>2.7646539720802176E-2</v>
      </c>
      <c r="CW60" s="100">
        <f t="shared" si="103"/>
        <v>2.4063909322540974E-2</v>
      </c>
      <c r="CX60" s="100">
        <f t="shared" si="104"/>
        <v>2.2784420425215481E-2</v>
      </c>
      <c r="CY60" s="95">
        <f t="shared" si="105"/>
        <v>191.55325123152707</v>
      </c>
      <c r="CZ60" s="99">
        <f t="shared" si="106"/>
        <v>0.91264971755447333</v>
      </c>
      <c r="DA60" s="97">
        <f t="shared" si="107"/>
        <v>0.79438223619531656</v>
      </c>
      <c r="DB60" s="97">
        <f t="shared" si="108"/>
        <v>0.75214457489842879</v>
      </c>
      <c r="DC60" s="98">
        <f t="shared" si="109"/>
        <v>6323.4322413793107</v>
      </c>
      <c r="DD60" s="94">
        <f t="shared" si="110"/>
        <v>3.4880174108463703E-2</v>
      </c>
      <c r="DE60" s="100">
        <f t="shared" si="111"/>
        <v>2.8745895848729865E-2</v>
      </c>
      <c r="DF60" s="95">
        <f t="shared" si="112"/>
        <v>241.67258620689657</v>
      </c>
      <c r="DG60" s="99">
        <f t="shared" si="113"/>
        <v>2.827267098849038E-3</v>
      </c>
      <c r="DH60" s="98">
        <f t="shared" si="114"/>
        <v>23.769408866995072</v>
      </c>
      <c r="DI60" s="94">
        <f t="shared" si="115"/>
        <v>1.1343348448609746E-2</v>
      </c>
      <c r="DJ60" s="100">
        <f t="shared" si="116"/>
        <v>9.3484256146664398E-3</v>
      </c>
      <c r="DK60" s="95">
        <f t="shared" si="117"/>
        <v>78.594113300492609</v>
      </c>
      <c r="DL60" s="99">
        <f t="shared" si="118"/>
        <v>4.2025853599305316E-3</v>
      </c>
      <c r="DM60" s="97">
        <f t="shared" si="119"/>
        <v>3.4634884756107342E-3</v>
      </c>
      <c r="DN60" s="102">
        <f t="shared" si="120"/>
        <v>29.118251231527093</v>
      </c>
      <c r="DO60" s="94">
        <f t="shared" si="121"/>
        <v>3.2132246568382393E-2</v>
      </c>
      <c r="DP60" s="100">
        <f t="shared" si="122"/>
        <v>2.7968327159918687E-2</v>
      </c>
      <c r="DQ60" s="100">
        <f t="shared" si="123"/>
        <v>2.6481238607587641E-2</v>
      </c>
      <c r="DR60" s="95">
        <f t="shared" si="124"/>
        <v>222.63315270935959</v>
      </c>
      <c r="DS60" s="99">
        <f t="shared" si="125"/>
        <v>1.0808516412939374E-2</v>
      </c>
      <c r="DT60" s="97">
        <f t="shared" si="126"/>
        <v>8.9076529870374364E-3</v>
      </c>
      <c r="DU60" s="98">
        <f t="shared" si="127"/>
        <v>74.888448275862061</v>
      </c>
      <c r="DV60" s="94">
        <f t="shared" si="128"/>
        <v>5.0311619379012622E-2</v>
      </c>
      <c r="DW60" s="100">
        <f t="shared" si="129"/>
        <v>4.1463456178651971E-2</v>
      </c>
      <c r="DX60" s="95">
        <f t="shared" si="130"/>
        <v>348.59169950738919</v>
      </c>
      <c r="DY60" s="99">
        <f t="shared" si="131"/>
        <v>5.2726906291663204E-2</v>
      </c>
      <c r="DZ60" s="98">
        <f t="shared" si="132"/>
        <v>443.28581280788177</v>
      </c>
      <c r="EA60" s="94">
        <f t="shared" si="14"/>
        <v>1.8774687368720365E-3</v>
      </c>
      <c r="EB60" s="95">
        <f t="shared" si="84"/>
        <v>15.784261083743843</v>
      </c>
      <c r="EC60" s="103">
        <f>IFERROR(VLOOKUP(A60,PP!$E$3:$S$130,14,0),0)</f>
        <v>107</v>
      </c>
    </row>
    <row r="61" spans="1:133">
      <c r="A61" s="26">
        <v>3315</v>
      </c>
      <c r="B61" s="125">
        <v>10099</v>
      </c>
      <c r="C61" s="26" t="s">
        <v>84</v>
      </c>
      <c r="D61" s="88">
        <f>IFERROR(_xlfn.XLOOKUP($A61,CFR20252026_BenchMarkDataReport!$B:$B,CFR20252026_BenchMarkDataReport!S:S),0)</f>
        <v>1156801.3999999999</v>
      </c>
      <c r="E61" s="88">
        <f>IFERROR(_xlfn.XLOOKUP($A61,CFR20252026_BenchMarkDataReport!$B:$B,CFR20252026_BenchMarkDataReport!T:T),0)</f>
        <v>0</v>
      </c>
      <c r="F61" s="88">
        <f>IFERROR(_xlfn.XLOOKUP($A61,CFR20252026_BenchMarkDataReport!$B:$B,CFR20252026_BenchMarkDataReport!U:U),0)</f>
        <v>21049.72</v>
      </c>
      <c r="G61" s="88">
        <f>IFERROR(_xlfn.XLOOKUP($A61,CFR20252026_BenchMarkDataReport!$B:$B,CFR20252026_BenchMarkDataReport!V:V),0)</f>
        <v>0</v>
      </c>
      <c r="H61" s="88">
        <f>IFERROR(_xlfn.XLOOKUP($A61,CFR20252026_BenchMarkDataReport!$B:$B,CFR20252026_BenchMarkDataReport!W:W),0)</f>
        <v>13235</v>
      </c>
      <c r="I61" s="88">
        <f>IFERROR(_xlfn.XLOOKUP($A61,CFR20252026_BenchMarkDataReport!$B:$B,CFR20252026_BenchMarkDataReport!X:X),0)</f>
        <v>46416</v>
      </c>
      <c r="J61" s="88">
        <f>IFERROR(_xlfn.XLOOKUP($A61,CFR20252026_BenchMarkDataReport!$B:$B,CFR20252026_BenchMarkDataReport!Y:Y),0)</f>
        <v>56831.37</v>
      </c>
      <c r="K61" s="88">
        <f>IFERROR(_xlfn.XLOOKUP($A61,CFR20252026_BenchMarkDataReport!$B:$B,CFR20252026_BenchMarkDataReport!Z:Z),0)</f>
        <v>98472.36</v>
      </c>
      <c r="L61" s="88">
        <f>IFERROR(_xlfn.XLOOKUP($A61,CFR20252026_BenchMarkDataReport!$B:$B,CFR20252026_BenchMarkDataReport!AA:AA),0)</f>
        <v>0</v>
      </c>
      <c r="M61" s="88">
        <f>IFERROR(_xlfn.XLOOKUP($A61,CFR20252026_BenchMarkDataReport!$B:$B,CFR20252026_BenchMarkDataReport!AB:AB),0)</f>
        <v>506.39</v>
      </c>
      <c r="N61" s="88">
        <f>IFERROR(_xlfn.XLOOKUP($A61,CFR20252026_BenchMarkDataReport!$B:$B,CFR20252026_BenchMarkDataReport!AC:AC),0)</f>
        <v>8400</v>
      </c>
      <c r="O61" s="88">
        <f>IFERROR(_xlfn.XLOOKUP($A61,CFR20252026_BenchMarkDataReport!$B:$B,CFR20252026_BenchMarkDataReport!AD:AD),0)</f>
        <v>0</v>
      </c>
      <c r="P61" s="88">
        <f>IFERROR(_xlfn.XLOOKUP($A61,CFR20252026_BenchMarkDataReport!$B:$B,CFR20252026_BenchMarkDataReport!AE:AE),0)</f>
        <v>27770.65</v>
      </c>
      <c r="Q61" s="88">
        <f>IFERROR(_xlfn.XLOOKUP($A61,CFR20252026_BenchMarkDataReport!$B:$B,CFR20252026_BenchMarkDataReport!AF:AF),0)</f>
        <v>81834.38</v>
      </c>
      <c r="R61" s="88">
        <f>IFERROR(_xlfn.XLOOKUP($A61,CFR20252026_BenchMarkDataReport!$B:$B,CFR20252026_BenchMarkDataReport!AG:AG),0)</f>
        <v>0</v>
      </c>
      <c r="S61" s="88">
        <f>IFERROR(_xlfn.XLOOKUP($A61,CFR20252026_BenchMarkDataReport!$B:$B,CFR20252026_BenchMarkDataReport!AH:AH),0)</f>
        <v>0</v>
      </c>
      <c r="T61" s="88">
        <f>IFERROR(_xlfn.XLOOKUP($A61,CFR20252026_BenchMarkDataReport!$B:$B,CFR20252026_BenchMarkDataReport!AI:AI),0)</f>
        <v>0</v>
      </c>
      <c r="U61" s="88">
        <f>IFERROR(_xlfn.XLOOKUP($A61,CFR20252026_BenchMarkDataReport!$B:$B,CFR20252026_BenchMarkDataReport!AJ:AJ),0)</f>
        <v>771219.9</v>
      </c>
      <c r="V61" s="88">
        <f>IFERROR(_xlfn.XLOOKUP($A61,CFR20252026_BenchMarkDataReport!$B:$B,CFR20252026_BenchMarkDataReport!AK:AK),0)</f>
        <v>0</v>
      </c>
      <c r="W61" s="88">
        <f>IFERROR(_xlfn.XLOOKUP($A61,CFR20252026_BenchMarkDataReport!$B:$B,CFR20252026_BenchMarkDataReport!AL:AL),0)</f>
        <v>216930.23</v>
      </c>
      <c r="X61" s="88">
        <f>IFERROR(_xlfn.XLOOKUP($A61,CFR20252026_BenchMarkDataReport!$B:$B,CFR20252026_BenchMarkDataReport!AM:AM),0)</f>
        <v>42557.22</v>
      </c>
      <c r="Y61" s="88">
        <f>IFERROR(_xlfn.XLOOKUP($A61,CFR20252026_BenchMarkDataReport!$B:$B,CFR20252026_BenchMarkDataReport!AN:AN),0)</f>
        <v>73801.78</v>
      </c>
      <c r="Z61" s="88">
        <f>IFERROR(_xlfn.XLOOKUP($A61,CFR20252026_BenchMarkDataReport!$B:$B,CFR20252026_BenchMarkDataReport!AO:AO),0)</f>
        <v>0</v>
      </c>
      <c r="AA61" s="88">
        <f>IFERROR(_xlfn.XLOOKUP($A61,CFR20252026_BenchMarkDataReport!$B:$B,CFR20252026_BenchMarkDataReport!AP:AP),0)</f>
        <v>63790.94</v>
      </c>
      <c r="AB61" s="88">
        <f>IFERROR(_xlfn.XLOOKUP($A61,CFR20252026_BenchMarkDataReport!$B:$B,CFR20252026_BenchMarkDataReport!AQ:AQ),0)</f>
        <v>550.22</v>
      </c>
      <c r="AC61" s="88">
        <f>IFERROR(_xlfn.XLOOKUP($A61,CFR20252026_BenchMarkDataReport!$B:$B,CFR20252026_BenchMarkDataReport!AR:AR),0)</f>
        <v>3052.41</v>
      </c>
      <c r="AD61" s="88">
        <f>IFERROR(_xlfn.XLOOKUP($A61,CFR20252026_BenchMarkDataReport!$B:$B,CFR20252026_BenchMarkDataReport!AS:AS),0)</f>
        <v>5195.3900000000003</v>
      </c>
      <c r="AE61" s="88">
        <f>IFERROR(_xlfn.XLOOKUP($A61,CFR20252026_BenchMarkDataReport!$B:$B,CFR20252026_BenchMarkDataReport!AT:AT),0)</f>
        <v>0</v>
      </c>
      <c r="AF61" s="88">
        <f>IFERROR(_xlfn.XLOOKUP($A61,CFR20252026_BenchMarkDataReport!$B:$B,CFR20252026_BenchMarkDataReport!AU:AU),0)</f>
        <v>14214.76</v>
      </c>
      <c r="AG61" s="88">
        <f>IFERROR(_xlfn.XLOOKUP($A61,CFR20252026_BenchMarkDataReport!$B:$B,CFR20252026_BenchMarkDataReport!AV:AV),0)</f>
        <v>0</v>
      </c>
      <c r="AH61" s="88">
        <f>IFERROR(_xlfn.XLOOKUP($A61,CFR20252026_BenchMarkDataReport!$B:$B,CFR20252026_BenchMarkDataReport!AW:AW),0)</f>
        <v>1593.12</v>
      </c>
      <c r="AI61" s="88">
        <f>IFERROR(_xlfn.XLOOKUP($A61,CFR20252026_BenchMarkDataReport!$B:$B,CFR20252026_BenchMarkDataReport!AX:AX),0)</f>
        <v>8270.99</v>
      </c>
      <c r="AJ61" s="88">
        <f>IFERROR(_xlfn.XLOOKUP($A61,CFR20252026_BenchMarkDataReport!$B:$B,CFR20252026_BenchMarkDataReport!AY:AY),0)</f>
        <v>22387.13</v>
      </c>
      <c r="AK61" s="88">
        <f>IFERROR(_xlfn.XLOOKUP($A61,CFR20252026_BenchMarkDataReport!$B:$B,CFR20252026_BenchMarkDataReport!AZ:AZ),0)</f>
        <v>4242.91</v>
      </c>
      <c r="AL61" s="88">
        <f>IFERROR(_xlfn.XLOOKUP($A61,CFR20252026_BenchMarkDataReport!$B:$B,CFR20252026_BenchMarkDataReport!BA:BA),0)</f>
        <v>9468.56</v>
      </c>
      <c r="AM61" s="88">
        <f>IFERROR(_xlfn.XLOOKUP($A61,CFR20252026_BenchMarkDataReport!$B:$B,CFR20252026_BenchMarkDataReport!BB:BB),0)</f>
        <v>72265.31</v>
      </c>
      <c r="AN61" s="88">
        <f>IFERROR(_xlfn.XLOOKUP($A61,CFR20252026_BenchMarkDataReport!$B:$B,CFR20252026_BenchMarkDataReport!BC:BC),0)</f>
        <v>8297.5</v>
      </c>
      <c r="AO61" s="88">
        <f>IFERROR(_xlfn.XLOOKUP($A61,CFR20252026_BenchMarkDataReport!$B:$B,CFR20252026_BenchMarkDataReport!BD:BD),0)</f>
        <v>0</v>
      </c>
      <c r="AP61" s="88">
        <f>IFERROR(_xlfn.XLOOKUP($A61,CFR20252026_BenchMarkDataReport!$B:$B,CFR20252026_BenchMarkDataReport!BE:BE),0)</f>
        <v>1198.26</v>
      </c>
      <c r="AQ61" s="88">
        <f>IFERROR(_xlfn.XLOOKUP($A61,CFR20252026_BenchMarkDataReport!$B:$B,CFR20252026_BenchMarkDataReport!BF:BF),0)</f>
        <v>6757.96</v>
      </c>
      <c r="AR61" s="88">
        <f>IFERROR(_xlfn.XLOOKUP($A61,CFR20252026_BenchMarkDataReport!$B:$B,CFR20252026_BenchMarkDataReport!BG:BG),0)</f>
        <v>0</v>
      </c>
      <c r="AS61" s="88">
        <f>IFERROR(_xlfn.XLOOKUP($A61,CFR20252026_BenchMarkDataReport!$B:$B,CFR20252026_BenchMarkDataReport!BH:BH),0)</f>
        <v>25.48</v>
      </c>
      <c r="AT61" s="88">
        <f>IFERROR(_xlfn.XLOOKUP($A61,CFR20252026_BenchMarkDataReport!$B:$B,CFR20252026_BenchMarkDataReport!BI:BI),0)</f>
        <v>0</v>
      </c>
      <c r="AU61" s="88">
        <f>IFERROR(_xlfn.XLOOKUP($A61,CFR20252026_BenchMarkDataReport!$B:$B,CFR20252026_BenchMarkDataReport!BJ:BJ),0)</f>
        <v>0</v>
      </c>
      <c r="AV61" s="88">
        <f>IFERROR(_xlfn.XLOOKUP($A61,CFR20252026_BenchMarkDataReport!$B:$B,CFR20252026_BenchMarkDataReport!BK:BK),0)</f>
        <v>1371.11</v>
      </c>
      <c r="AW61" s="88">
        <f>IFERROR(_xlfn.XLOOKUP($A61,CFR20252026_BenchMarkDataReport!$B:$B,CFR20252026_BenchMarkDataReport!BL:BL),0)</f>
        <v>8589.24</v>
      </c>
      <c r="AX61" s="88">
        <f>IFERROR(_xlfn.XLOOKUP($A61,CFR20252026_BenchMarkDataReport!$B:$B,CFR20252026_BenchMarkDataReport!BM:BM),0)</f>
        <v>18070.939999999999</v>
      </c>
      <c r="AY61" s="88">
        <f>IFERROR(_xlfn.XLOOKUP($A61,CFR20252026_BenchMarkDataReport!$B:$B,CFR20252026_BenchMarkDataReport!BN:BN),0)</f>
        <v>91701.19</v>
      </c>
      <c r="AZ61" s="88">
        <f>IFERROR(_xlfn.XLOOKUP($A61,CFR20252026_BenchMarkDataReport!$B:$B,CFR20252026_BenchMarkDataReport!BO:BO),0)</f>
        <v>28008.66</v>
      </c>
      <c r="BA61" s="88">
        <f>IFERROR(_xlfn.XLOOKUP($A61,CFR20252026_BenchMarkDataReport!$B:$B,CFR20252026_BenchMarkDataReport!BP:BP),0)</f>
        <v>34045.879999999997</v>
      </c>
      <c r="BB61" s="88">
        <f>IFERROR(_xlfn.XLOOKUP($A61,CFR20252026_BenchMarkDataReport!$B:$B,CFR20252026_BenchMarkDataReport!BQ:BQ),0)</f>
        <v>37875.18</v>
      </c>
      <c r="BC61" s="88">
        <f>IFERROR(_xlfn.XLOOKUP($A61,CFR20252026_BenchMarkDataReport!$B:$B,CFR20252026_BenchMarkDataReport!BR:BR),0)</f>
        <v>0</v>
      </c>
      <c r="BD61" s="88">
        <f>IFERROR(_xlfn.XLOOKUP($A61,CFR20252026_BenchMarkDataReport!$B:$B,CFR20252026_BenchMarkDataReport!BS:BS),0)</f>
        <v>0</v>
      </c>
      <c r="BE61" s="88">
        <f>IFERROR(_xlfn.XLOOKUP($A61,CFR20252026_BenchMarkDataReport!$B:$B,CFR20252026_BenchMarkDataReport!BT:BT),0)</f>
        <v>0</v>
      </c>
      <c r="BF61" s="88">
        <f>IFERROR(_xlfn.XLOOKUP($A61,CFR20252026_BenchMarkDataReport!$B:$B,CFR20252026_BenchMarkDataReport!BU:BU),0)</f>
        <v>0</v>
      </c>
      <c r="BG61" s="88">
        <f>IFERROR(_xlfn.XLOOKUP($A61,CFR20252026_BenchMarkDataReport!$B:$B,CFR20252026_BenchMarkDataReport!BV:BV),0)</f>
        <v>0</v>
      </c>
      <c r="BH61" s="89">
        <f t="shared" si="0"/>
        <v>1511317.27</v>
      </c>
      <c r="BI61" s="90">
        <f t="shared" si="88"/>
        <v>1545482.2699999993</v>
      </c>
      <c r="BJ61" s="126">
        <f t="shared" si="89"/>
        <v>-34164.999999999302</v>
      </c>
      <c r="BK61" s="88">
        <f>IFERROR(_xlfn.XLOOKUP(A61,CFR20252026_BenchMarkDataReport!$B:$B,CFR20252026_BenchMarkDataReport!P:P)+_xlfn.XLOOKUP(A61,CFR20252026_BenchMarkDataReport!$B:$B,CFR20252026_BenchMarkDataReport!Q:Q),0)</f>
        <v>44643</v>
      </c>
      <c r="BL61" s="89">
        <f t="shared" si="1"/>
        <v>10478.000000000698</v>
      </c>
      <c r="BM61" s="91">
        <f>SUMIFS(PP!I:I,PP!E:E,A61)</f>
        <v>198</v>
      </c>
      <c r="BN61" s="90">
        <f t="shared" si="133"/>
        <v>1177851.1199999999</v>
      </c>
      <c r="BO61" t="s">
        <v>173</v>
      </c>
      <c r="BP61" s="92">
        <f t="shared" si="203"/>
        <v>0.76542591219115752</v>
      </c>
      <c r="BQ61" s="93">
        <f t="shared" si="204"/>
        <v>5842.4313131313129</v>
      </c>
      <c r="BR61" s="94">
        <f t="shared" si="205"/>
        <v>0</v>
      </c>
      <c r="BS61" s="95">
        <f t="shared" si="206"/>
        <v>0</v>
      </c>
      <c r="BT61" s="92">
        <f t="shared" si="207"/>
        <v>1.3928061577699036E-2</v>
      </c>
      <c r="BU61" s="93">
        <f t="shared" si="208"/>
        <v>106.31171717171718</v>
      </c>
      <c r="BV61" s="94">
        <f t="shared" si="209"/>
        <v>0</v>
      </c>
      <c r="BW61" s="95">
        <f t="shared" si="210"/>
        <v>0</v>
      </c>
      <c r="BX61" s="92">
        <f t="shared" si="211"/>
        <v>8.7572611408059942E-3</v>
      </c>
      <c r="BY61" s="93">
        <f t="shared" si="212"/>
        <v>66.843434343434339</v>
      </c>
      <c r="BZ61" s="94">
        <f t="shared" si="213"/>
        <v>3.071228055244813E-2</v>
      </c>
      <c r="CA61" s="95">
        <f t="shared" si="214"/>
        <v>234.42424242424244</v>
      </c>
      <c r="CB61" s="92">
        <f t="shared" si="215"/>
        <v>3.7603864607462602E-2</v>
      </c>
      <c r="CC61" s="93">
        <f t="shared" si="216"/>
        <v>287.02712121212124</v>
      </c>
      <c r="CD61" s="94">
        <f t="shared" si="217"/>
        <v>6.5156643118357269E-2</v>
      </c>
      <c r="CE61" s="96">
        <f t="shared" si="218"/>
        <v>497.33515151515149</v>
      </c>
      <c r="CF61" s="97">
        <f t="shared" si="219"/>
        <v>1.8375129134863919E-2</v>
      </c>
      <c r="CG61" s="98">
        <f t="shared" si="220"/>
        <v>140.25580808080809</v>
      </c>
      <c r="CH61" s="94">
        <f t="shared" si="221"/>
        <v>5.4147717110385435E-2</v>
      </c>
      <c r="CI61" s="95">
        <f t="shared" si="222"/>
        <v>413.30494949494954</v>
      </c>
      <c r="CJ61" s="99">
        <f t="shared" si="90"/>
        <v>0.67854803245422068</v>
      </c>
      <c r="CK61" s="97">
        <f t="shared" si="91"/>
        <v>0.52882910548623585</v>
      </c>
      <c r="CL61" s="97">
        <f t="shared" si="92"/>
        <v>0.51713861460215937</v>
      </c>
      <c r="CM61" s="98">
        <f t="shared" si="93"/>
        <v>4036.5078787878792</v>
      </c>
      <c r="CN61" s="94">
        <f t="shared" si="94"/>
        <v>0.18417457547605851</v>
      </c>
      <c r="CO61" s="100">
        <f t="shared" si="95"/>
        <v>0.14353718726445838</v>
      </c>
      <c r="CP61" s="100">
        <f t="shared" si="96"/>
        <v>0.14036410136235344</v>
      </c>
      <c r="CQ61" s="101">
        <f t="shared" si="97"/>
        <v>1095.6072222222222</v>
      </c>
      <c r="CR61" s="99">
        <f t="shared" si="98"/>
        <v>3.6131238725654907E-2</v>
      </c>
      <c r="CS61" s="97">
        <f t="shared" si="99"/>
        <v>2.8159024478030349E-2</v>
      </c>
      <c r="CT61" s="97">
        <f t="shared" si="100"/>
        <v>2.7536530716719267E-2</v>
      </c>
      <c r="CU61" s="98">
        <f t="shared" si="101"/>
        <v>214.93545454545455</v>
      </c>
      <c r="CV61" s="94">
        <f t="shared" si="102"/>
        <v>6.2657986860003165E-2</v>
      </c>
      <c r="CW61" s="100">
        <f t="shared" si="103"/>
        <v>4.8832751047700261E-2</v>
      </c>
      <c r="CX61" s="100">
        <f t="shared" si="104"/>
        <v>4.7753236276207832E-2</v>
      </c>
      <c r="CY61" s="95">
        <f t="shared" si="105"/>
        <v>372.7362626262626</v>
      </c>
      <c r="CZ61" s="99">
        <f t="shared" si="106"/>
        <v>0.99189112287807646</v>
      </c>
      <c r="DA61" s="97">
        <f t="shared" si="107"/>
        <v>0.77303428816108199</v>
      </c>
      <c r="DB61" s="97">
        <f t="shared" si="108"/>
        <v>0.75594530760938483</v>
      </c>
      <c r="DC61" s="98">
        <f t="shared" si="109"/>
        <v>5900.5054040404029</v>
      </c>
      <c r="DD61" s="94">
        <f t="shared" si="110"/>
        <v>1.2068384330270876E-2</v>
      </c>
      <c r="DE61" s="100">
        <f t="shared" si="111"/>
        <v>9.1976208824446799E-3</v>
      </c>
      <c r="DF61" s="95">
        <f t="shared" si="112"/>
        <v>71.791717171717167</v>
      </c>
      <c r="DG61" s="99">
        <f t="shared" si="113"/>
        <v>5.3517210520959285E-3</v>
      </c>
      <c r="DH61" s="98">
        <f t="shared" si="114"/>
        <v>41.772676767676764</v>
      </c>
      <c r="DI61" s="94">
        <f t="shared" si="115"/>
        <v>1.9006756983004781E-2</v>
      </c>
      <c r="DJ61" s="100">
        <f t="shared" si="116"/>
        <v>1.448553013811023E-2</v>
      </c>
      <c r="DK61" s="95">
        <f t="shared" si="117"/>
        <v>113.06631313131314</v>
      </c>
      <c r="DL61" s="99">
        <f t="shared" si="118"/>
        <v>8.0388428038341564E-3</v>
      </c>
      <c r="DM61" s="97">
        <f t="shared" si="119"/>
        <v>6.1266053864209025E-3</v>
      </c>
      <c r="DN61" s="102">
        <f t="shared" si="120"/>
        <v>47.821010101010096</v>
      </c>
      <c r="DO61" s="94">
        <f t="shared" si="121"/>
        <v>6.1353518091488514E-2</v>
      </c>
      <c r="DP61" s="100">
        <f t="shared" si="122"/>
        <v>4.7816108129301003E-2</v>
      </c>
      <c r="DQ61" s="100">
        <f t="shared" si="123"/>
        <v>4.6759067640420121E-2</v>
      </c>
      <c r="DR61" s="95">
        <f t="shared" si="124"/>
        <v>364.97631313131313</v>
      </c>
      <c r="DS61" s="99">
        <f t="shared" si="125"/>
        <v>1.1640775109166598E-3</v>
      </c>
      <c r="DT61" s="97">
        <f t="shared" si="126"/>
        <v>8.8717290816930591E-4</v>
      </c>
      <c r="DU61" s="98">
        <f t="shared" si="127"/>
        <v>6.9247979797979795</v>
      </c>
      <c r="DV61" s="94">
        <f t="shared" si="128"/>
        <v>2.8905079276912351E-2</v>
      </c>
      <c r="DW61" s="100">
        <f t="shared" si="129"/>
        <v>2.2029291866285862E-2</v>
      </c>
      <c r="DX61" s="95">
        <f t="shared" si="130"/>
        <v>171.94888888888889</v>
      </c>
      <c r="DY61" s="99">
        <f t="shared" si="131"/>
        <v>5.9334999682655723E-2</v>
      </c>
      <c r="DZ61" s="98">
        <f t="shared" si="132"/>
        <v>463.13732323232324</v>
      </c>
      <c r="EA61" s="94">
        <f t="shared" si="14"/>
        <v>1.0308238605674853E-3</v>
      </c>
      <c r="EB61" s="95">
        <f t="shared" si="84"/>
        <v>8.046060606060605</v>
      </c>
      <c r="EC61" s="103">
        <f>IFERROR(VLOOKUP(A61,PP!$E$3:$S$130,14,0),0)</f>
        <v>7</v>
      </c>
    </row>
    <row r="62" spans="1:133">
      <c r="A62" s="26">
        <v>3504</v>
      </c>
      <c r="B62" s="125">
        <v>10088</v>
      </c>
      <c r="C62" s="26" t="s">
        <v>85</v>
      </c>
      <c r="D62" s="88">
        <f>IFERROR(_xlfn.XLOOKUP($A62,CFR20252026_BenchMarkDataReport!$B:$B,CFR20252026_BenchMarkDataReport!S:S),0)</f>
        <v>2546338.44</v>
      </c>
      <c r="E62" s="88">
        <f>IFERROR(_xlfn.XLOOKUP($A62,CFR20252026_BenchMarkDataReport!$B:$B,CFR20252026_BenchMarkDataReport!T:T),0)</f>
        <v>0</v>
      </c>
      <c r="F62" s="88">
        <f>IFERROR(_xlfn.XLOOKUP($A62,CFR20252026_BenchMarkDataReport!$B:$B,CFR20252026_BenchMarkDataReport!U:U),0)</f>
        <v>77698.490000000005</v>
      </c>
      <c r="G62" s="88">
        <f>IFERROR(_xlfn.XLOOKUP($A62,CFR20252026_BenchMarkDataReport!$B:$B,CFR20252026_BenchMarkDataReport!V:V),0)</f>
        <v>0</v>
      </c>
      <c r="H62" s="88">
        <f>IFERROR(_xlfn.XLOOKUP($A62,CFR20252026_BenchMarkDataReport!$B:$B,CFR20252026_BenchMarkDataReport!W:W),0)</f>
        <v>42119</v>
      </c>
      <c r="I62" s="88">
        <f>IFERROR(_xlfn.XLOOKUP($A62,CFR20252026_BenchMarkDataReport!$B:$B,CFR20252026_BenchMarkDataReport!X:X),0)</f>
        <v>105332.84</v>
      </c>
      <c r="J62" s="88">
        <f>IFERROR(_xlfn.XLOOKUP($A62,CFR20252026_BenchMarkDataReport!$B:$B,CFR20252026_BenchMarkDataReport!Y:Y),0)</f>
        <v>152566.57999999999</v>
      </c>
      <c r="K62" s="88">
        <f>IFERROR(_xlfn.XLOOKUP($A62,CFR20252026_BenchMarkDataReport!$B:$B,CFR20252026_BenchMarkDataReport!Z:Z),0)</f>
        <v>356.25</v>
      </c>
      <c r="L62" s="88">
        <f>IFERROR(_xlfn.XLOOKUP($A62,CFR20252026_BenchMarkDataReport!$B:$B,CFR20252026_BenchMarkDataReport!AA:AA),0)</f>
        <v>204821.54</v>
      </c>
      <c r="M62" s="88">
        <f>IFERROR(_xlfn.XLOOKUP($A62,CFR20252026_BenchMarkDataReport!$B:$B,CFR20252026_BenchMarkDataReport!AB:AB),0)</f>
        <v>791.54</v>
      </c>
      <c r="N62" s="88">
        <f>IFERROR(_xlfn.XLOOKUP($A62,CFR20252026_BenchMarkDataReport!$B:$B,CFR20252026_BenchMarkDataReport!AC:AC),0)</f>
        <v>0</v>
      </c>
      <c r="O62" s="88">
        <f>IFERROR(_xlfn.XLOOKUP($A62,CFR20252026_BenchMarkDataReport!$B:$B,CFR20252026_BenchMarkDataReport!AD:AD),0)</f>
        <v>0</v>
      </c>
      <c r="P62" s="88">
        <f>IFERROR(_xlfn.XLOOKUP($A62,CFR20252026_BenchMarkDataReport!$B:$B,CFR20252026_BenchMarkDataReport!AE:AE),0)</f>
        <v>118748.97</v>
      </c>
      <c r="Q62" s="88">
        <f>IFERROR(_xlfn.XLOOKUP($A62,CFR20252026_BenchMarkDataReport!$B:$B,CFR20252026_BenchMarkDataReport!AF:AF),0)</f>
        <v>30765.82</v>
      </c>
      <c r="R62" s="88">
        <f>IFERROR(_xlfn.XLOOKUP($A62,CFR20252026_BenchMarkDataReport!$B:$B,CFR20252026_BenchMarkDataReport!AG:AG),0)</f>
        <v>0</v>
      </c>
      <c r="S62" s="88">
        <f>IFERROR(_xlfn.XLOOKUP($A62,CFR20252026_BenchMarkDataReport!$B:$B,CFR20252026_BenchMarkDataReport!AH:AH),0)</f>
        <v>0</v>
      </c>
      <c r="T62" s="88">
        <f>IFERROR(_xlfn.XLOOKUP($A62,CFR20252026_BenchMarkDataReport!$B:$B,CFR20252026_BenchMarkDataReport!AI:AI),0)</f>
        <v>0</v>
      </c>
      <c r="U62" s="88">
        <f>IFERROR(_xlfn.XLOOKUP($A62,CFR20252026_BenchMarkDataReport!$B:$B,CFR20252026_BenchMarkDataReport!AJ:AJ),0)</f>
        <v>1648850.92</v>
      </c>
      <c r="V62" s="88">
        <f>IFERROR(_xlfn.XLOOKUP($A62,CFR20252026_BenchMarkDataReport!$B:$B,CFR20252026_BenchMarkDataReport!AK:AK),0)</f>
        <v>0</v>
      </c>
      <c r="W62" s="88">
        <f>IFERROR(_xlfn.XLOOKUP($A62,CFR20252026_BenchMarkDataReport!$B:$B,CFR20252026_BenchMarkDataReport!AL:AL),0)</f>
        <v>615543.49</v>
      </c>
      <c r="X62" s="88">
        <f>IFERROR(_xlfn.XLOOKUP($A62,CFR20252026_BenchMarkDataReport!$B:$B,CFR20252026_BenchMarkDataReport!AM:AM),0)</f>
        <v>106534.87</v>
      </c>
      <c r="Y62" s="88">
        <f>IFERROR(_xlfn.XLOOKUP($A62,CFR20252026_BenchMarkDataReport!$B:$B,CFR20252026_BenchMarkDataReport!AN:AN),0)</f>
        <v>149432.94</v>
      </c>
      <c r="Z62" s="88">
        <f>IFERROR(_xlfn.XLOOKUP($A62,CFR20252026_BenchMarkDataReport!$B:$B,CFR20252026_BenchMarkDataReport!AO:AO),0)</f>
        <v>0</v>
      </c>
      <c r="AA62" s="88">
        <f>IFERROR(_xlfn.XLOOKUP($A62,CFR20252026_BenchMarkDataReport!$B:$B,CFR20252026_BenchMarkDataReport!AP:AP),0)</f>
        <v>107793.2</v>
      </c>
      <c r="AB62" s="88">
        <f>IFERROR(_xlfn.XLOOKUP($A62,CFR20252026_BenchMarkDataReport!$B:$B,CFR20252026_BenchMarkDataReport!AQ:AQ),0)</f>
        <v>4617.9799999999996</v>
      </c>
      <c r="AC62" s="88">
        <f>IFERROR(_xlfn.XLOOKUP($A62,CFR20252026_BenchMarkDataReport!$B:$B,CFR20252026_BenchMarkDataReport!AR:AR),0)</f>
        <v>8666.35</v>
      </c>
      <c r="AD62" s="88">
        <f>IFERROR(_xlfn.XLOOKUP($A62,CFR20252026_BenchMarkDataReport!$B:$B,CFR20252026_BenchMarkDataReport!AS:AS),0)</f>
        <v>721.62</v>
      </c>
      <c r="AE62" s="88">
        <f>IFERROR(_xlfn.XLOOKUP($A62,CFR20252026_BenchMarkDataReport!$B:$B,CFR20252026_BenchMarkDataReport!AT:AT),0)</f>
        <v>0</v>
      </c>
      <c r="AF62" s="88">
        <f>IFERROR(_xlfn.XLOOKUP($A62,CFR20252026_BenchMarkDataReport!$B:$B,CFR20252026_BenchMarkDataReport!AU:AU),0)</f>
        <v>28027.360000000001</v>
      </c>
      <c r="AG62" s="88">
        <f>IFERROR(_xlfn.XLOOKUP($A62,CFR20252026_BenchMarkDataReport!$B:$B,CFR20252026_BenchMarkDataReport!AV:AV),0)</f>
        <v>11486.6</v>
      </c>
      <c r="AH62" s="88">
        <f>IFERROR(_xlfn.XLOOKUP($A62,CFR20252026_BenchMarkDataReport!$B:$B,CFR20252026_BenchMarkDataReport!AW:AW),0)</f>
        <v>8996.02</v>
      </c>
      <c r="AI62" s="88">
        <f>IFERROR(_xlfn.XLOOKUP($A62,CFR20252026_BenchMarkDataReport!$B:$B,CFR20252026_BenchMarkDataReport!AX:AX),0)</f>
        <v>10608.19</v>
      </c>
      <c r="AJ62" s="88">
        <f>IFERROR(_xlfn.XLOOKUP($A62,CFR20252026_BenchMarkDataReport!$B:$B,CFR20252026_BenchMarkDataReport!AY:AY),0)</f>
        <v>31723.46</v>
      </c>
      <c r="AK62" s="88">
        <f>IFERROR(_xlfn.XLOOKUP($A62,CFR20252026_BenchMarkDataReport!$B:$B,CFR20252026_BenchMarkDataReport!AZ:AZ),0)</f>
        <v>8565.6299999999992</v>
      </c>
      <c r="AL62" s="88">
        <f>IFERROR(_xlfn.XLOOKUP($A62,CFR20252026_BenchMarkDataReport!$B:$B,CFR20252026_BenchMarkDataReport!BA:BA),0)</f>
        <v>12573.8</v>
      </c>
      <c r="AM62" s="88">
        <f>IFERROR(_xlfn.XLOOKUP($A62,CFR20252026_BenchMarkDataReport!$B:$B,CFR20252026_BenchMarkDataReport!BB:BB),0)</f>
        <v>69203.98</v>
      </c>
      <c r="AN62" s="88">
        <f>IFERROR(_xlfn.XLOOKUP($A62,CFR20252026_BenchMarkDataReport!$B:$B,CFR20252026_BenchMarkDataReport!BC:BC),0)</f>
        <v>8578.8799999999992</v>
      </c>
      <c r="AO62" s="88">
        <f>IFERROR(_xlfn.XLOOKUP($A62,CFR20252026_BenchMarkDataReport!$B:$B,CFR20252026_BenchMarkDataReport!BD:BD),0)</f>
        <v>0</v>
      </c>
      <c r="AP62" s="88">
        <f>IFERROR(_xlfn.XLOOKUP($A62,CFR20252026_BenchMarkDataReport!$B:$B,CFR20252026_BenchMarkDataReport!BE:BE),0)</f>
        <v>8943.9699999999993</v>
      </c>
      <c r="AQ62" s="88">
        <f>IFERROR(_xlfn.XLOOKUP($A62,CFR20252026_BenchMarkDataReport!$B:$B,CFR20252026_BenchMarkDataReport!BF:BF),0)</f>
        <v>24409.93</v>
      </c>
      <c r="AR62" s="88">
        <f>IFERROR(_xlfn.XLOOKUP($A62,CFR20252026_BenchMarkDataReport!$B:$B,CFR20252026_BenchMarkDataReport!BG:BG),0)</f>
        <v>13367.38</v>
      </c>
      <c r="AS62" s="88">
        <f>IFERROR(_xlfn.XLOOKUP($A62,CFR20252026_BenchMarkDataReport!$B:$B,CFR20252026_BenchMarkDataReport!BH:BH),0)</f>
        <v>463.86</v>
      </c>
      <c r="AT62" s="88">
        <f>IFERROR(_xlfn.XLOOKUP($A62,CFR20252026_BenchMarkDataReport!$B:$B,CFR20252026_BenchMarkDataReport!BI:BI),0)</f>
        <v>14398.25</v>
      </c>
      <c r="AU62" s="88">
        <f>IFERROR(_xlfn.XLOOKUP($A62,CFR20252026_BenchMarkDataReport!$B:$B,CFR20252026_BenchMarkDataReport!BJ:BJ),0)</f>
        <v>0</v>
      </c>
      <c r="AV62" s="88">
        <f>IFERROR(_xlfn.XLOOKUP($A62,CFR20252026_BenchMarkDataReport!$B:$B,CFR20252026_BenchMarkDataReport!BK:BK),0)</f>
        <v>7166.69</v>
      </c>
      <c r="AW62" s="88">
        <f>IFERROR(_xlfn.XLOOKUP($A62,CFR20252026_BenchMarkDataReport!$B:$B,CFR20252026_BenchMarkDataReport!BL:BL),0)</f>
        <v>19021.86</v>
      </c>
      <c r="AX62" s="88">
        <f>IFERROR(_xlfn.XLOOKUP($A62,CFR20252026_BenchMarkDataReport!$B:$B,CFR20252026_BenchMarkDataReport!BM:BM),0)</f>
        <v>56739.11</v>
      </c>
      <c r="AY62" s="88">
        <f>IFERROR(_xlfn.XLOOKUP($A62,CFR20252026_BenchMarkDataReport!$B:$B,CFR20252026_BenchMarkDataReport!BN:BN),0)</f>
        <v>182779.6</v>
      </c>
      <c r="AZ62" s="88">
        <f>IFERROR(_xlfn.XLOOKUP($A62,CFR20252026_BenchMarkDataReport!$B:$B,CFR20252026_BenchMarkDataReport!BO:BO),0)</f>
        <v>41839</v>
      </c>
      <c r="BA62" s="88">
        <f>IFERROR(_xlfn.XLOOKUP($A62,CFR20252026_BenchMarkDataReport!$B:$B,CFR20252026_BenchMarkDataReport!BP:BP),0)</f>
        <v>63370.879999999997</v>
      </c>
      <c r="BB62" s="88">
        <f>IFERROR(_xlfn.XLOOKUP($A62,CFR20252026_BenchMarkDataReport!$B:$B,CFR20252026_BenchMarkDataReport!BQ:BQ),0)</f>
        <v>51719.48</v>
      </c>
      <c r="BC62" s="88">
        <f>IFERROR(_xlfn.XLOOKUP($A62,CFR20252026_BenchMarkDataReport!$B:$B,CFR20252026_BenchMarkDataReport!BR:BR),0)</f>
        <v>0</v>
      </c>
      <c r="BD62" s="88">
        <f>IFERROR(_xlfn.XLOOKUP($A62,CFR20252026_BenchMarkDataReport!$B:$B,CFR20252026_BenchMarkDataReport!BS:BS),0)</f>
        <v>0</v>
      </c>
      <c r="BE62" s="88">
        <f>IFERROR(_xlfn.XLOOKUP($A62,CFR20252026_BenchMarkDataReport!$B:$B,CFR20252026_BenchMarkDataReport!BT:BT),0)</f>
        <v>8234.17</v>
      </c>
      <c r="BF62" s="88">
        <f>IFERROR(_xlfn.XLOOKUP($A62,CFR20252026_BenchMarkDataReport!$B:$B,CFR20252026_BenchMarkDataReport!BU:BU),0)</f>
        <v>0</v>
      </c>
      <c r="BG62" s="88">
        <f>IFERROR(_xlfn.XLOOKUP($A62,CFR20252026_BenchMarkDataReport!$B:$B,CFR20252026_BenchMarkDataReport!BV:BV),0)</f>
        <v>0</v>
      </c>
      <c r="BH62" s="89">
        <f t="shared" si="0"/>
        <v>3279539.47</v>
      </c>
      <c r="BI62" s="90">
        <f t="shared" si="88"/>
        <v>3324379.4699999997</v>
      </c>
      <c r="BJ62" s="126">
        <f t="shared" si="89"/>
        <v>-44839.999999999534</v>
      </c>
      <c r="BK62" s="88">
        <f>IFERROR(_xlfn.XLOOKUP(A62,CFR20252026_BenchMarkDataReport!$B:$B,CFR20252026_BenchMarkDataReport!P:P)+_xlfn.XLOOKUP(A62,CFR20252026_BenchMarkDataReport!$B:$B,CFR20252026_BenchMarkDataReport!Q:Q),0)</f>
        <v>201898</v>
      </c>
      <c r="BL62" s="89">
        <f t="shared" si="1"/>
        <v>157058.00000000047</v>
      </c>
      <c r="BM62" s="91">
        <f>SUMIFS(PP!I:I,PP!E:E,A62)</f>
        <v>422</v>
      </c>
      <c r="BN62" s="90">
        <f t="shared" si="133"/>
        <v>2624036.9300000002</v>
      </c>
      <c r="BO62" t="s">
        <v>173</v>
      </c>
      <c r="BP62" s="92">
        <f t="shared" si="203"/>
        <v>0.77643171039499637</v>
      </c>
      <c r="BQ62" s="93">
        <f t="shared" si="204"/>
        <v>6033.9773459715634</v>
      </c>
      <c r="BR62" s="94">
        <f t="shared" si="205"/>
        <v>0</v>
      </c>
      <c r="BS62" s="95">
        <f t="shared" si="206"/>
        <v>0</v>
      </c>
      <c r="BT62" s="92">
        <f t="shared" si="207"/>
        <v>2.369189049583233E-2</v>
      </c>
      <c r="BU62" s="93">
        <f t="shared" si="208"/>
        <v>184.11964454976305</v>
      </c>
      <c r="BV62" s="94">
        <f t="shared" si="209"/>
        <v>0</v>
      </c>
      <c r="BW62" s="95">
        <f t="shared" si="210"/>
        <v>0</v>
      </c>
      <c r="BX62" s="92">
        <f t="shared" si="211"/>
        <v>1.2842961758895982E-2</v>
      </c>
      <c r="BY62" s="93">
        <f t="shared" si="212"/>
        <v>99.808056872037909</v>
      </c>
      <c r="BZ62" s="94">
        <f t="shared" si="213"/>
        <v>3.2118180300479811E-2</v>
      </c>
      <c r="CA62" s="95">
        <f t="shared" si="214"/>
        <v>249.60388625592415</v>
      </c>
      <c r="CB62" s="92">
        <f t="shared" si="215"/>
        <v>4.6520732985720091E-2</v>
      </c>
      <c r="CC62" s="93">
        <f t="shared" si="216"/>
        <v>361.53218009478672</v>
      </c>
      <c r="CD62" s="94">
        <f t="shared" si="217"/>
        <v>6.2562988455205262E-2</v>
      </c>
      <c r="CE62" s="96">
        <f t="shared" si="218"/>
        <v>486.20329383886258</v>
      </c>
      <c r="CF62" s="97">
        <f t="shared" si="219"/>
        <v>3.6209038215966341E-2</v>
      </c>
      <c r="CG62" s="98">
        <f t="shared" si="220"/>
        <v>281.39566350710902</v>
      </c>
      <c r="CH62" s="94">
        <f t="shared" si="221"/>
        <v>9.3811403343165116E-3</v>
      </c>
      <c r="CI62" s="95">
        <f t="shared" si="222"/>
        <v>72.904786729857818</v>
      </c>
      <c r="CJ62" s="99">
        <f t="shared" si="90"/>
        <v>0.64430873692010115</v>
      </c>
      <c r="CK62" s="97">
        <f t="shared" si="91"/>
        <v>0.51552662666993299</v>
      </c>
      <c r="CL62" s="97">
        <f t="shared" si="92"/>
        <v>0.50857308416719349</v>
      </c>
      <c r="CM62" s="98">
        <f t="shared" si="93"/>
        <v>4006.3742180094787</v>
      </c>
      <c r="CN62" s="94">
        <f t="shared" si="94"/>
        <v>0.23457882126681806</v>
      </c>
      <c r="CO62" s="100">
        <f t="shared" si="95"/>
        <v>0.18769205116473259</v>
      </c>
      <c r="CP62" s="100">
        <f t="shared" si="96"/>
        <v>0.18516041732143174</v>
      </c>
      <c r="CQ62" s="101">
        <f t="shared" si="97"/>
        <v>1458.6338625592416</v>
      </c>
      <c r="CR62" s="99">
        <f t="shared" si="98"/>
        <v>4.0599607719697749E-2</v>
      </c>
      <c r="CS62" s="97">
        <f t="shared" si="99"/>
        <v>3.2484704323439653E-2</v>
      </c>
      <c r="CT62" s="97">
        <f t="shared" si="100"/>
        <v>3.2046543110194337E-2</v>
      </c>
      <c r="CU62" s="98">
        <f t="shared" si="101"/>
        <v>252.45229857819905</v>
      </c>
      <c r="CV62" s="94">
        <f t="shared" si="102"/>
        <v>5.6947727484917672E-2</v>
      </c>
      <c r="CW62" s="100">
        <f t="shared" si="103"/>
        <v>4.5565220777781947E-2</v>
      </c>
      <c r="CX62" s="100">
        <f t="shared" si="104"/>
        <v>4.4950626530009224E-2</v>
      </c>
      <c r="CY62" s="95">
        <f t="shared" si="105"/>
        <v>354.10649289099524</v>
      </c>
      <c r="CZ62" s="99">
        <f t="shared" si="106"/>
        <v>1.0015695244045213</v>
      </c>
      <c r="DA62" s="97">
        <f t="shared" si="107"/>
        <v>0.80137941440906035</v>
      </c>
      <c r="DB62" s="97">
        <f t="shared" si="108"/>
        <v>0.79057022332050453</v>
      </c>
      <c r="DC62" s="98">
        <f t="shared" si="109"/>
        <v>6227.8564454976313</v>
      </c>
      <c r="DD62" s="94">
        <f t="shared" si="110"/>
        <v>1.0681008212792187E-2</v>
      </c>
      <c r="DE62" s="100">
        <f t="shared" si="111"/>
        <v>8.4308546160044729E-3</v>
      </c>
      <c r="DF62" s="95">
        <f t="shared" si="112"/>
        <v>66.41554502369668</v>
      </c>
      <c r="DG62" s="99">
        <f t="shared" si="113"/>
        <v>3.1910286102206022E-3</v>
      </c>
      <c r="DH62" s="98">
        <f t="shared" si="114"/>
        <v>25.137890995260666</v>
      </c>
      <c r="DI62" s="94">
        <f t="shared" si="115"/>
        <v>1.2089563084007358E-2</v>
      </c>
      <c r="DJ62" s="100">
        <f t="shared" si="116"/>
        <v>9.5426711319451154E-3</v>
      </c>
      <c r="DK62" s="95">
        <f t="shared" si="117"/>
        <v>75.174075829383881</v>
      </c>
      <c r="DL62" s="99">
        <f t="shared" si="118"/>
        <v>4.7917770730459951E-3</v>
      </c>
      <c r="DM62" s="97">
        <f t="shared" si="119"/>
        <v>3.7822998588064316E-3</v>
      </c>
      <c r="DN62" s="102">
        <f t="shared" si="120"/>
        <v>29.795734597156397</v>
      </c>
      <c r="DO62" s="94">
        <f t="shared" si="121"/>
        <v>2.6373096814609233E-2</v>
      </c>
      <c r="DP62" s="100">
        <f t="shared" si="122"/>
        <v>2.1101737189947584E-2</v>
      </c>
      <c r="DQ62" s="100">
        <f t="shared" si="123"/>
        <v>2.081711207294876E-2</v>
      </c>
      <c r="DR62" s="95">
        <f t="shared" si="124"/>
        <v>163.99047393364927</v>
      </c>
      <c r="DS62" s="99">
        <f t="shared" si="125"/>
        <v>2.7311696409699536E-3</v>
      </c>
      <c r="DT62" s="97">
        <f t="shared" si="126"/>
        <v>2.1557978157048358E-3</v>
      </c>
      <c r="DU62" s="98">
        <f t="shared" si="127"/>
        <v>16.982677725118482</v>
      </c>
      <c r="DV62" s="94">
        <f t="shared" si="128"/>
        <v>2.4150147917316084E-2</v>
      </c>
      <c r="DW62" s="100">
        <f t="shared" si="129"/>
        <v>1.9062468822188944E-2</v>
      </c>
      <c r="DX62" s="95">
        <f t="shared" si="130"/>
        <v>150.16796208530806</v>
      </c>
      <c r="DY62" s="99">
        <f t="shared" si="131"/>
        <v>5.4981569237040208E-2</v>
      </c>
      <c r="DZ62" s="98">
        <f t="shared" si="132"/>
        <v>433.12701421800949</v>
      </c>
      <c r="EA62" s="94">
        <f t="shared" si="14"/>
        <v>2.7060749475751036E-3</v>
      </c>
      <c r="EB62" s="95">
        <f t="shared" si="84"/>
        <v>21.317582938388625</v>
      </c>
      <c r="EC62" s="103">
        <f>IFERROR(VLOOKUP(A62,PP!$E$3:$S$130,14,0),0)</f>
        <v>25</v>
      </c>
    </row>
    <row r="63" spans="1:133">
      <c r="A63" s="26">
        <v>3307</v>
      </c>
      <c r="B63" s="125">
        <v>10089</v>
      </c>
      <c r="C63" s="26" t="s">
        <v>86</v>
      </c>
      <c r="D63" s="88">
        <f>IFERROR(_xlfn.XLOOKUP($A63,CFR20252026_BenchMarkDataReport!$B:$B,CFR20252026_BenchMarkDataReport!S:S),0)</f>
        <v>1365701.09</v>
      </c>
      <c r="E63" s="88">
        <f>IFERROR(_xlfn.XLOOKUP($A63,CFR20252026_BenchMarkDataReport!$B:$B,CFR20252026_BenchMarkDataReport!T:T),0)</f>
        <v>0</v>
      </c>
      <c r="F63" s="88">
        <f>IFERROR(_xlfn.XLOOKUP($A63,CFR20252026_BenchMarkDataReport!$B:$B,CFR20252026_BenchMarkDataReport!U:U),0)</f>
        <v>76178.929999999993</v>
      </c>
      <c r="G63" s="88">
        <f>IFERROR(_xlfn.XLOOKUP($A63,CFR20252026_BenchMarkDataReport!$B:$B,CFR20252026_BenchMarkDataReport!V:V),0)</f>
        <v>0</v>
      </c>
      <c r="H63" s="88">
        <f>IFERROR(_xlfn.XLOOKUP($A63,CFR20252026_BenchMarkDataReport!$B:$B,CFR20252026_BenchMarkDataReport!W:W),0)</f>
        <v>41220</v>
      </c>
      <c r="I63" s="88">
        <f>IFERROR(_xlfn.XLOOKUP($A63,CFR20252026_BenchMarkDataReport!$B:$B,CFR20252026_BenchMarkDataReport!X:X),0)</f>
        <v>50110.5</v>
      </c>
      <c r="J63" s="88">
        <f>IFERROR(_xlfn.XLOOKUP($A63,CFR20252026_BenchMarkDataReport!$B:$B,CFR20252026_BenchMarkDataReport!Y:Y),0)</f>
        <v>54415.94</v>
      </c>
      <c r="K63" s="88">
        <f>IFERROR(_xlfn.XLOOKUP($A63,CFR20252026_BenchMarkDataReport!$B:$B,CFR20252026_BenchMarkDataReport!Z:Z),0)</f>
        <v>27493.8</v>
      </c>
      <c r="L63" s="88">
        <f>IFERROR(_xlfn.XLOOKUP($A63,CFR20252026_BenchMarkDataReport!$B:$B,CFR20252026_BenchMarkDataReport!AA:AA),0)</f>
        <v>25082.51</v>
      </c>
      <c r="M63" s="88">
        <f>IFERROR(_xlfn.XLOOKUP($A63,CFR20252026_BenchMarkDataReport!$B:$B,CFR20252026_BenchMarkDataReport!AB:AB),0)</f>
        <v>1194.95</v>
      </c>
      <c r="N63" s="88">
        <f>IFERROR(_xlfn.XLOOKUP($A63,CFR20252026_BenchMarkDataReport!$B:$B,CFR20252026_BenchMarkDataReport!AC:AC),0)</f>
        <v>0</v>
      </c>
      <c r="O63" s="88">
        <f>IFERROR(_xlfn.XLOOKUP($A63,CFR20252026_BenchMarkDataReport!$B:$B,CFR20252026_BenchMarkDataReport!AD:AD),0)</f>
        <v>0</v>
      </c>
      <c r="P63" s="88">
        <f>IFERROR(_xlfn.XLOOKUP($A63,CFR20252026_BenchMarkDataReport!$B:$B,CFR20252026_BenchMarkDataReport!AE:AE),0)</f>
        <v>44490.66</v>
      </c>
      <c r="Q63" s="88">
        <f>IFERROR(_xlfn.XLOOKUP($A63,CFR20252026_BenchMarkDataReport!$B:$B,CFR20252026_BenchMarkDataReport!AF:AF),0)</f>
        <v>21638.62</v>
      </c>
      <c r="R63" s="88">
        <f>IFERROR(_xlfn.XLOOKUP($A63,CFR20252026_BenchMarkDataReport!$B:$B,CFR20252026_BenchMarkDataReport!AG:AG),0)</f>
        <v>0</v>
      </c>
      <c r="S63" s="88">
        <f>IFERROR(_xlfn.XLOOKUP($A63,CFR20252026_BenchMarkDataReport!$B:$B,CFR20252026_BenchMarkDataReport!AH:AH),0)</f>
        <v>0</v>
      </c>
      <c r="T63" s="88">
        <f>IFERROR(_xlfn.XLOOKUP($A63,CFR20252026_BenchMarkDataReport!$B:$B,CFR20252026_BenchMarkDataReport!AI:AI),0)</f>
        <v>0</v>
      </c>
      <c r="U63" s="88">
        <f>IFERROR(_xlfn.XLOOKUP($A63,CFR20252026_BenchMarkDataReport!$B:$B,CFR20252026_BenchMarkDataReport!AJ:AJ),0)</f>
        <v>699790.2</v>
      </c>
      <c r="V63" s="88">
        <f>IFERROR(_xlfn.XLOOKUP($A63,CFR20252026_BenchMarkDataReport!$B:$B,CFR20252026_BenchMarkDataReport!AK:AK),0)</f>
        <v>0</v>
      </c>
      <c r="W63" s="88">
        <f>IFERROR(_xlfn.XLOOKUP($A63,CFR20252026_BenchMarkDataReport!$B:$B,CFR20252026_BenchMarkDataReport!AL:AL),0)</f>
        <v>312044.13</v>
      </c>
      <c r="X63" s="88">
        <f>IFERROR(_xlfn.XLOOKUP($A63,CFR20252026_BenchMarkDataReport!$B:$B,CFR20252026_BenchMarkDataReport!AM:AM),0)</f>
        <v>65506.39</v>
      </c>
      <c r="Y63" s="88">
        <f>IFERROR(_xlfn.XLOOKUP($A63,CFR20252026_BenchMarkDataReport!$B:$B,CFR20252026_BenchMarkDataReport!AN:AN),0)</f>
        <v>72543.69</v>
      </c>
      <c r="Z63" s="88">
        <f>IFERROR(_xlfn.XLOOKUP($A63,CFR20252026_BenchMarkDataReport!$B:$B,CFR20252026_BenchMarkDataReport!AO:AO),0)</f>
        <v>0</v>
      </c>
      <c r="AA63" s="88">
        <f>IFERROR(_xlfn.XLOOKUP($A63,CFR20252026_BenchMarkDataReport!$B:$B,CFR20252026_BenchMarkDataReport!AP:AP),0)</f>
        <v>23126.240000000002</v>
      </c>
      <c r="AB63" s="88">
        <f>IFERROR(_xlfn.XLOOKUP($A63,CFR20252026_BenchMarkDataReport!$B:$B,CFR20252026_BenchMarkDataReport!AQ:AQ),0)</f>
        <v>1239.7</v>
      </c>
      <c r="AC63" s="88">
        <f>IFERROR(_xlfn.XLOOKUP($A63,CFR20252026_BenchMarkDataReport!$B:$B,CFR20252026_BenchMarkDataReport!AR:AR),0)</f>
        <v>1407.55</v>
      </c>
      <c r="AD63" s="88">
        <f>IFERROR(_xlfn.XLOOKUP($A63,CFR20252026_BenchMarkDataReport!$B:$B,CFR20252026_BenchMarkDataReport!AS:AS),0)</f>
        <v>359.1</v>
      </c>
      <c r="AE63" s="88">
        <f>IFERROR(_xlfn.XLOOKUP($A63,CFR20252026_BenchMarkDataReport!$B:$B,CFR20252026_BenchMarkDataReport!AT:AT),0)</f>
        <v>0</v>
      </c>
      <c r="AF63" s="88">
        <f>IFERROR(_xlfn.XLOOKUP($A63,CFR20252026_BenchMarkDataReport!$B:$B,CFR20252026_BenchMarkDataReport!AU:AU),0)</f>
        <v>17731.419999999998</v>
      </c>
      <c r="AG63" s="88">
        <f>IFERROR(_xlfn.XLOOKUP($A63,CFR20252026_BenchMarkDataReport!$B:$B,CFR20252026_BenchMarkDataReport!AV:AV),0)</f>
        <v>1680</v>
      </c>
      <c r="AH63" s="88">
        <f>IFERROR(_xlfn.XLOOKUP($A63,CFR20252026_BenchMarkDataReport!$B:$B,CFR20252026_BenchMarkDataReport!AW:AW),0)</f>
        <v>13314.56</v>
      </c>
      <c r="AI63" s="88">
        <f>IFERROR(_xlfn.XLOOKUP($A63,CFR20252026_BenchMarkDataReport!$B:$B,CFR20252026_BenchMarkDataReport!AX:AX),0)</f>
        <v>4951.5200000000004</v>
      </c>
      <c r="AJ63" s="88">
        <f>IFERROR(_xlfn.XLOOKUP($A63,CFR20252026_BenchMarkDataReport!$B:$B,CFR20252026_BenchMarkDataReport!AY:AY),0)</f>
        <v>30001.96</v>
      </c>
      <c r="AK63" s="88">
        <f>IFERROR(_xlfn.XLOOKUP($A63,CFR20252026_BenchMarkDataReport!$B:$B,CFR20252026_BenchMarkDataReport!AZ:AZ),0)</f>
        <v>4941.3</v>
      </c>
      <c r="AL63" s="88">
        <f>IFERROR(_xlfn.XLOOKUP($A63,CFR20252026_BenchMarkDataReport!$B:$B,CFR20252026_BenchMarkDataReport!BA:BA),0)</f>
        <v>11975.67</v>
      </c>
      <c r="AM63" s="88">
        <f>IFERROR(_xlfn.XLOOKUP($A63,CFR20252026_BenchMarkDataReport!$B:$B,CFR20252026_BenchMarkDataReport!BB:BB),0)</f>
        <v>55974.25</v>
      </c>
      <c r="AN63" s="88">
        <f>IFERROR(_xlfn.XLOOKUP($A63,CFR20252026_BenchMarkDataReport!$B:$B,CFR20252026_BenchMarkDataReport!BC:BC),0)</f>
        <v>13002.21</v>
      </c>
      <c r="AO63" s="88">
        <f>IFERROR(_xlfn.XLOOKUP($A63,CFR20252026_BenchMarkDataReport!$B:$B,CFR20252026_BenchMarkDataReport!BD:BD),0)</f>
        <v>576</v>
      </c>
      <c r="AP63" s="88">
        <f>IFERROR(_xlfn.XLOOKUP($A63,CFR20252026_BenchMarkDataReport!$B:$B,CFR20252026_BenchMarkDataReport!BE:BE),0)</f>
        <v>4348.5</v>
      </c>
      <c r="AQ63" s="88">
        <f>IFERROR(_xlfn.XLOOKUP($A63,CFR20252026_BenchMarkDataReport!$B:$B,CFR20252026_BenchMarkDataReport!BF:BF),0)</f>
        <v>10417.42</v>
      </c>
      <c r="AR63" s="88">
        <f>IFERROR(_xlfn.XLOOKUP($A63,CFR20252026_BenchMarkDataReport!$B:$B,CFR20252026_BenchMarkDataReport!BG:BG),0)</f>
        <v>2050</v>
      </c>
      <c r="AS63" s="88">
        <f>IFERROR(_xlfn.XLOOKUP($A63,CFR20252026_BenchMarkDataReport!$B:$B,CFR20252026_BenchMarkDataReport!BH:BH),0)</f>
        <v>166.87</v>
      </c>
      <c r="AT63" s="88">
        <f>IFERROR(_xlfn.XLOOKUP($A63,CFR20252026_BenchMarkDataReport!$B:$B,CFR20252026_BenchMarkDataReport!BI:BI),0)</f>
        <v>8711.02</v>
      </c>
      <c r="AU63" s="88">
        <f>IFERROR(_xlfn.XLOOKUP($A63,CFR20252026_BenchMarkDataReport!$B:$B,CFR20252026_BenchMarkDataReport!BJ:BJ),0)</f>
        <v>0</v>
      </c>
      <c r="AV63" s="88">
        <f>IFERROR(_xlfn.XLOOKUP($A63,CFR20252026_BenchMarkDataReport!$B:$B,CFR20252026_BenchMarkDataReport!BK:BK),0)</f>
        <v>2429.87</v>
      </c>
      <c r="AW63" s="88">
        <f>IFERROR(_xlfn.XLOOKUP($A63,CFR20252026_BenchMarkDataReport!$B:$B,CFR20252026_BenchMarkDataReport!BL:BL),0)</f>
        <v>16725.919999999998</v>
      </c>
      <c r="AX63" s="88">
        <f>IFERROR(_xlfn.XLOOKUP($A63,CFR20252026_BenchMarkDataReport!$B:$B,CFR20252026_BenchMarkDataReport!BM:BM),0)</f>
        <v>159.27000000000001</v>
      </c>
      <c r="AY63" s="88">
        <f>IFERROR(_xlfn.XLOOKUP($A63,CFR20252026_BenchMarkDataReport!$B:$B,CFR20252026_BenchMarkDataReport!BN:BN),0)</f>
        <v>101447.82</v>
      </c>
      <c r="AZ63" s="88">
        <f>IFERROR(_xlfn.XLOOKUP($A63,CFR20252026_BenchMarkDataReport!$B:$B,CFR20252026_BenchMarkDataReport!BO:BO),0)</f>
        <v>77373.960000000006</v>
      </c>
      <c r="BA63" s="88">
        <f>IFERROR(_xlfn.XLOOKUP($A63,CFR20252026_BenchMarkDataReport!$B:$B,CFR20252026_BenchMarkDataReport!BP:BP),0)</f>
        <v>140060.32</v>
      </c>
      <c r="BB63" s="88">
        <f>IFERROR(_xlfn.XLOOKUP($A63,CFR20252026_BenchMarkDataReport!$B:$B,CFR20252026_BenchMarkDataReport!BQ:BQ),0)</f>
        <v>33050.57</v>
      </c>
      <c r="BC63" s="88">
        <f>IFERROR(_xlfn.XLOOKUP($A63,CFR20252026_BenchMarkDataReport!$B:$B,CFR20252026_BenchMarkDataReport!BR:BR),0)</f>
        <v>0</v>
      </c>
      <c r="BD63" s="88">
        <f>IFERROR(_xlfn.XLOOKUP($A63,CFR20252026_BenchMarkDataReport!$B:$B,CFR20252026_BenchMarkDataReport!BS:BS),0)</f>
        <v>0</v>
      </c>
      <c r="BE63" s="88">
        <f>IFERROR(_xlfn.XLOOKUP($A63,CFR20252026_BenchMarkDataReport!$B:$B,CFR20252026_BenchMarkDataReport!BT:BT),0)</f>
        <v>0</v>
      </c>
      <c r="BF63" s="88">
        <f>IFERROR(_xlfn.XLOOKUP($A63,CFR20252026_BenchMarkDataReport!$B:$B,CFR20252026_BenchMarkDataReport!BU:BU),0)</f>
        <v>0</v>
      </c>
      <c r="BG63" s="88">
        <f>IFERROR(_xlfn.XLOOKUP($A63,CFR20252026_BenchMarkDataReport!$B:$B,CFR20252026_BenchMarkDataReport!BV:BV),0)</f>
        <v>0</v>
      </c>
      <c r="BH63" s="89">
        <f t="shared" si="0"/>
        <v>1707527</v>
      </c>
      <c r="BI63" s="90">
        <f t="shared" si="88"/>
        <v>1727107.4300000002</v>
      </c>
      <c r="BJ63" s="126">
        <f t="shared" si="89"/>
        <v>-19580.430000000168</v>
      </c>
      <c r="BK63" s="88">
        <f>IFERROR(_xlfn.XLOOKUP(A63,CFR20252026_BenchMarkDataReport!$B:$B,CFR20252026_BenchMarkDataReport!P:P)+_xlfn.XLOOKUP(A63,CFR20252026_BenchMarkDataReport!$B:$B,CFR20252026_BenchMarkDataReport!Q:Q),0)</f>
        <v>227373.43</v>
      </c>
      <c r="BL63" s="89">
        <f t="shared" si="1"/>
        <v>207792.99999999983</v>
      </c>
      <c r="BM63" s="91">
        <f>SUMIFS(PP!I:I,PP!E:E,A63)</f>
        <v>210</v>
      </c>
      <c r="BN63" s="90">
        <f t="shared" si="133"/>
        <v>1441880.02</v>
      </c>
      <c r="BO63" t="s">
        <v>173</v>
      </c>
      <c r="BP63" s="92">
        <f t="shared" si="203"/>
        <v>0.79981229579385871</v>
      </c>
      <c r="BQ63" s="93">
        <f t="shared" si="204"/>
        <v>6503.3385238095243</v>
      </c>
      <c r="BR63" s="94">
        <f t="shared" si="205"/>
        <v>0</v>
      </c>
      <c r="BS63" s="95">
        <f t="shared" si="206"/>
        <v>0</v>
      </c>
      <c r="BT63" s="92">
        <f t="shared" si="207"/>
        <v>4.4613602010392807E-2</v>
      </c>
      <c r="BU63" s="93">
        <f t="shared" si="208"/>
        <v>362.75680952380947</v>
      </c>
      <c r="BV63" s="94">
        <f t="shared" si="209"/>
        <v>0</v>
      </c>
      <c r="BW63" s="95">
        <f t="shared" si="210"/>
        <v>0</v>
      </c>
      <c r="BX63" s="92">
        <f t="shared" si="211"/>
        <v>2.4140174650239793E-2</v>
      </c>
      <c r="BY63" s="93">
        <f t="shared" si="212"/>
        <v>196.28571428571428</v>
      </c>
      <c r="BZ63" s="94">
        <f t="shared" si="213"/>
        <v>2.9346827312247477E-2</v>
      </c>
      <c r="CA63" s="95">
        <f t="shared" si="214"/>
        <v>238.62142857142857</v>
      </c>
      <c r="CB63" s="92">
        <f t="shared" si="215"/>
        <v>3.1868274996530069E-2</v>
      </c>
      <c r="CC63" s="93">
        <f t="shared" si="216"/>
        <v>259.12352380952382</v>
      </c>
      <c r="CD63" s="94">
        <f t="shared" si="217"/>
        <v>3.0790909894836214E-2</v>
      </c>
      <c r="CE63" s="96">
        <f t="shared" si="218"/>
        <v>250.36338095238094</v>
      </c>
      <c r="CF63" s="97">
        <f t="shared" si="219"/>
        <v>2.6055611419321629E-2</v>
      </c>
      <c r="CG63" s="98">
        <f t="shared" si="220"/>
        <v>211.86028571428574</v>
      </c>
      <c r="CH63" s="94">
        <f t="shared" si="221"/>
        <v>1.2672490683895482E-2</v>
      </c>
      <c r="CI63" s="95">
        <f t="shared" si="222"/>
        <v>103.04104761904762</v>
      </c>
      <c r="CJ63" s="99">
        <f t="shared" si="90"/>
        <v>0.53899363970658243</v>
      </c>
      <c r="CK63" s="97">
        <f t="shared" si="91"/>
        <v>0.45514018812001211</v>
      </c>
      <c r="CL63" s="97">
        <f t="shared" si="92"/>
        <v>0.44998020765853564</v>
      </c>
      <c r="CM63" s="98">
        <f t="shared" si="93"/>
        <v>3700.7817142857139</v>
      </c>
      <c r="CN63" s="94">
        <f t="shared" si="94"/>
        <v>0.21641476799158366</v>
      </c>
      <c r="CO63" s="100">
        <f t="shared" si="95"/>
        <v>0.18274623475939181</v>
      </c>
      <c r="CP63" s="100">
        <f t="shared" si="96"/>
        <v>0.18067441815127852</v>
      </c>
      <c r="CQ63" s="101">
        <f t="shared" si="97"/>
        <v>1485.9244285714285</v>
      </c>
      <c r="CR63" s="99">
        <f t="shared" si="98"/>
        <v>4.5431234978899282E-2</v>
      </c>
      <c r="CS63" s="97">
        <f t="shared" si="99"/>
        <v>3.8363311385412942E-2</v>
      </c>
      <c r="CT63" s="97">
        <f t="shared" si="100"/>
        <v>3.7928381791513685E-2</v>
      </c>
      <c r="CU63" s="98">
        <f t="shared" si="101"/>
        <v>311.93519047619048</v>
      </c>
      <c r="CV63" s="94">
        <f t="shared" si="102"/>
        <v>5.0311876850890828E-2</v>
      </c>
      <c r="CW63" s="100">
        <f t="shared" si="103"/>
        <v>4.248465178003042E-2</v>
      </c>
      <c r="CX63" s="100">
        <f t="shared" si="104"/>
        <v>4.2002998041644694E-2</v>
      </c>
      <c r="CY63" s="95">
        <f t="shared" si="105"/>
        <v>345.44614285714289</v>
      </c>
      <c r="CZ63" s="99">
        <f t="shared" si="106"/>
        <v>0.8135286110698724</v>
      </c>
      <c r="DA63" s="97">
        <f t="shared" si="107"/>
        <v>0.68696462779212275</v>
      </c>
      <c r="DB63" s="97">
        <f t="shared" si="108"/>
        <v>0.67917642505886255</v>
      </c>
      <c r="DC63" s="98">
        <f t="shared" si="109"/>
        <v>5585.7649999999994</v>
      </c>
      <c r="DD63" s="94">
        <f t="shared" si="110"/>
        <v>1.2297430961003259E-2</v>
      </c>
      <c r="DE63" s="100">
        <f t="shared" si="111"/>
        <v>1.0266541439173819E-2</v>
      </c>
      <c r="DF63" s="95">
        <f t="shared" si="112"/>
        <v>84.435333333333318</v>
      </c>
      <c r="DG63" s="99">
        <f t="shared" si="113"/>
        <v>2.8669438356825317E-3</v>
      </c>
      <c r="DH63" s="98">
        <f t="shared" si="114"/>
        <v>23.57866666666667</v>
      </c>
      <c r="DI63" s="94">
        <f t="shared" si="115"/>
        <v>2.0807528770667064E-2</v>
      </c>
      <c r="DJ63" s="100">
        <f t="shared" si="116"/>
        <v>1.7371218187625999E-2</v>
      </c>
      <c r="DK63" s="95">
        <f t="shared" si="117"/>
        <v>142.86647619047619</v>
      </c>
      <c r="DL63" s="99">
        <f t="shared" si="118"/>
        <v>8.3055939702944212E-3</v>
      </c>
      <c r="DM63" s="97">
        <f t="shared" si="119"/>
        <v>6.9339461992818817E-3</v>
      </c>
      <c r="DN63" s="102">
        <f t="shared" si="120"/>
        <v>57.027000000000001</v>
      </c>
      <c r="DO63" s="94">
        <f t="shared" si="121"/>
        <v>3.8820324315195102E-2</v>
      </c>
      <c r="DP63" s="100">
        <f t="shared" si="122"/>
        <v>3.2780887212910836E-2</v>
      </c>
      <c r="DQ63" s="100">
        <f t="shared" si="123"/>
        <v>3.2409246250535782E-2</v>
      </c>
      <c r="DR63" s="95">
        <f t="shared" si="124"/>
        <v>266.5440476190476</v>
      </c>
      <c r="DS63" s="99">
        <f t="shared" si="125"/>
        <v>1.6852095641078375E-3</v>
      </c>
      <c r="DT63" s="97">
        <f t="shared" si="126"/>
        <v>1.4069014803555096E-3</v>
      </c>
      <c r="DU63" s="98">
        <f t="shared" si="127"/>
        <v>11.570809523809523</v>
      </c>
      <c r="DV63" s="94">
        <f t="shared" si="128"/>
        <v>9.7137291631241282E-2</v>
      </c>
      <c r="DW63" s="100">
        <f t="shared" si="129"/>
        <v>8.1095314377751235E-2</v>
      </c>
      <c r="DX63" s="95">
        <f t="shared" si="130"/>
        <v>666.95390476190482</v>
      </c>
      <c r="DY63" s="99">
        <f t="shared" si="131"/>
        <v>5.8738569609419145E-2</v>
      </c>
      <c r="DZ63" s="98">
        <f t="shared" si="132"/>
        <v>483.08485714285717</v>
      </c>
      <c r="EA63" s="94">
        <f t="shared" si="14"/>
        <v>7.7091672288156377E-3</v>
      </c>
      <c r="EB63" s="95">
        <f t="shared" si="84"/>
        <v>63.402666666666661</v>
      </c>
      <c r="EC63" s="103">
        <f>IFERROR(VLOOKUP(A63,PP!$E$3:$S$130,14,0),0)</f>
        <v>22</v>
      </c>
    </row>
    <row r="64" spans="1:133">
      <c r="A64" s="26">
        <v>3309</v>
      </c>
      <c r="B64" s="125">
        <v>10116</v>
      </c>
      <c r="C64" s="26" t="s">
        <v>87</v>
      </c>
      <c r="D64" s="88">
        <f>IFERROR(_xlfn.XLOOKUP($A64,CFR20252026_BenchMarkDataReport!$B:$B,CFR20252026_BenchMarkDataReport!S:S),0)</f>
        <v>1370018.26</v>
      </c>
      <c r="E64" s="88">
        <f>IFERROR(_xlfn.XLOOKUP($A64,CFR20252026_BenchMarkDataReport!$B:$B,CFR20252026_BenchMarkDataReport!T:T),0)</f>
        <v>0</v>
      </c>
      <c r="F64" s="88">
        <f>IFERROR(_xlfn.XLOOKUP($A64,CFR20252026_BenchMarkDataReport!$B:$B,CFR20252026_BenchMarkDataReport!U:U),0)</f>
        <v>86186.59</v>
      </c>
      <c r="G64" s="88">
        <f>IFERROR(_xlfn.XLOOKUP($A64,CFR20252026_BenchMarkDataReport!$B:$B,CFR20252026_BenchMarkDataReport!V:V),0)</f>
        <v>0</v>
      </c>
      <c r="H64" s="88">
        <f>IFERROR(_xlfn.XLOOKUP($A64,CFR20252026_BenchMarkDataReport!$B:$B,CFR20252026_BenchMarkDataReport!W:W),0)</f>
        <v>32930</v>
      </c>
      <c r="I64" s="88">
        <f>IFERROR(_xlfn.XLOOKUP($A64,CFR20252026_BenchMarkDataReport!$B:$B,CFR20252026_BenchMarkDataReport!X:X),0)</f>
        <v>74588.83</v>
      </c>
      <c r="J64" s="88">
        <f>IFERROR(_xlfn.XLOOKUP($A64,CFR20252026_BenchMarkDataReport!$B:$B,CFR20252026_BenchMarkDataReport!Y:Y),0)</f>
        <v>51532.37</v>
      </c>
      <c r="K64" s="88">
        <f>IFERROR(_xlfn.XLOOKUP($A64,CFR20252026_BenchMarkDataReport!$B:$B,CFR20252026_BenchMarkDataReport!Z:Z),0)</f>
        <v>15529.5</v>
      </c>
      <c r="L64" s="88">
        <f>IFERROR(_xlfn.XLOOKUP($A64,CFR20252026_BenchMarkDataReport!$B:$B,CFR20252026_BenchMarkDataReport!AA:AA),0)</f>
        <v>112987.42</v>
      </c>
      <c r="M64" s="88">
        <f>IFERROR(_xlfn.XLOOKUP($A64,CFR20252026_BenchMarkDataReport!$B:$B,CFR20252026_BenchMarkDataReport!AB:AB),0)</f>
        <v>6824.71</v>
      </c>
      <c r="N64" s="88">
        <f>IFERROR(_xlfn.XLOOKUP($A64,CFR20252026_BenchMarkDataReport!$B:$B,CFR20252026_BenchMarkDataReport!AC:AC),0)</f>
        <v>0</v>
      </c>
      <c r="O64" s="88">
        <f>IFERROR(_xlfn.XLOOKUP($A64,CFR20252026_BenchMarkDataReport!$B:$B,CFR20252026_BenchMarkDataReport!AD:AD),0)</f>
        <v>0</v>
      </c>
      <c r="P64" s="88">
        <f>IFERROR(_xlfn.XLOOKUP($A64,CFR20252026_BenchMarkDataReport!$B:$B,CFR20252026_BenchMarkDataReport!AE:AE),0)</f>
        <v>87717.64</v>
      </c>
      <c r="Q64" s="88">
        <f>IFERROR(_xlfn.XLOOKUP($A64,CFR20252026_BenchMarkDataReport!$B:$B,CFR20252026_BenchMarkDataReport!AF:AF),0)</f>
        <v>8774.61</v>
      </c>
      <c r="R64" s="88">
        <f>IFERROR(_xlfn.XLOOKUP($A64,CFR20252026_BenchMarkDataReport!$B:$B,CFR20252026_BenchMarkDataReport!AG:AG),0)</f>
        <v>0</v>
      </c>
      <c r="S64" s="88">
        <f>IFERROR(_xlfn.XLOOKUP($A64,CFR20252026_BenchMarkDataReport!$B:$B,CFR20252026_BenchMarkDataReport!AH:AH),0)</f>
        <v>0</v>
      </c>
      <c r="T64" s="88">
        <f>IFERROR(_xlfn.XLOOKUP($A64,CFR20252026_BenchMarkDataReport!$B:$B,CFR20252026_BenchMarkDataReport!AI:AI),0)</f>
        <v>0</v>
      </c>
      <c r="U64" s="88">
        <f>IFERROR(_xlfn.XLOOKUP($A64,CFR20252026_BenchMarkDataReport!$B:$B,CFR20252026_BenchMarkDataReport!AJ:AJ),0)</f>
        <v>769253.56</v>
      </c>
      <c r="V64" s="88">
        <f>IFERROR(_xlfn.XLOOKUP($A64,CFR20252026_BenchMarkDataReport!$B:$B,CFR20252026_BenchMarkDataReport!AK:AK),0)</f>
        <v>0</v>
      </c>
      <c r="W64" s="88">
        <f>IFERROR(_xlfn.XLOOKUP($A64,CFR20252026_BenchMarkDataReport!$B:$B,CFR20252026_BenchMarkDataReport!AL:AL),0)</f>
        <v>352586.49</v>
      </c>
      <c r="X64" s="88">
        <f>IFERROR(_xlfn.XLOOKUP($A64,CFR20252026_BenchMarkDataReport!$B:$B,CFR20252026_BenchMarkDataReport!AM:AM),0)</f>
        <v>41760.11</v>
      </c>
      <c r="Y64" s="88">
        <f>IFERROR(_xlfn.XLOOKUP($A64,CFR20252026_BenchMarkDataReport!$B:$B,CFR20252026_BenchMarkDataReport!AN:AN),0)</f>
        <v>61873.31</v>
      </c>
      <c r="Z64" s="88">
        <f>IFERROR(_xlfn.XLOOKUP($A64,CFR20252026_BenchMarkDataReport!$B:$B,CFR20252026_BenchMarkDataReport!AO:AO),0)</f>
        <v>0</v>
      </c>
      <c r="AA64" s="88">
        <f>IFERROR(_xlfn.XLOOKUP($A64,CFR20252026_BenchMarkDataReport!$B:$B,CFR20252026_BenchMarkDataReport!AP:AP),0)</f>
        <v>54191.81</v>
      </c>
      <c r="AB64" s="88">
        <f>IFERROR(_xlfn.XLOOKUP($A64,CFR20252026_BenchMarkDataReport!$B:$B,CFR20252026_BenchMarkDataReport!AQ:AQ),0)</f>
        <v>6514.54</v>
      </c>
      <c r="AC64" s="88">
        <f>IFERROR(_xlfn.XLOOKUP($A64,CFR20252026_BenchMarkDataReport!$B:$B,CFR20252026_BenchMarkDataReport!AR:AR),0)</f>
        <v>6389.24</v>
      </c>
      <c r="AD64" s="88">
        <f>IFERROR(_xlfn.XLOOKUP($A64,CFR20252026_BenchMarkDataReport!$B:$B,CFR20252026_BenchMarkDataReport!AS:AS),0)</f>
        <v>360.81</v>
      </c>
      <c r="AE64" s="88">
        <f>IFERROR(_xlfn.XLOOKUP($A64,CFR20252026_BenchMarkDataReport!$B:$B,CFR20252026_BenchMarkDataReport!AT:AT),0)</f>
        <v>0</v>
      </c>
      <c r="AF64" s="88">
        <f>IFERROR(_xlfn.XLOOKUP($A64,CFR20252026_BenchMarkDataReport!$B:$B,CFR20252026_BenchMarkDataReport!AU:AU),0)</f>
        <v>17120.07</v>
      </c>
      <c r="AG64" s="88">
        <f>IFERROR(_xlfn.XLOOKUP($A64,CFR20252026_BenchMarkDataReport!$B:$B,CFR20252026_BenchMarkDataReport!AV:AV),0)</f>
        <v>3640.48</v>
      </c>
      <c r="AH64" s="88">
        <f>IFERROR(_xlfn.XLOOKUP($A64,CFR20252026_BenchMarkDataReport!$B:$B,CFR20252026_BenchMarkDataReport!AW:AW),0)</f>
        <v>26672.92</v>
      </c>
      <c r="AI64" s="88">
        <f>IFERROR(_xlfn.XLOOKUP($A64,CFR20252026_BenchMarkDataReport!$B:$B,CFR20252026_BenchMarkDataReport!AX:AX),0)</f>
        <v>2820.81</v>
      </c>
      <c r="AJ64" s="88">
        <f>IFERROR(_xlfn.XLOOKUP($A64,CFR20252026_BenchMarkDataReport!$B:$B,CFR20252026_BenchMarkDataReport!AY:AY),0)</f>
        <v>13575.17</v>
      </c>
      <c r="AK64" s="88">
        <f>IFERROR(_xlfn.XLOOKUP($A64,CFR20252026_BenchMarkDataReport!$B:$B,CFR20252026_BenchMarkDataReport!AZ:AZ),0)</f>
        <v>5569.2</v>
      </c>
      <c r="AL64" s="88">
        <f>IFERROR(_xlfn.XLOOKUP($A64,CFR20252026_BenchMarkDataReport!$B:$B,CFR20252026_BenchMarkDataReport!BA:BA),0)</f>
        <v>8013.1</v>
      </c>
      <c r="AM64" s="88">
        <f>IFERROR(_xlfn.XLOOKUP($A64,CFR20252026_BenchMarkDataReport!$B:$B,CFR20252026_BenchMarkDataReport!BB:BB),0)</f>
        <v>105670.79</v>
      </c>
      <c r="AN64" s="88">
        <f>IFERROR(_xlfn.XLOOKUP($A64,CFR20252026_BenchMarkDataReport!$B:$B,CFR20252026_BenchMarkDataReport!BC:BC),0)</f>
        <v>4995</v>
      </c>
      <c r="AO64" s="88">
        <f>IFERROR(_xlfn.XLOOKUP($A64,CFR20252026_BenchMarkDataReport!$B:$B,CFR20252026_BenchMarkDataReport!BD:BD),0)</f>
        <v>0</v>
      </c>
      <c r="AP64" s="88">
        <f>IFERROR(_xlfn.XLOOKUP($A64,CFR20252026_BenchMarkDataReport!$B:$B,CFR20252026_BenchMarkDataReport!BE:BE),0)</f>
        <v>5281.91</v>
      </c>
      <c r="AQ64" s="88">
        <f>IFERROR(_xlfn.XLOOKUP($A64,CFR20252026_BenchMarkDataReport!$B:$B,CFR20252026_BenchMarkDataReport!BF:BF),0)</f>
        <v>1681.83</v>
      </c>
      <c r="AR64" s="88">
        <f>IFERROR(_xlfn.XLOOKUP($A64,CFR20252026_BenchMarkDataReport!$B:$B,CFR20252026_BenchMarkDataReport!BG:BG),0)</f>
        <v>3230.64</v>
      </c>
      <c r="AS64" s="88">
        <f>IFERROR(_xlfn.XLOOKUP($A64,CFR20252026_BenchMarkDataReport!$B:$B,CFR20252026_BenchMarkDataReport!BH:BH),0)</f>
        <v>946.43</v>
      </c>
      <c r="AT64" s="88">
        <f>IFERROR(_xlfn.XLOOKUP($A64,CFR20252026_BenchMarkDataReport!$B:$B,CFR20252026_BenchMarkDataReport!BI:BI),0)</f>
        <v>6045</v>
      </c>
      <c r="AU64" s="88">
        <f>IFERROR(_xlfn.XLOOKUP($A64,CFR20252026_BenchMarkDataReport!$B:$B,CFR20252026_BenchMarkDataReport!BJ:BJ),0)</f>
        <v>0</v>
      </c>
      <c r="AV64" s="88">
        <f>IFERROR(_xlfn.XLOOKUP($A64,CFR20252026_BenchMarkDataReport!$B:$B,CFR20252026_BenchMarkDataReport!BK:BK),0)</f>
        <v>5201.71</v>
      </c>
      <c r="AW64" s="88">
        <f>IFERROR(_xlfn.XLOOKUP($A64,CFR20252026_BenchMarkDataReport!$B:$B,CFR20252026_BenchMarkDataReport!BL:BL),0)</f>
        <v>10044.18</v>
      </c>
      <c r="AX64" s="88">
        <f>IFERROR(_xlfn.XLOOKUP($A64,CFR20252026_BenchMarkDataReport!$B:$B,CFR20252026_BenchMarkDataReport!BM:BM),0)</f>
        <v>9004.41</v>
      </c>
      <c r="AY64" s="88">
        <f>IFERROR(_xlfn.XLOOKUP($A64,CFR20252026_BenchMarkDataReport!$B:$B,CFR20252026_BenchMarkDataReport!BN:BN),0)</f>
        <v>102146.15</v>
      </c>
      <c r="AZ64" s="88">
        <f>IFERROR(_xlfn.XLOOKUP($A64,CFR20252026_BenchMarkDataReport!$B:$B,CFR20252026_BenchMarkDataReport!BO:BO),0)</f>
        <v>44968.4</v>
      </c>
      <c r="BA64" s="88">
        <f>IFERROR(_xlfn.XLOOKUP($A64,CFR20252026_BenchMarkDataReport!$B:$B,CFR20252026_BenchMarkDataReport!BP:BP),0)</f>
        <v>123125.39</v>
      </c>
      <c r="BB64" s="88">
        <f>IFERROR(_xlfn.XLOOKUP($A64,CFR20252026_BenchMarkDataReport!$B:$B,CFR20252026_BenchMarkDataReport!BQ:BQ),0)</f>
        <v>25915.47</v>
      </c>
      <c r="BC64" s="88">
        <f>IFERROR(_xlfn.XLOOKUP($A64,CFR20252026_BenchMarkDataReport!$B:$B,CFR20252026_BenchMarkDataReport!BR:BR),0)</f>
        <v>0</v>
      </c>
      <c r="BD64" s="88">
        <f>IFERROR(_xlfn.XLOOKUP($A64,CFR20252026_BenchMarkDataReport!$B:$B,CFR20252026_BenchMarkDataReport!BS:BS),0)</f>
        <v>0</v>
      </c>
      <c r="BE64" s="88">
        <f>IFERROR(_xlfn.XLOOKUP($A64,CFR20252026_BenchMarkDataReport!$B:$B,CFR20252026_BenchMarkDataReport!BT:BT),0)</f>
        <v>0</v>
      </c>
      <c r="BF64" s="88">
        <f>IFERROR(_xlfn.XLOOKUP($A64,CFR20252026_BenchMarkDataReport!$B:$B,CFR20252026_BenchMarkDataReport!BU:BU),0)</f>
        <v>0</v>
      </c>
      <c r="BG64" s="88">
        <f>IFERROR(_xlfn.XLOOKUP($A64,CFR20252026_BenchMarkDataReport!$B:$B,CFR20252026_BenchMarkDataReport!BV:BV),0)</f>
        <v>0</v>
      </c>
      <c r="BH64" s="89">
        <f t="shared" si="0"/>
        <v>1847089.9300000002</v>
      </c>
      <c r="BI64" s="90">
        <f t="shared" si="88"/>
        <v>1818598.9299999997</v>
      </c>
      <c r="BJ64" s="126">
        <f t="shared" si="89"/>
        <v>28491.000000000466</v>
      </c>
      <c r="BK64" s="88">
        <f>IFERROR(_xlfn.XLOOKUP(A64,CFR20252026_BenchMarkDataReport!$B:$B,CFR20252026_BenchMarkDataReport!P:P)+_xlfn.XLOOKUP(A64,CFR20252026_BenchMarkDataReport!$B:$B,CFR20252026_BenchMarkDataReport!Q:Q),0)</f>
        <v>146253</v>
      </c>
      <c r="BL64" s="89">
        <f t="shared" si="1"/>
        <v>174744.00000000047</v>
      </c>
      <c r="BM64" s="91">
        <f>SUMIFS(PP!I:I,PP!E:E,A64)</f>
        <v>211</v>
      </c>
      <c r="BN64" s="90">
        <f t="shared" si="133"/>
        <v>1456204.85</v>
      </c>
      <c r="BO64" t="s">
        <v>173</v>
      </c>
      <c r="BP64" s="92">
        <f t="shared" si="203"/>
        <v>0.74171713989042209</v>
      </c>
      <c r="BQ64" s="93">
        <f t="shared" si="204"/>
        <v>6492.9775355450238</v>
      </c>
      <c r="BR64" s="94">
        <f t="shared" si="205"/>
        <v>0</v>
      </c>
      <c r="BS64" s="95">
        <f t="shared" si="206"/>
        <v>0</v>
      </c>
      <c r="BT64" s="92">
        <f t="shared" si="207"/>
        <v>4.6660743800384416E-2</v>
      </c>
      <c r="BU64" s="93">
        <f t="shared" si="208"/>
        <v>408.46725118483408</v>
      </c>
      <c r="BV64" s="94">
        <f t="shared" si="209"/>
        <v>0</v>
      </c>
      <c r="BW64" s="95">
        <f t="shared" si="210"/>
        <v>0</v>
      </c>
      <c r="BX64" s="92">
        <f t="shared" si="211"/>
        <v>1.7828043705484332E-2</v>
      </c>
      <c r="BY64" s="93">
        <f t="shared" si="212"/>
        <v>156.06635071090048</v>
      </c>
      <c r="BZ64" s="94">
        <f t="shared" si="213"/>
        <v>4.0381807506253906E-2</v>
      </c>
      <c r="CA64" s="95">
        <f t="shared" si="214"/>
        <v>353.50156398104264</v>
      </c>
      <c r="CB64" s="92">
        <f t="shared" si="215"/>
        <v>2.7899220911241716E-2</v>
      </c>
      <c r="CC64" s="93">
        <f t="shared" si="216"/>
        <v>244.22924170616116</v>
      </c>
      <c r="CD64" s="94">
        <f t="shared" si="217"/>
        <v>6.9578052434079371E-2</v>
      </c>
      <c r="CE64" s="96">
        <f t="shared" si="218"/>
        <v>609.08492890995262</v>
      </c>
      <c r="CF64" s="97">
        <f t="shared" si="219"/>
        <v>4.7489642261218969E-2</v>
      </c>
      <c r="CG64" s="98">
        <f t="shared" si="220"/>
        <v>415.7234123222749</v>
      </c>
      <c r="CH64" s="94">
        <f t="shared" si="221"/>
        <v>4.7505050281986001E-3</v>
      </c>
      <c r="CI64" s="95">
        <f t="shared" si="222"/>
        <v>41.585829383886256</v>
      </c>
      <c r="CJ64" s="99">
        <f t="shared" si="90"/>
        <v>0.55913971169646914</v>
      </c>
      <c r="CK64" s="97">
        <f t="shared" si="91"/>
        <v>0.44081338259475</v>
      </c>
      <c r="CL64" s="97">
        <f t="shared" si="92"/>
        <v>0.44771936602866041</v>
      </c>
      <c r="CM64" s="98">
        <f t="shared" si="93"/>
        <v>3858.8718483412326</v>
      </c>
      <c r="CN64" s="94">
        <f t="shared" si="94"/>
        <v>0.24212698508729727</v>
      </c>
      <c r="CO64" s="100">
        <f t="shared" si="95"/>
        <v>0.19088756008755889</v>
      </c>
      <c r="CP64" s="100">
        <f t="shared" si="96"/>
        <v>0.19387809163618064</v>
      </c>
      <c r="CQ64" s="101">
        <f t="shared" si="97"/>
        <v>1671.026018957346</v>
      </c>
      <c r="CR64" s="99">
        <f t="shared" si="98"/>
        <v>2.8677359507489623E-2</v>
      </c>
      <c r="CS64" s="97">
        <f t="shared" si="99"/>
        <v>2.2608595998355099E-2</v>
      </c>
      <c r="CT64" s="97">
        <f t="shared" si="100"/>
        <v>2.2962792571312032E-2</v>
      </c>
      <c r="CU64" s="98">
        <f t="shared" si="101"/>
        <v>197.91521327014217</v>
      </c>
      <c r="CV64" s="94">
        <f t="shared" si="102"/>
        <v>4.2489427225846692E-2</v>
      </c>
      <c r="CW64" s="100">
        <f t="shared" si="103"/>
        <v>3.3497724715547551E-2</v>
      </c>
      <c r="CX64" s="100">
        <f t="shared" si="104"/>
        <v>3.4022515343721228E-2</v>
      </c>
      <c r="CY64" s="95">
        <f t="shared" si="105"/>
        <v>293.23843601895732</v>
      </c>
      <c r="CZ64" s="99">
        <f t="shared" si="106"/>
        <v>0.87876735199721401</v>
      </c>
      <c r="DA64" s="97">
        <f t="shared" si="107"/>
        <v>0.69280074522413759</v>
      </c>
      <c r="DB64" s="97">
        <f t="shared" si="108"/>
        <v>0.703654477570819</v>
      </c>
      <c r="DC64" s="98">
        <f t="shared" si="109"/>
        <v>6064.7643601895743</v>
      </c>
      <c r="DD64" s="94">
        <f t="shared" si="110"/>
        <v>1.1756635750801131E-2</v>
      </c>
      <c r="DE64" s="100">
        <f t="shared" si="111"/>
        <v>9.4138788479326795E-3</v>
      </c>
      <c r="DF64" s="95">
        <f t="shared" si="112"/>
        <v>81.13777251184834</v>
      </c>
      <c r="DG64" s="99">
        <f t="shared" si="113"/>
        <v>1.5510896621939618E-3</v>
      </c>
      <c r="DH64" s="98">
        <f t="shared" si="114"/>
        <v>13.368767772511848</v>
      </c>
      <c r="DI64" s="94">
        <f t="shared" si="115"/>
        <v>9.3222941813440596E-3</v>
      </c>
      <c r="DJ64" s="100">
        <f t="shared" si="116"/>
        <v>7.4646310277989673E-3</v>
      </c>
      <c r="DK64" s="95">
        <f t="shared" si="117"/>
        <v>64.337298578199054</v>
      </c>
      <c r="DL64" s="99">
        <f t="shared" si="118"/>
        <v>5.5027285481160154E-3</v>
      </c>
      <c r="DM64" s="97">
        <f t="shared" si="119"/>
        <v>4.4061941683865404E-3</v>
      </c>
      <c r="DN64" s="102">
        <f t="shared" si="120"/>
        <v>37.976777251184835</v>
      </c>
      <c r="DO64" s="94">
        <f t="shared" si="121"/>
        <v>7.2565882471823925E-2</v>
      </c>
      <c r="DP64" s="100">
        <f t="shared" si="122"/>
        <v>5.7209336851292335E-2</v>
      </c>
      <c r="DQ64" s="100">
        <f t="shared" si="123"/>
        <v>5.8105604406134791E-2</v>
      </c>
      <c r="DR64" s="95">
        <f t="shared" si="124"/>
        <v>500.80943127962081</v>
      </c>
      <c r="DS64" s="99">
        <f t="shared" si="125"/>
        <v>3.5721004500156688E-3</v>
      </c>
      <c r="DT64" s="97">
        <f t="shared" si="126"/>
        <v>2.8602843178842084E-3</v>
      </c>
      <c r="DU64" s="98">
        <f t="shared" si="127"/>
        <v>24.652654028436018</v>
      </c>
      <c r="DV64" s="94">
        <f t="shared" si="128"/>
        <v>8.4552245516830951E-2</v>
      </c>
      <c r="DW64" s="100">
        <f t="shared" si="129"/>
        <v>6.7703432553982659E-2</v>
      </c>
      <c r="DX64" s="95">
        <f t="shared" si="130"/>
        <v>583.53265402843601</v>
      </c>
      <c r="DY64" s="99">
        <f t="shared" si="131"/>
        <v>5.6167497030255052E-2</v>
      </c>
      <c r="DZ64" s="98">
        <f t="shared" si="132"/>
        <v>484.10497630331753</v>
      </c>
      <c r="EA64" s="94">
        <f t="shared" si="14"/>
        <v>1.4666741280882642E-2</v>
      </c>
      <c r="EB64" s="95">
        <f t="shared" si="84"/>
        <v>126.41194312796208</v>
      </c>
      <c r="EC64" s="103">
        <f>IFERROR(VLOOKUP(A64,PP!$E$3:$S$130,14,0),0)</f>
        <v>20</v>
      </c>
    </row>
    <row r="65" spans="1:227">
      <c r="A65" s="26">
        <v>3509</v>
      </c>
      <c r="B65" s="125">
        <v>10107</v>
      </c>
      <c r="C65" s="11" t="s">
        <v>324</v>
      </c>
      <c r="D65" s="88">
        <f>IFERROR(_xlfn.XLOOKUP($A65,CFR20252026_BenchMarkDataReport!$B:$B,CFR20252026_BenchMarkDataReport!S:S),0)</f>
        <v>2840524.58</v>
      </c>
      <c r="E65" s="88">
        <f>IFERROR(_xlfn.XLOOKUP($A65,CFR20252026_BenchMarkDataReport!$B:$B,CFR20252026_BenchMarkDataReport!T:T),0)</f>
        <v>0</v>
      </c>
      <c r="F65" s="88">
        <f>IFERROR(_xlfn.XLOOKUP($A65,CFR20252026_BenchMarkDataReport!$B:$B,CFR20252026_BenchMarkDataReport!U:U),0)</f>
        <v>267743.3</v>
      </c>
      <c r="G65" s="88">
        <f>IFERROR(_xlfn.XLOOKUP($A65,CFR20252026_BenchMarkDataReport!$B:$B,CFR20252026_BenchMarkDataReport!V:V),0)</f>
        <v>0</v>
      </c>
      <c r="H65" s="88">
        <f>IFERROR(_xlfn.XLOOKUP($A65,CFR20252026_BenchMarkDataReport!$B:$B,CFR20252026_BenchMarkDataReport!W:W),0)</f>
        <v>166650</v>
      </c>
      <c r="I65" s="88">
        <f>IFERROR(_xlfn.XLOOKUP($A65,CFR20252026_BenchMarkDataReport!$B:$B,CFR20252026_BenchMarkDataReport!X:X),0)</f>
        <v>65233.42</v>
      </c>
      <c r="J65" s="88">
        <f>IFERROR(_xlfn.XLOOKUP($A65,CFR20252026_BenchMarkDataReport!$B:$B,CFR20252026_BenchMarkDataReport!Y:Y),0)</f>
        <v>167579.69</v>
      </c>
      <c r="K65" s="88">
        <f>IFERROR(_xlfn.XLOOKUP($A65,CFR20252026_BenchMarkDataReport!$B:$B,CFR20252026_BenchMarkDataReport!Z:Z),0)</f>
        <v>27554.78</v>
      </c>
      <c r="L65" s="88">
        <f>IFERROR(_xlfn.XLOOKUP($A65,CFR20252026_BenchMarkDataReport!$B:$B,CFR20252026_BenchMarkDataReport!AA:AA),0)</f>
        <v>0</v>
      </c>
      <c r="M65" s="88">
        <f>IFERROR(_xlfn.XLOOKUP($A65,CFR20252026_BenchMarkDataReport!$B:$B,CFR20252026_BenchMarkDataReport!AB:AB),0)</f>
        <v>1856.95</v>
      </c>
      <c r="N65" s="88">
        <f>IFERROR(_xlfn.XLOOKUP($A65,CFR20252026_BenchMarkDataReport!$B:$B,CFR20252026_BenchMarkDataReport!AC:AC),0)</f>
        <v>0</v>
      </c>
      <c r="O65" s="88">
        <f>IFERROR(_xlfn.XLOOKUP($A65,CFR20252026_BenchMarkDataReport!$B:$B,CFR20252026_BenchMarkDataReport!AD:AD),0)</f>
        <v>0</v>
      </c>
      <c r="P65" s="88">
        <f>IFERROR(_xlfn.XLOOKUP($A65,CFR20252026_BenchMarkDataReport!$B:$B,CFR20252026_BenchMarkDataReport!AE:AE),0)</f>
        <v>15649.76</v>
      </c>
      <c r="Q65" s="88">
        <f>IFERROR(_xlfn.XLOOKUP($A65,CFR20252026_BenchMarkDataReport!$B:$B,CFR20252026_BenchMarkDataReport!AF:AF),0)</f>
        <v>539.79999999999995</v>
      </c>
      <c r="R65" s="88">
        <f>IFERROR(_xlfn.XLOOKUP($A65,CFR20252026_BenchMarkDataReport!$B:$B,CFR20252026_BenchMarkDataReport!AG:AG),0)</f>
        <v>0</v>
      </c>
      <c r="S65" s="88">
        <f>IFERROR(_xlfn.XLOOKUP($A65,CFR20252026_BenchMarkDataReport!$B:$B,CFR20252026_BenchMarkDataReport!AH:AH),0)</f>
        <v>0</v>
      </c>
      <c r="T65" s="88">
        <f>IFERROR(_xlfn.XLOOKUP($A65,CFR20252026_BenchMarkDataReport!$B:$B,CFR20252026_BenchMarkDataReport!AI:AI),0)</f>
        <v>0</v>
      </c>
      <c r="U65" s="88">
        <f>IFERROR(_xlfn.XLOOKUP($A65,CFR20252026_BenchMarkDataReport!$B:$B,CFR20252026_BenchMarkDataReport!AJ:AJ),0)</f>
        <v>1364885.53</v>
      </c>
      <c r="V65" s="88">
        <f>IFERROR(_xlfn.XLOOKUP($A65,CFR20252026_BenchMarkDataReport!$B:$B,CFR20252026_BenchMarkDataReport!AK:AK),0)</f>
        <v>0</v>
      </c>
      <c r="W65" s="88">
        <f>IFERROR(_xlfn.XLOOKUP($A65,CFR20252026_BenchMarkDataReport!$B:$B,CFR20252026_BenchMarkDataReport!AL:AL),0)</f>
        <v>691820.82</v>
      </c>
      <c r="X65" s="88">
        <f>IFERROR(_xlfn.XLOOKUP($A65,CFR20252026_BenchMarkDataReport!$B:$B,CFR20252026_BenchMarkDataReport!AM:AM),0)</f>
        <v>150163.29</v>
      </c>
      <c r="Y65" s="88">
        <f>IFERROR(_xlfn.XLOOKUP($A65,CFR20252026_BenchMarkDataReport!$B:$B,CFR20252026_BenchMarkDataReport!AN:AN),0)</f>
        <v>131135.56</v>
      </c>
      <c r="Z65" s="88">
        <f>IFERROR(_xlfn.XLOOKUP($A65,CFR20252026_BenchMarkDataReport!$B:$B,CFR20252026_BenchMarkDataReport!AO:AO),0)</f>
        <v>0</v>
      </c>
      <c r="AA65" s="88">
        <f>IFERROR(_xlfn.XLOOKUP($A65,CFR20252026_BenchMarkDataReport!$B:$B,CFR20252026_BenchMarkDataReport!AP:AP),0)</f>
        <v>89716.98</v>
      </c>
      <c r="AB65" s="88">
        <f>IFERROR(_xlfn.XLOOKUP($A65,CFR20252026_BenchMarkDataReport!$B:$B,CFR20252026_BenchMarkDataReport!AQ:AQ),0)</f>
        <v>15929.51</v>
      </c>
      <c r="AC65" s="88">
        <f>IFERROR(_xlfn.XLOOKUP($A65,CFR20252026_BenchMarkDataReport!$B:$B,CFR20252026_BenchMarkDataReport!AR:AR),0)</f>
        <v>2274</v>
      </c>
      <c r="AD65" s="88">
        <f>IFERROR(_xlfn.XLOOKUP($A65,CFR20252026_BenchMarkDataReport!$B:$B,CFR20252026_BenchMarkDataReport!AS:AS),0)</f>
        <v>759.24</v>
      </c>
      <c r="AE65" s="88">
        <f>IFERROR(_xlfn.XLOOKUP($A65,CFR20252026_BenchMarkDataReport!$B:$B,CFR20252026_BenchMarkDataReport!AT:AT),0)</f>
        <v>0</v>
      </c>
      <c r="AF65" s="88">
        <f>IFERROR(_xlfn.XLOOKUP($A65,CFR20252026_BenchMarkDataReport!$B:$B,CFR20252026_BenchMarkDataReport!AU:AU),0)</f>
        <v>53110.13</v>
      </c>
      <c r="AG65" s="88">
        <f>IFERROR(_xlfn.XLOOKUP($A65,CFR20252026_BenchMarkDataReport!$B:$B,CFR20252026_BenchMarkDataReport!AV:AV),0)</f>
        <v>0</v>
      </c>
      <c r="AH65" s="88">
        <f>IFERROR(_xlfn.XLOOKUP($A65,CFR20252026_BenchMarkDataReport!$B:$B,CFR20252026_BenchMarkDataReport!AW:AW),0)</f>
        <v>2502.38</v>
      </c>
      <c r="AI65" s="88">
        <f>IFERROR(_xlfn.XLOOKUP($A65,CFR20252026_BenchMarkDataReport!$B:$B,CFR20252026_BenchMarkDataReport!AX:AX),0)</f>
        <v>10016.879999999999</v>
      </c>
      <c r="AJ65" s="88">
        <f>IFERROR(_xlfn.XLOOKUP($A65,CFR20252026_BenchMarkDataReport!$B:$B,CFR20252026_BenchMarkDataReport!AY:AY),0)</f>
        <v>87001.66</v>
      </c>
      <c r="AK65" s="88">
        <f>IFERROR(_xlfn.XLOOKUP($A65,CFR20252026_BenchMarkDataReport!$B:$B,CFR20252026_BenchMarkDataReport!AZ:AZ),0)</f>
        <v>17273.900000000001</v>
      </c>
      <c r="AL65" s="88">
        <f>IFERROR(_xlfn.XLOOKUP($A65,CFR20252026_BenchMarkDataReport!$B:$B,CFR20252026_BenchMarkDataReport!BA:BA),0)</f>
        <v>20284.669999999998</v>
      </c>
      <c r="AM65" s="88">
        <f>IFERROR(_xlfn.XLOOKUP($A65,CFR20252026_BenchMarkDataReport!$B:$B,CFR20252026_BenchMarkDataReport!BB:BB),0)</f>
        <v>87034.72</v>
      </c>
      <c r="AN65" s="88">
        <f>IFERROR(_xlfn.XLOOKUP($A65,CFR20252026_BenchMarkDataReport!$B:$B,CFR20252026_BenchMarkDataReport!BC:BC),0)</f>
        <v>14515.39</v>
      </c>
      <c r="AO65" s="88">
        <f>IFERROR(_xlfn.XLOOKUP($A65,CFR20252026_BenchMarkDataReport!$B:$B,CFR20252026_BenchMarkDataReport!BD:BD),0)</f>
        <v>0</v>
      </c>
      <c r="AP65" s="88">
        <f>IFERROR(_xlfn.XLOOKUP($A65,CFR20252026_BenchMarkDataReport!$B:$B,CFR20252026_BenchMarkDataReport!BE:BE),0)</f>
        <v>0</v>
      </c>
      <c r="AQ65" s="88">
        <f>IFERROR(_xlfn.XLOOKUP($A65,CFR20252026_BenchMarkDataReport!$B:$B,CFR20252026_BenchMarkDataReport!BF:BF),0)</f>
        <v>0</v>
      </c>
      <c r="AR65" s="88">
        <f>IFERROR(_xlfn.XLOOKUP($A65,CFR20252026_BenchMarkDataReport!$B:$B,CFR20252026_BenchMarkDataReport!BG:BG),0)</f>
        <v>0</v>
      </c>
      <c r="AS65" s="88">
        <f>IFERROR(_xlfn.XLOOKUP($A65,CFR20252026_BenchMarkDataReport!$B:$B,CFR20252026_BenchMarkDataReport!BH:BH),0)</f>
        <v>0</v>
      </c>
      <c r="AT65" s="88">
        <f>IFERROR(_xlfn.XLOOKUP($A65,CFR20252026_BenchMarkDataReport!$B:$B,CFR20252026_BenchMarkDataReport!BI:BI),0)</f>
        <v>0</v>
      </c>
      <c r="AU65" s="88">
        <f>IFERROR(_xlfn.XLOOKUP($A65,CFR20252026_BenchMarkDataReport!$B:$B,CFR20252026_BenchMarkDataReport!BJ:BJ),0)</f>
        <v>0</v>
      </c>
      <c r="AV65" s="88">
        <f>IFERROR(_xlfn.XLOOKUP($A65,CFR20252026_BenchMarkDataReport!$B:$B,CFR20252026_BenchMarkDataReport!BK:BK),0)</f>
        <v>20436.2</v>
      </c>
      <c r="AW65" s="88">
        <f>IFERROR(_xlfn.XLOOKUP($A65,CFR20252026_BenchMarkDataReport!$B:$B,CFR20252026_BenchMarkDataReport!BL:BL),0)</f>
        <v>13338.18</v>
      </c>
      <c r="AX65" s="88">
        <f>IFERROR(_xlfn.XLOOKUP($A65,CFR20252026_BenchMarkDataReport!$B:$B,CFR20252026_BenchMarkDataReport!BM:BM),0)</f>
        <v>11640.14</v>
      </c>
      <c r="AY65" s="88">
        <f>IFERROR(_xlfn.XLOOKUP($A65,CFR20252026_BenchMarkDataReport!$B:$B,CFR20252026_BenchMarkDataReport!BN:BN),0)</f>
        <v>166540.56</v>
      </c>
      <c r="AZ65" s="88">
        <f>IFERROR(_xlfn.XLOOKUP($A65,CFR20252026_BenchMarkDataReport!$B:$B,CFR20252026_BenchMarkDataReport!BO:BO),0)</f>
        <v>165496.17000000001</v>
      </c>
      <c r="BA65" s="88">
        <f>IFERROR(_xlfn.XLOOKUP($A65,CFR20252026_BenchMarkDataReport!$B:$B,CFR20252026_BenchMarkDataReport!BP:BP),0)</f>
        <v>276735.87</v>
      </c>
      <c r="BB65" s="88">
        <f>IFERROR(_xlfn.XLOOKUP($A65,CFR20252026_BenchMarkDataReport!$B:$B,CFR20252026_BenchMarkDataReport!BQ:BQ),0)</f>
        <v>46345.5</v>
      </c>
      <c r="BC65" s="88">
        <f>IFERROR(_xlfn.XLOOKUP($A65,CFR20252026_BenchMarkDataReport!$B:$B,CFR20252026_BenchMarkDataReport!BR:BR),0)</f>
        <v>0</v>
      </c>
      <c r="BD65" s="88">
        <f>IFERROR(_xlfn.XLOOKUP($A65,CFR20252026_BenchMarkDataReport!$B:$B,CFR20252026_BenchMarkDataReport!BS:BS),0)</f>
        <v>0</v>
      </c>
      <c r="BE65" s="88">
        <f>IFERROR(_xlfn.XLOOKUP($A65,CFR20252026_BenchMarkDataReport!$B:$B,CFR20252026_BenchMarkDataReport!BT:BT),0)</f>
        <v>0</v>
      </c>
      <c r="BF65" s="88">
        <f>IFERROR(_xlfn.XLOOKUP($A65,CFR20252026_BenchMarkDataReport!$B:$B,CFR20252026_BenchMarkDataReport!BU:BU),0)</f>
        <v>0</v>
      </c>
      <c r="BG65" s="88">
        <f>IFERROR(_xlfn.XLOOKUP($A65,CFR20252026_BenchMarkDataReport!$B:$B,CFR20252026_BenchMarkDataReport!BV:BV),0)</f>
        <v>0</v>
      </c>
      <c r="BH65" s="89">
        <f t="shared" si="0"/>
        <v>3553332.2799999993</v>
      </c>
      <c r="BI65" s="90">
        <f t="shared" si="88"/>
        <v>3438957.2800000007</v>
      </c>
      <c r="BJ65" s="126">
        <f t="shared" si="89"/>
        <v>114374.9999999986</v>
      </c>
      <c r="BK65" s="88">
        <f>IFERROR(_xlfn.XLOOKUP(A65,CFR20252026_BenchMarkDataReport!$B:$B,CFR20252026_BenchMarkDataReport!P:P)+_xlfn.XLOOKUP(A65,CFR20252026_BenchMarkDataReport!$B:$B,CFR20252026_BenchMarkDataReport!Q:Q),0)</f>
        <v>-624913</v>
      </c>
      <c r="BL65" s="89">
        <f t="shared" si="1"/>
        <v>-510538.0000000014</v>
      </c>
      <c r="BM65" s="91">
        <f>SUMIFS(PP!I:I,PP!E:E,A65)</f>
        <v>444</v>
      </c>
      <c r="BN65" s="90">
        <f t="shared" si="133"/>
        <v>3108267.88</v>
      </c>
      <c r="BO65" t="s">
        <v>173</v>
      </c>
      <c r="BP65" s="92">
        <f t="shared" si="203"/>
        <v>0.79939739832042966</v>
      </c>
      <c r="BQ65" s="93">
        <f t="shared" si="204"/>
        <v>6397.5778828828834</v>
      </c>
      <c r="BR65" s="94">
        <f t="shared" si="205"/>
        <v>0</v>
      </c>
      <c r="BS65" s="95">
        <f t="shared" si="206"/>
        <v>0</v>
      </c>
      <c r="BT65" s="92">
        <f t="shared" si="207"/>
        <v>7.5349919146880356E-2</v>
      </c>
      <c r="BU65" s="93">
        <f t="shared" si="208"/>
        <v>603.02545045045042</v>
      </c>
      <c r="BV65" s="94">
        <f t="shared" si="209"/>
        <v>0</v>
      </c>
      <c r="BW65" s="95">
        <f t="shared" si="210"/>
        <v>0</v>
      </c>
      <c r="BX65" s="92">
        <f t="shared" si="211"/>
        <v>4.6899638668185584E-2</v>
      </c>
      <c r="BY65" s="93">
        <f t="shared" si="212"/>
        <v>375.33783783783781</v>
      </c>
      <c r="BZ65" s="94">
        <f t="shared" si="213"/>
        <v>1.8358378800419985E-2</v>
      </c>
      <c r="CA65" s="95">
        <f t="shared" si="214"/>
        <v>146.92211711711712</v>
      </c>
      <c r="CB65" s="92">
        <f t="shared" si="215"/>
        <v>4.7161277582517563E-2</v>
      </c>
      <c r="CC65" s="93">
        <f t="shared" si="216"/>
        <v>377.43173423423423</v>
      </c>
      <c r="CD65" s="94">
        <f t="shared" si="217"/>
        <v>7.7546308165697365E-3</v>
      </c>
      <c r="CE65" s="96">
        <f t="shared" si="218"/>
        <v>62.060315315315314</v>
      </c>
      <c r="CF65" s="97">
        <f t="shared" si="219"/>
        <v>4.4042489603589793E-3</v>
      </c>
      <c r="CG65" s="98">
        <f t="shared" si="220"/>
        <v>35.247207207207211</v>
      </c>
      <c r="CH65" s="94">
        <f t="shared" si="221"/>
        <v>1.5191374109262872E-4</v>
      </c>
      <c r="CI65" s="95">
        <f t="shared" si="222"/>
        <v>1.2157657657657657</v>
      </c>
      <c r="CJ65" s="99">
        <f t="shared" si="90"/>
        <v>0.49235836777362962</v>
      </c>
      <c r="CK65" s="97">
        <f t="shared" si="91"/>
        <v>0.43068916144256575</v>
      </c>
      <c r="CL65" s="97">
        <f t="shared" si="92"/>
        <v>0.44501329193597883</v>
      </c>
      <c r="CM65" s="98">
        <f t="shared" si="93"/>
        <v>3446.8056306306307</v>
      </c>
      <c r="CN65" s="94">
        <f t="shared" si="94"/>
        <v>0.22257438763611326</v>
      </c>
      <c r="CO65" s="100">
        <f t="shared" si="95"/>
        <v>0.19469634852161929</v>
      </c>
      <c r="CP65" s="100">
        <f t="shared" si="96"/>
        <v>0.20117168190004378</v>
      </c>
      <c r="CQ65" s="101">
        <f t="shared" si="97"/>
        <v>1558.155</v>
      </c>
      <c r="CR65" s="99">
        <f t="shared" si="98"/>
        <v>4.8310922931134238E-2</v>
      </c>
      <c r="CS65" s="97">
        <f t="shared" si="99"/>
        <v>4.225985023837963E-2</v>
      </c>
      <c r="CT65" s="97">
        <f t="shared" si="100"/>
        <v>4.3665354865937728E-2</v>
      </c>
      <c r="CU65" s="98">
        <f t="shared" si="101"/>
        <v>338.20560810810815</v>
      </c>
      <c r="CV65" s="94">
        <f t="shared" si="102"/>
        <v>4.2189272309438142E-2</v>
      </c>
      <c r="CW65" s="100">
        <f t="shared" si="103"/>
        <v>3.690495277857888E-2</v>
      </c>
      <c r="CX65" s="100">
        <f t="shared" si="104"/>
        <v>3.8132360864918904E-2</v>
      </c>
      <c r="CY65" s="95">
        <f t="shared" si="105"/>
        <v>295.35036036036036</v>
      </c>
      <c r="CZ65" s="99">
        <f t="shared" si="106"/>
        <v>0.78105307319908357</v>
      </c>
      <c r="DA65" s="97">
        <f t="shared" si="107"/>
        <v>0.68322408058049688</v>
      </c>
      <c r="DB65" s="97">
        <f t="shared" si="108"/>
        <v>0.70594717594165624</v>
      </c>
      <c r="DC65" s="98">
        <f t="shared" si="109"/>
        <v>5467.842747747748</v>
      </c>
      <c r="DD65" s="94">
        <f t="shared" si="110"/>
        <v>1.7086728702418015E-2</v>
      </c>
      <c r="DE65" s="100">
        <f t="shared" si="111"/>
        <v>1.5443672507615443E-2</v>
      </c>
      <c r="DF65" s="95">
        <f t="shared" si="112"/>
        <v>119.61740990990991</v>
      </c>
      <c r="DG65" s="99">
        <f t="shared" si="113"/>
        <v>2.9127666279122832E-3</v>
      </c>
      <c r="DH65" s="98">
        <f t="shared" si="114"/>
        <v>22.56054054054054</v>
      </c>
      <c r="DI65" s="94">
        <f t="shared" si="115"/>
        <v>2.7990399591942508E-2</v>
      </c>
      <c r="DJ65" s="100">
        <f t="shared" si="116"/>
        <v>2.5298848725448544E-2</v>
      </c>
      <c r="DK65" s="95">
        <f t="shared" si="117"/>
        <v>195.94968468468468</v>
      </c>
      <c r="DL65" s="99">
        <f t="shared" si="118"/>
        <v>6.5260366168954521E-3</v>
      </c>
      <c r="DM65" s="97">
        <f t="shared" si="119"/>
        <v>5.898494325000744E-3</v>
      </c>
      <c r="DN65" s="102">
        <f t="shared" si="120"/>
        <v>45.686193693693689</v>
      </c>
      <c r="DO65" s="94">
        <f t="shared" si="121"/>
        <v>2.8001035740844834E-2</v>
      </c>
      <c r="DP65" s="100">
        <f t="shared" si="122"/>
        <v>2.4493830900610292E-2</v>
      </c>
      <c r="DQ65" s="100">
        <f t="shared" si="123"/>
        <v>2.5308462104536519E-2</v>
      </c>
      <c r="DR65" s="95">
        <f t="shared" si="124"/>
        <v>196.02414414414415</v>
      </c>
      <c r="DS65" s="99">
        <f t="shared" si="125"/>
        <v>6.574787241310746E-3</v>
      </c>
      <c r="DT65" s="97">
        <f t="shared" si="126"/>
        <v>5.9425570997497235E-3</v>
      </c>
      <c r="DU65" s="98">
        <f t="shared" si="127"/>
        <v>46.027477477477483</v>
      </c>
      <c r="DV65" s="94">
        <f t="shared" si="128"/>
        <v>8.9032181486236636E-2</v>
      </c>
      <c r="DW65" s="100">
        <f t="shared" si="129"/>
        <v>8.0470865866644301E-2</v>
      </c>
      <c r="DX65" s="95">
        <f t="shared" si="130"/>
        <v>623.27898648648647</v>
      </c>
      <c r="DY65" s="99">
        <f t="shared" si="131"/>
        <v>4.8427632692197901E-2</v>
      </c>
      <c r="DZ65" s="98">
        <f t="shared" si="132"/>
        <v>375.09135135135136</v>
      </c>
      <c r="EA65" s="94">
        <f t="shared" si="14"/>
        <v>7.2765661107601761E-4</v>
      </c>
      <c r="EB65" s="95">
        <f t="shared" si="84"/>
        <v>5.6359909909909911</v>
      </c>
      <c r="EC65" s="103">
        <f>IFERROR(VLOOKUP(A65,PP!$E$3:$S$130,14,0),0)</f>
        <v>110</v>
      </c>
    </row>
    <row r="66" spans="1:227">
      <c r="A66" s="26">
        <v>3312</v>
      </c>
      <c r="B66" s="125">
        <v>10093</v>
      </c>
      <c r="C66" s="26" t="s">
        <v>88</v>
      </c>
      <c r="D66" s="88">
        <f>IFERROR(_xlfn.XLOOKUP($A66,CFR20252026_BenchMarkDataReport!$B:$B,CFR20252026_BenchMarkDataReport!S:S),0)</f>
        <v>1250493.76</v>
      </c>
      <c r="E66" s="88">
        <f>IFERROR(_xlfn.XLOOKUP($A66,CFR20252026_BenchMarkDataReport!$B:$B,CFR20252026_BenchMarkDataReport!T:T),0)</f>
        <v>0</v>
      </c>
      <c r="F66" s="88">
        <f>IFERROR(_xlfn.XLOOKUP($A66,CFR20252026_BenchMarkDataReport!$B:$B,CFR20252026_BenchMarkDataReport!U:U),0)</f>
        <v>122245.59</v>
      </c>
      <c r="G66" s="88">
        <f>IFERROR(_xlfn.XLOOKUP($A66,CFR20252026_BenchMarkDataReport!$B:$B,CFR20252026_BenchMarkDataReport!V:V),0)</f>
        <v>0</v>
      </c>
      <c r="H66" s="88">
        <f>IFERROR(_xlfn.XLOOKUP($A66,CFR20252026_BenchMarkDataReport!$B:$B,CFR20252026_BenchMarkDataReport!W:W),0)</f>
        <v>48795</v>
      </c>
      <c r="I66" s="88">
        <f>IFERROR(_xlfn.XLOOKUP($A66,CFR20252026_BenchMarkDataReport!$B:$B,CFR20252026_BenchMarkDataReport!X:X),0)</f>
        <v>49628.68</v>
      </c>
      <c r="J66" s="88">
        <f>IFERROR(_xlfn.XLOOKUP($A66,CFR20252026_BenchMarkDataReport!$B:$B,CFR20252026_BenchMarkDataReport!Y:Y),0)</f>
        <v>62341.3</v>
      </c>
      <c r="K66" s="88">
        <f>IFERROR(_xlfn.XLOOKUP($A66,CFR20252026_BenchMarkDataReport!$B:$B,CFR20252026_BenchMarkDataReport!Z:Z),0)</f>
        <v>160</v>
      </c>
      <c r="L66" s="88">
        <f>IFERROR(_xlfn.XLOOKUP($A66,CFR20252026_BenchMarkDataReport!$B:$B,CFR20252026_BenchMarkDataReport!AA:AA),0)</f>
        <v>42260.15</v>
      </c>
      <c r="M66" s="88">
        <f>IFERROR(_xlfn.XLOOKUP($A66,CFR20252026_BenchMarkDataReport!$B:$B,CFR20252026_BenchMarkDataReport!AB:AB),0)</f>
        <v>2438.73</v>
      </c>
      <c r="N66" s="88">
        <f>IFERROR(_xlfn.XLOOKUP($A66,CFR20252026_BenchMarkDataReport!$B:$B,CFR20252026_BenchMarkDataReport!AC:AC),0)</f>
        <v>6287</v>
      </c>
      <c r="O66" s="88">
        <f>IFERROR(_xlfn.XLOOKUP($A66,CFR20252026_BenchMarkDataReport!$B:$B,CFR20252026_BenchMarkDataReport!AD:AD),0)</f>
        <v>5971</v>
      </c>
      <c r="P66" s="88">
        <f>IFERROR(_xlfn.XLOOKUP($A66,CFR20252026_BenchMarkDataReport!$B:$B,CFR20252026_BenchMarkDataReport!AE:AE),0)</f>
        <v>39692.400000000001</v>
      </c>
      <c r="Q66" s="88">
        <f>IFERROR(_xlfn.XLOOKUP($A66,CFR20252026_BenchMarkDataReport!$B:$B,CFR20252026_BenchMarkDataReport!AF:AF),0)</f>
        <v>8689.7199999999993</v>
      </c>
      <c r="R66" s="88">
        <f>IFERROR(_xlfn.XLOOKUP($A66,CFR20252026_BenchMarkDataReport!$B:$B,CFR20252026_BenchMarkDataReport!AG:AG),0)</f>
        <v>0</v>
      </c>
      <c r="S66" s="88">
        <f>IFERROR(_xlfn.XLOOKUP($A66,CFR20252026_BenchMarkDataReport!$B:$B,CFR20252026_BenchMarkDataReport!AH:AH),0)</f>
        <v>0</v>
      </c>
      <c r="T66" s="88">
        <f>IFERROR(_xlfn.XLOOKUP($A66,CFR20252026_BenchMarkDataReport!$B:$B,CFR20252026_BenchMarkDataReport!AI:AI),0)</f>
        <v>0</v>
      </c>
      <c r="U66" s="88">
        <f>IFERROR(_xlfn.XLOOKUP($A66,CFR20252026_BenchMarkDataReport!$B:$B,CFR20252026_BenchMarkDataReport!AJ:AJ),0)</f>
        <v>792978.48</v>
      </c>
      <c r="V66" s="88">
        <f>IFERROR(_xlfn.XLOOKUP($A66,CFR20252026_BenchMarkDataReport!$B:$B,CFR20252026_BenchMarkDataReport!AK:AK),0)</f>
        <v>0</v>
      </c>
      <c r="W66" s="88">
        <f>IFERROR(_xlfn.XLOOKUP($A66,CFR20252026_BenchMarkDataReport!$B:$B,CFR20252026_BenchMarkDataReport!AL:AL),0)</f>
        <v>427704.75</v>
      </c>
      <c r="X66" s="88">
        <f>IFERROR(_xlfn.XLOOKUP($A66,CFR20252026_BenchMarkDataReport!$B:$B,CFR20252026_BenchMarkDataReport!AM:AM),0)</f>
        <v>44110.05</v>
      </c>
      <c r="Y66" s="88">
        <f>IFERROR(_xlfn.XLOOKUP($A66,CFR20252026_BenchMarkDataReport!$B:$B,CFR20252026_BenchMarkDataReport!AN:AN),0)</f>
        <v>70894.62</v>
      </c>
      <c r="Z66" s="88">
        <f>IFERROR(_xlfn.XLOOKUP($A66,CFR20252026_BenchMarkDataReport!$B:$B,CFR20252026_BenchMarkDataReport!AO:AO),0)</f>
        <v>0</v>
      </c>
      <c r="AA66" s="88">
        <f>IFERROR(_xlfn.XLOOKUP($A66,CFR20252026_BenchMarkDataReport!$B:$B,CFR20252026_BenchMarkDataReport!AP:AP),0)</f>
        <v>36833.96</v>
      </c>
      <c r="AB66" s="88">
        <f>IFERROR(_xlfn.XLOOKUP($A66,CFR20252026_BenchMarkDataReport!$B:$B,CFR20252026_BenchMarkDataReport!AQ:AQ),0)</f>
        <v>487</v>
      </c>
      <c r="AC66" s="88">
        <f>IFERROR(_xlfn.XLOOKUP($A66,CFR20252026_BenchMarkDataReport!$B:$B,CFR20252026_BenchMarkDataReport!AR:AR),0)</f>
        <v>2884.4</v>
      </c>
      <c r="AD66" s="88">
        <f>IFERROR(_xlfn.XLOOKUP($A66,CFR20252026_BenchMarkDataReport!$B:$B,CFR20252026_BenchMarkDataReport!AS:AS),0)</f>
        <v>365.94</v>
      </c>
      <c r="AE66" s="88">
        <f>IFERROR(_xlfn.XLOOKUP($A66,CFR20252026_BenchMarkDataReport!$B:$B,CFR20252026_BenchMarkDataReport!AT:AT),0)</f>
        <v>7689.63</v>
      </c>
      <c r="AF66" s="88">
        <f>IFERROR(_xlfn.XLOOKUP($A66,CFR20252026_BenchMarkDataReport!$B:$B,CFR20252026_BenchMarkDataReport!AU:AU),0)</f>
        <v>3193.08</v>
      </c>
      <c r="AG66" s="88">
        <f>IFERROR(_xlfn.XLOOKUP($A66,CFR20252026_BenchMarkDataReport!$B:$B,CFR20252026_BenchMarkDataReport!AV:AV),0)</f>
        <v>33.33</v>
      </c>
      <c r="AH66" s="88">
        <f>IFERROR(_xlfn.XLOOKUP($A66,CFR20252026_BenchMarkDataReport!$B:$B,CFR20252026_BenchMarkDataReport!AW:AW),0)</f>
        <v>23022.61</v>
      </c>
      <c r="AI66" s="88">
        <f>IFERROR(_xlfn.XLOOKUP($A66,CFR20252026_BenchMarkDataReport!$B:$B,CFR20252026_BenchMarkDataReport!AX:AX),0)</f>
        <v>3415.95</v>
      </c>
      <c r="AJ66" s="88">
        <f>IFERROR(_xlfn.XLOOKUP($A66,CFR20252026_BenchMarkDataReport!$B:$B,CFR20252026_BenchMarkDataReport!AY:AY),0)</f>
        <v>12165.63</v>
      </c>
      <c r="AK66" s="88">
        <f>IFERROR(_xlfn.XLOOKUP($A66,CFR20252026_BenchMarkDataReport!$B:$B,CFR20252026_BenchMarkDataReport!AZ:AZ),0)</f>
        <v>4370.9399999999996</v>
      </c>
      <c r="AL66" s="88">
        <f>IFERROR(_xlfn.XLOOKUP($A66,CFR20252026_BenchMarkDataReport!$B:$B,CFR20252026_BenchMarkDataReport!BA:BA),0)</f>
        <v>7706.54</v>
      </c>
      <c r="AM66" s="88">
        <f>IFERROR(_xlfn.XLOOKUP($A66,CFR20252026_BenchMarkDataReport!$B:$B,CFR20252026_BenchMarkDataReport!BB:BB),0)</f>
        <v>67313.91</v>
      </c>
      <c r="AN66" s="88">
        <f>IFERROR(_xlfn.XLOOKUP($A66,CFR20252026_BenchMarkDataReport!$B:$B,CFR20252026_BenchMarkDataReport!BC:BC),0)</f>
        <v>5987.19</v>
      </c>
      <c r="AO66" s="88">
        <f>IFERROR(_xlfn.XLOOKUP($A66,CFR20252026_BenchMarkDataReport!$B:$B,CFR20252026_BenchMarkDataReport!BD:BD),0)</f>
        <v>0</v>
      </c>
      <c r="AP66" s="88">
        <f>IFERROR(_xlfn.XLOOKUP($A66,CFR20252026_BenchMarkDataReport!$B:$B,CFR20252026_BenchMarkDataReport!BE:BE),0)</f>
        <v>5623.36</v>
      </c>
      <c r="AQ66" s="88">
        <f>IFERROR(_xlfn.XLOOKUP($A66,CFR20252026_BenchMarkDataReport!$B:$B,CFR20252026_BenchMarkDataReport!BF:BF),0)</f>
        <v>10482.77</v>
      </c>
      <c r="AR66" s="88">
        <f>IFERROR(_xlfn.XLOOKUP($A66,CFR20252026_BenchMarkDataReport!$B:$B,CFR20252026_BenchMarkDataReport!BG:BG),0)</f>
        <v>0</v>
      </c>
      <c r="AS66" s="88">
        <f>IFERROR(_xlfn.XLOOKUP($A66,CFR20252026_BenchMarkDataReport!$B:$B,CFR20252026_BenchMarkDataReport!BH:BH),0)</f>
        <v>100</v>
      </c>
      <c r="AT66" s="88">
        <f>IFERROR(_xlfn.XLOOKUP($A66,CFR20252026_BenchMarkDataReport!$B:$B,CFR20252026_BenchMarkDataReport!BI:BI),0)</f>
        <v>10732.15</v>
      </c>
      <c r="AU66" s="88">
        <f>IFERROR(_xlfn.XLOOKUP($A66,CFR20252026_BenchMarkDataReport!$B:$B,CFR20252026_BenchMarkDataReport!BJ:BJ),0)</f>
        <v>0</v>
      </c>
      <c r="AV66" s="88">
        <f>IFERROR(_xlfn.XLOOKUP($A66,CFR20252026_BenchMarkDataReport!$B:$B,CFR20252026_BenchMarkDataReport!BK:BK),0)</f>
        <v>348.17</v>
      </c>
      <c r="AW66" s="88">
        <f>IFERROR(_xlfn.XLOOKUP($A66,CFR20252026_BenchMarkDataReport!$B:$B,CFR20252026_BenchMarkDataReport!BL:BL),0)</f>
        <v>9283.32</v>
      </c>
      <c r="AX66" s="88">
        <f>IFERROR(_xlfn.XLOOKUP($A66,CFR20252026_BenchMarkDataReport!$B:$B,CFR20252026_BenchMarkDataReport!BM:BM),0)</f>
        <v>4573.84</v>
      </c>
      <c r="AY66" s="88">
        <f>IFERROR(_xlfn.XLOOKUP($A66,CFR20252026_BenchMarkDataReport!$B:$B,CFR20252026_BenchMarkDataReport!BN:BN),0)</f>
        <v>91834.92</v>
      </c>
      <c r="AZ66" s="88">
        <f>IFERROR(_xlfn.XLOOKUP($A66,CFR20252026_BenchMarkDataReport!$B:$B,CFR20252026_BenchMarkDataReport!BO:BO),0)</f>
        <v>0</v>
      </c>
      <c r="BA66" s="88">
        <f>IFERROR(_xlfn.XLOOKUP($A66,CFR20252026_BenchMarkDataReport!$B:$B,CFR20252026_BenchMarkDataReport!BP:BP),0)</f>
        <v>28220.45</v>
      </c>
      <c r="BB66" s="88">
        <f>IFERROR(_xlfn.XLOOKUP($A66,CFR20252026_BenchMarkDataReport!$B:$B,CFR20252026_BenchMarkDataReport!BQ:BQ),0)</f>
        <v>26429.55</v>
      </c>
      <c r="BC66" s="88">
        <f>IFERROR(_xlfn.XLOOKUP($A66,CFR20252026_BenchMarkDataReport!$B:$B,CFR20252026_BenchMarkDataReport!BR:BR),0)</f>
        <v>0</v>
      </c>
      <c r="BD66" s="88">
        <f>IFERROR(_xlfn.XLOOKUP($A66,CFR20252026_BenchMarkDataReport!$B:$B,CFR20252026_BenchMarkDataReport!BS:BS),0)</f>
        <v>0</v>
      </c>
      <c r="BE66" s="88">
        <f>IFERROR(_xlfn.XLOOKUP($A66,CFR20252026_BenchMarkDataReport!$B:$B,CFR20252026_BenchMarkDataReport!BT:BT),0)</f>
        <v>0</v>
      </c>
      <c r="BF66" s="88">
        <f>IFERROR(_xlfn.XLOOKUP($A66,CFR20252026_BenchMarkDataReport!$B:$B,CFR20252026_BenchMarkDataReport!BU:BU),0)</f>
        <v>0</v>
      </c>
      <c r="BG66" s="88">
        <f>IFERROR(_xlfn.XLOOKUP($A66,CFR20252026_BenchMarkDataReport!$B:$B,CFR20252026_BenchMarkDataReport!BV:BV),0)</f>
        <v>0</v>
      </c>
      <c r="BH66" s="89">
        <f t="shared" si="0"/>
        <v>1639003.3299999998</v>
      </c>
      <c r="BI66" s="90">
        <f t="shared" si="88"/>
        <v>1698786.5399999996</v>
      </c>
      <c r="BJ66" s="126">
        <f t="shared" si="89"/>
        <v>-59783.20999999973</v>
      </c>
      <c r="BK66" s="88">
        <f>IFERROR(_xlfn.XLOOKUP(A66,CFR20252026_BenchMarkDataReport!$B:$B,CFR20252026_BenchMarkDataReport!P:P)+_xlfn.XLOOKUP(A66,CFR20252026_BenchMarkDataReport!$B:$B,CFR20252026_BenchMarkDataReport!Q:Q),0)</f>
        <v>68076</v>
      </c>
      <c r="BL66" s="89">
        <f t="shared" si="1"/>
        <v>8292.7900000002701</v>
      </c>
      <c r="BM66" s="91">
        <f>SUMIFS(PP!I:I,PP!E:E,A66)</f>
        <v>214</v>
      </c>
      <c r="BN66" s="90">
        <f t="shared" si="133"/>
        <v>1372739.35</v>
      </c>
      <c r="BO66" t="s">
        <v>173</v>
      </c>
      <c r="BP66" s="92">
        <f t="shared" si="203"/>
        <v>0.76295986537135352</v>
      </c>
      <c r="BQ66" s="93">
        <f t="shared" si="204"/>
        <v>5843.428785046729</v>
      </c>
      <c r="BR66" s="94">
        <f t="shared" si="205"/>
        <v>0</v>
      </c>
      <c r="BS66" s="95">
        <f t="shared" si="206"/>
        <v>0</v>
      </c>
      <c r="BT66" s="92">
        <f t="shared" si="207"/>
        <v>7.4585321312312408E-2</v>
      </c>
      <c r="BU66" s="93">
        <f t="shared" si="208"/>
        <v>571.24107476635515</v>
      </c>
      <c r="BV66" s="94">
        <f t="shared" si="209"/>
        <v>0</v>
      </c>
      <c r="BW66" s="95">
        <f t="shared" si="210"/>
        <v>0</v>
      </c>
      <c r="BX66" s="92">
        <f t="shared" si="211"/>
        <v>2.9771141465588118E-2</v>
      </c>
      <c r="BY66" s="93">
        <f t="shared" si="212"/>
        <v>228.01401869158877</v>
      </c>
      <c r="BZ66" s="94">
        <f t="shared" si="213"/>
        <v>3.0279792048988702E-2</v>
      </c>
      <c r="CA66" s="95">
        <f t="shared" si="214"/>
        <v>231.90971962616823</v>
      </c>
      <c r="CB66" s="92">
        <f t="shared" si="215"/>
        <v>3.8036103318960318E-2</v>
      </c>
      <c r="CC66" s="93">
        <f t="shared" si="216"/>
        <v>291.31448598130845</v>
      </c>
      <c r="CD66" s="94">
        <f t="shared" si="217"/>
        <v>2.5881674078111851E-2</v>
      </c>
      <c r="CE66" s="96">
        <f t="shared" si="218"/>
        <v>198.22499999999999</v>
      </c>
      <c r="CF66" s="97">
        <f t="shared" si="219"/>
        <v>2.4217400461291318E-2</v>
      </c>
      <c r="CG66" s="98">
        <f t="shared" si="220"/>
        <v>185.4785046728972</v>
      </c>
      <c r="CH66" s="94">
        <f t="shared" si="221"/>
        <v>5.3018318150701987E-3</v>
      </c>
      <c r="CI66" s="95">
        <f t="shared" si="222"/>
        <v>40.606168224299061</v>
      </c>
      <c r="CJ66" s="99">
        <f t="shared" si="90"/>
        <v>0.57766136011180846</v>
      </c>
      <c r="CK66" s="97">
        <f t="shared" si="91"/>
        <v>0.48381749169478505</v>
      </c>
      <c r="CL66" s="97">
        <f t="shared" si="92"/>
        <v>0.46679112491673036</v>
      </c>
      <c r="CM66" s="98">
        <f t="shared" si="93"/>
        <v>3705.5069158878505</v>
      </c>
      <c r="CN66" s="94">
        <f t="shared" si="94"/>
        <v>0.31157025548950712</v>
      </c>
      <c r="CO66" s="100">
        <f t="shared" si="95"/>
        <v>0.2609541677990368</v>
      </c>
      <c r="CP66" s="100">
        <f t="shared" si="96"/>
        <v>0.25177074336838112</v>
      </c>
      <c r="CQ66" s="101">
        <f t="shared" si="97"/>
        <v>1998.6203271028037</v>
      </c>
      <c r="CR66" s="99">
        <f t="shared" si="98"/>
        <v>3.2132866301239196E-2</v>
      </c>
      <c r="CS66" s="97">
        <f t="shared" si="99"/>
        <v>2.6912727504952664E-2</v>
      </c>
      <c r="CT66" s="97">
        <f t="shared" si="100"/>
        <v>2.5965622496632222E-2</v>
      </c>
      <c r="CU66" s="98">
        <f t="shared" si="101"/>
        <v>206.12172897196263</v>
      </c>
      <c r="CV66" s="94">
        <f t="shared" si="102"/>
        <v>5.1644633047052954E-2</v>
      </c>
      <c r="CW66" s="100">
        <f t="shared" si="103"/>
        <v>4.325471382660339E-2</v>
      </c>
      <c r="CX66" s="100">
        <f t="shared" si="104"/>
        <v>4.1732506310062957E-2</v>
      </c>
      <c r="CY66" s="95">
        <f t="shared" si="105"/>
        <v>331.28327102803735</v>
      </c>
      <c r="CZ66" s="99">
        <f t="shared" si="106"/>
        <v>0.99984156497007226</v>
      </c>
      <c r="DA66" s="97">
        <f t="shared" si="107"/>
        <v>0.83741249018694797</v>
      </c>
      <c r="DB66" s="97">
        <f t="shared" si="108"/>
        <v>0.80794250936318357</v>
      </c>
      <c r="DC66" s="98">
        <f t="shared" si="109"/>
        <v>6413.6535514018688</v>
      </c>
      <c r="DD66" s="94">
        <f t="shared" si="110"/>
        <v>2.3260643034673698E-3</v>
      </c>
      <c r="DE66" s="100">
        <f t="shared" si="111"/>
        <v>1.8796240285727721E-3</v>
      </c>
      <c r="DF66" s="95">
        <f t="shared" si="112"/>
        <v>14.920934579439251</v>
      </c>
      <c r="DG66" s="99">
        <f t="shared" si="113"/>
        <v>2.0108176745973045E-3</v>
      </c>
      <c r="DH66" s="98">
        <f t="shared" si="114"/>
        <v>15.962383177570093</v>
      </c>
      <c r="DI66" s="94">
        <f t="shared" si="115"/>
        <v>8.8623014995526991E-3</v>
      </c>
      <c r="DJ66" s="100">
        <f t="shared" si="116"/>
        <v>7.1613647233159747E-3</v>
      </c>
      <c r="DK66" s="95">
        <f t="shared" si="117"/>
        <v>56.848738317757004</v>
      </c>
      <c r="DL66" s="99">
        <f t="shared" si="118"/>
        <v>5.6139863696629657E-3</v>
      </c>
      <c r="DM66" s="97">
        <f t="shared" si="119"/>
        <v>4.5364969750702182E-3</v>
      </c>
      <c r="DN66" s="102">
        <f t="shared" si="120"/>
        <v>36.011869158878504</v>
      </c>
      <c r="DO66" s="94">
        <f t="shared" si="121"/>
        <v>4.9036191757743375E-2</v>
      </c>
      <c r="DP66" s="100">
        <f t="shared" si="122"/>
        <v>4.1070026379995218E-2</v>
      </c>
      <c r="DQ66" s="100">
        <f t="shared" si="123"/>
        <v>3.9624701759174534E-2</v>
      </c>
      <c r="DR66" s="95">
        <f t="shared" si="124"/>
        <v>314.55098130841122</v>
      </c>
      <c r="DS66" s="99">
        <f t="shared" si="125"/>
        <v>2.5363154338075905E-4</v>
      </c>
      <c r="DT66" s="97">
        <f t="shared" si="126"/>
        <v>2.0495217721703876E-4</v>
      </c>
      <c r="DU66" s="98">
        <f t="shared" si="127"/>
        <v>1.62696261682243</v>
      </c>
      <c r="DV66" s="94">
        <f t="shared" si="128"/>
        <v>2.0557762841139506E-2</v>
      </c>
      <c r="DW66" s="100">
        <f t="shared" si="129"/>
        <v>1.6612122438879228E-2</v>
      </c>
      <c r="DX66" s="95">
        <f t="shared" si="130"/>
        <v>131.87126168224299</v>
      </c>
      <c r="DY66" s="99">
        <f t="shared" si="131"/>
        <v>5.4059128582452758E-2</v>
      </c>
      <c r="DZ66" s="98">
        <f t="shared" si="132"/>
        <v>429.13514018691586</v>
      </c>
      <c r="EA66" s="94">
        <f t="shared" si="14"/>
        <v>1.355238545744541E-2</v>
      </c>
      <c r="EB66" s="95">
        <f t="shared" si="84"/>
        <v>107.58228971962617</v>
      </c>
      <c r="EC66" s="103">
        <f>IFERROR(VLOOKUP(A66,PP!$E$3:$S$130,14,0),0)</f>
        <v>27</v>
      </c>
    </row>
    <row r="67" spans="1:227">
      <c r="A67" s="26">
        <v>3311</v>
      </c>
      <c r="B67" s="125">
        <v>10092</v>
      </c>
      <c r="C67" s="26" t="s">
        <v>89</v>
      </c>
      <c r="D67" s="88">
        <f>IFERROR(_xlfn.XLOOKUP($A67,CFR20252026_BenchMarkDataReport!$B:$B,CFR20252026_BenchMarkDataReport!S:S),0)</f>
        <v>2471449.61</v>
      </c>
      <c r="E67" s="88">
        <f>IFERROR(_xlfn.XLOOKUP($A67,CFR20252026_BenchMarkDataReport!$B:$B,CFR20252026_BenchMarkDataReport!T:T),0)</f>
        <v>0</v>
      </c>
      <c r="F67" s="88">
        <f>IFERROR(_xlfn.XLOOKUP($A67,CFR20252026_BenchMarkDataReport!$B:$B,CFR20252026_BenchMarkDataReport!U:U),0)</f>
        <v>87397.13</v>
      </c>
      <c r="G67" s="88">
        <f>IFERROR(_xlfn.XLOOKUP($A67,CFR20252026_BenchMarkDataReport!$B:$B,CFR20252026_BenchMarkDataReport!V:V),0)</f>
        <v>0</v>
      </c>
      <c r="H67" s="88">
        <f>IFERROR(_xlfn.XLOOKUP($A67,CFR20252026_BenchMarkDataReport!$B:$B,CFR20252026_BenchMarkDataReport!W:W),0)</f>
        <v>71520</v>
      </c>
      <c r="I67" s="88">
        <f>IFERROR(_xlfn.XLOOKUP($A67,CFR20252026_BenchMarkDataReport!$B:$B,CFR20252026_BenchMarkDataReport!X:X),0)</f>
        <v>75516.42</v>
      </c>
      <c r="J67" s="88">
        <f>IFERROR(_xlfn.XLOOKUP($A67,CFR20252026_BenchMarkDataReport!$B:$B,CFR20252026_BenchMarkDataReport!Y:Y),0)</f>
        <v>117259.46</v>
      </c>
      <c r="K67" s="88">
        <f>IFERROR(_xlfn.XLOOKUP($A67,CFR20252026_BenchMarkDataReport!$B:$B,CFR20252026_BenchMarkDataReport!Z:Z),0)</f>
        <v>64410.68</v>
      </c>
      <c r="L67" s="88">
        <f>IFERROR(_xlfn.XLOOKUP($A67,CFR20252026_BenchMarkDataReport!$B:$B,CFR20252026_BenchMarkDataReport!AA:AA),0)</f>
        <v>25858.16</v>
      </c>
      <c r="M67" s="88">
        <f>IFERROR(_xlfn.XLOOKUP($A67,CFR20252026_BenchMarkDataReport!$B:$B,CFR20252026_BenchMarkDataReport!AB:AB),0)</f>
        <v>12455.9</v>
      </c>
      <c r="N67" s="88">
        <f>IFERROR(_xlfn.XLOOKUP($A67,CFR20252026_BenchMarkDataReport!$B:$B,CFR20252026_BenchMarkDataReport!AC:AC),0)</f>
        <v>0</v>
      </c>
      <c r="O67" s="88">
        <f>IFERROR(_xlfn.XLOOKUP($A67,CFR20252026_BenchMarkDataReport!$B:$B,CFR20252026_BenchMarkDataReport!AD:AD),0)</f>
        <v>0</v>
      </c>
      <c r="P67" s="88">
        <f>IFERROR(_xlfn.XLOOKUP($A67,CFR20252026_BenchMarkDataReport!$B:$B,CFR20252026_BenchMarkDataReport!AE:AE),0)</f>
        <v>120552.51</v>
      </c>
      <c r="Q67" s="88">
        <f>IFERROR(_xlfn.XLOOKUP($A67,CFR20252026_BenchMarkDataReport!$B:$B,CFR20252026_BenchMarkDataReport!AF:AF),0)</f>
        <v>19665.77</v>
      </c>
      <c r="R67" s="88">
        <f>IFERROR(_xlfn.XLOOKUP($A67,CFR20252026_BenchMarkDataReport!$B:$B,CFR20252026_BenchMarkDataReport!AG:AG),0)</f>
        <v>0</v>
      </c>
      <c r="S67" s="88">
        <f>IFERROR(_xlfn.XLOOKUP($A67,CFR20252026_BenchMarkDataReport!$B:$B,CFR20252026_BenchMarkDataReport!AH:AH),0)</f>
        <v>0</v>
      </c>
      <c r="T67" s="88">
        <f>IFERROR(_xlfn.XLOOKUP($A67,CFR20252026_BenchMarkDataReport!$B:$B,CFR20252026_BenchMarkDataReport!AI:AI),0)</f>
        <v>0</v>
      </c>
      <c r="U67" s="88">
        <f>IFERROR(_xlfn.XLOOKUP($A67,CFR20252026_BenchMarkDataReport!$B:$B,CFR20252026_BenchMarkDataReport!AJ:AJ),0)</f>
        <v>1502762.96</v>
      </c>
      <c r="V67" s="88">
        <f>IFERROR(_xlfn.XLOOKUP($A67,CFR20252026_BenchMarkDataReport!$B:$B,CFR20252026_BenchMarkDataReport!AK:AK),0)</f>
        <v>0</v>
      </c>
      <c r="W67" s="88">
        <f>IFERROR(_xlfn.XLOOKUP($A67,CFR20252026_BenchMarkDataReport!$B:$B,CFR20252026_BenchMarkDataReport!AL:AL),0)</f>
        <v>524163.62</v>
      </c>
      <c r="X67" s="88">
        <f>IFERROR(_xlfn.XLOOKUP($A67,CFR20252026_BenchMarkDataReport!$B:$B,CFR20252026_BenchMarkDataReport!AM:AM),0)</f>
        <v>46035.97</v>
      </c>
      <c r="Y67" s="88">
        <f>IFERROR(_xlfn.XLOOKUP($A67,CFR20252026_BenchMarkDataReport!$B:$B,CFR20252026_BenchMarkDataReport!AN:AN),0)</f>
        <v>124017.98</v>
      </c>
      <c r="Z67" s="88">
        <f>IFERROR(_xlfn.XLOOKUP($A67,CFR20252026_BenchMarkDataReport!$B:$B,CFR20252026_BenchMarkDataReport!AO:AO),0)</f>
        <v>0</v>
      </c>
      <c r="AA67" s="88">
        <f>IFERROR(_xlfn.XLOOKUP($A67,CFR20252026_BenchMarkDataReport!$B:$B,CFR20252026_BenchMarkDataReport!AP:AP),0)</f>
        <v>45098.51</v>
      </c>
      <c r="AB67" s="88">
        <f>IFERROR(_xlfn.XLOOKUP($A67,CFR20252026_BenchMarkDataReport!$B:$B,CFR20252026_BenchMarkDataReport!AQ:AQ),0)</f>
        <v>97661.25</v>
      </c>
      <c r="AC67" s="88">
        <f>IFERROR(_xlfn.XLOOKUP($A67,CFR20252026_BenchMarkDataReport!$B:$B,CFR20252026_BenchMarkDataReport!AR:AR),0)</f>
        <v>6864</v>
      </c>
      <c r="AD67" s="88">
        <f>IFERROR(_xlfn.XLOOKUP($A67,CFR20252026_BenchMarkDataReport!$B:$B,CFR20252026_BenchMarkDataReport!AS:AS),0)</f>
        <v>654.92999999999995</v>
      </c>
      <c r="AE67" s="88">
        <f>IFERROR(_xlfn.XLOOKUP($A67,CFR20252026_BenchMarkDataReport!$B:$B,CFR20252026_BenchMarkDataReport!AT:AT),0)</f>
        <v>0</v>
      </c>
      <c r="AF67" s="88">
        <f>IFERROR(_xlfn.XLOOKUP($A67,CFR20252026_BenchMarkDataReport!$B:$B,CFR20252026_BenchMarkDataReport!AU:AU),0)</f>
        <v>25227.65</v>
      </c>
      <c r="AG67" s="88">
        <f>IFERROR(_xlfn.XLOOKUP($A67,CFR20252026_BenchMarkDataReport!$B:$B,CFR20252026_BenchMarkDataReport!AV:AV),0)</f>
        <v>3980.8</v>
      </c>
      <c r="AH67" s="88">
        <f>IFERROR(_xlfn.XLOOKUP($A67,CFR20252026_BenchMarkDataReport!$B:$B,CFR20252026_BenchMarkDataReport!AW:AW),0)</f>
        <v>72129.69</v>
      </c>
      <c r="AI67" s="88">
        <f>IFERROR(_xlfn.XLOOKUP($A67,CFR20252026_BenchMarkDataReport!$B:$B,CFR20252026_BenchMarkDataReport!AX:AX),0)</f>
        <v>12676.36</v>
      </c>
      <c r="AJ67" s="88">
        <f>IFERROR(_xlfn.XLOOKUP($A67,CFR20252026_BenchMarkDataReport!$B:$B,CFR20252026_BenchMarkDataReport!AY:AY),0)</f>
        <v>37488.089999999997</v>
      </c>
      <c r="AK67" s="88">
        <f>IFERROR(_xlfn.XLOOKUP($A67,CFR20252026_BenchMarkDataReport!$B:$B,CFR20252026_BenchMarkDataReport!AZ:AZ),0)</f>
        <v>31770.38</v>
      </c>
      <c r="AL67" s="88">
        <f>IFERROR(_xlfn.XLOOKUP($A67,CFR20252026_BenchMarkDataReport!$B:$B,CFR20252026_BenchMarkDataReport!BA:BA),0)</f>
        <v>13511.72</v>
      </c>
      <c r="AM67" s="88">
        <f>IFERROR(_xlfn.XLOOKUP($A67,CFR20252026_BenchMarkDataReport!$B:$B,CFR20252026_BenchMarkDataReport!BB:BB),0)</f>
        <v>92784.88</v>
      </c>
      <c r="AN67" s="88">
        <f>IFERROR(_xlfn.XLOOKUP($A67,CFR20252026_BenchMarkDataReport!$B:$B,CFR20252026_BenchMarkDataReport!BC:BC),0)</f>
        <v>8297.52</v>
      </c>
      <c r="AO67" s="88">
        <f>IFERROR(_xlfn.XLOOKUP($A67,CFR20252026_BenchMarkDataReport!$B:$B,CFR20252026_BenchMarkDataReport!BD:BD),0)</f>
        <v>0</v>
      </c>
      <c r="AP67" s="88">
        <f>IFERROR(_xlfn.XLOOKUP($A67,CFR20252026_BenchMarkDataReport!$B:$B,CFR20252026_BenchMarkDataReport!BE:BE),0)</f>
        <v>12792.85</v>
      </c>
      <c r="AQ67" s="88">
        <f>IFERROR(_xlfn.XLOOKUP($A67,CFR20252026_BenchMarkDataReport!$B:$B,CFR20252026_BenchMarkDataReport!BF:BF),0)</f>
        <v>17157.36</v>
      </c>
      <c r="AR67" s="88">
        <f>IFERROR(_xlfn.XLOOKUP($A67,CFR20252026_BenchMarkDataReport!$B:$B,CFR20252026_BenchMarkDataReport!BG:BG),0)</f>
        <v>1961.98</v>
      </c>
      <c r="AS67" s="88">
        <f>IFERROR(_xlfn.XLOOKUP($A67,CFR20252026_BenchMarkDataReport!$B:$B,CFR20252026_BenchMarkDataReport!BH:BH),0)</f>
        <v>217.17</v>
      </c>
      <c r="AT67" s="88">
        <f>IFERROR(_xlfn.XLOOKUP($A67,CFR20252026_BenchMarkDataReport!$B:$B,CFR20252026_BenchMarkDataReport!BI:BI),0)</f>
        <v>6450</v>
      </c>
      <c r="AU67" s="88">
        <f>IFERROR(_xlfn.XLOOKUP($A67,CFR20252026_BenchMarkDataReport!$B:$B,CFR20252026_BenchMarkDataReport!BJ:BJ),0)</f>
        <v>0</v>
      </c>
      <c r="AV67" s="88">
        <f>IFERROR(_xlfn.XLOOKUP($A67,CFR20252026_BenchMarkDataReport!$B:$B,CFR20252026_BenchMarkDataReport!BK:BK),0)</f>
        <v>5381.75</v>
      </c>
      <c r="AW67" s="88">
        <f>IFERROR(_xlfn.XLOOKUP($A67,CFR20252026_BenchMarkDataReport!$B:$B,CFR20252026_BenchMarkDataReport!BL:BL),0)</f>
        <v>17249.04</v>
      </c>
      <c r="AX67" s="88">
        <f>IFERROR(_xlfn.XLOOKUP($A67,CFR20252026_BenchMarkDataReport!$B:$B,CFR20252026_BenchMarkDataReport!BM:BM),0)</f>
        <v>1581.96</v>
      </c>
      <c r="AY67" s="88">
        <f>IFERROR(_xlfn.XLOOKUP($A67,CFR20252026_BenchMarkDataReport!$B:$B,CFR20252026_BenchMarkDataReport!BN:BN),0)</f>
        <v>176156.46</v>
      </c>
      <c r="AZ67" s="88">
        <f>IFERROR(_xlfn.XLOOKUP($A67,CFR20252026_BenchMarkDataReport!$B:$B,CFR20252026_BenchMarkDataReport!BO:BO),0)</f>
        <v>64291.47</v>
      </c>
      <c r="BA67" s="88">
        <f>IFERROR(_xlfn.XLOOKUP($A67,CFR20252026_BenchMarkDataReport!$B:$B,CFR20252026_BenchMarkDataReport!BP:BP),0)</f>
        <v>112997.55</v>
      </c>
      <c r="BB67" s="88">
        <f>IFERROR(_xlfn.XLOOKUP($A67,CFR20252026_BenchMarkDataReport!$B:$B,CFR20252026_BenchMarkDataReport!BQ:BQ),0)</f>
        <v>46084.73</v>
      </c>
      <c r="BC67" s="88">
        <f>IFERROR(_xlfn.XLOOKUP($A67,CFR20252026_BenchMarkDataReport!$B:$B,CFR20252026_BenchMarkDataReport!BR:BR),0)</f>
        <v>0</v>
      </c>
      <c r="BD67" s="88">
        <f>IFERROR(_xlfn.XLOOKUP($A67,CFR20252026_BenchMarkDataReport!$B:$B,CFR20252026_BenchMarkDataReport!BS:BS),0)</f>
        <v>0</v>
      </c>
      <c r="BE67" s="88">
        <f>IFERROR(_xlfn.XLOOKUP($A67,CFR20252026_BenchMarkDataReport!$B:$B,CFR20252026_BenchMarkDataReport!BT:BT),0)</f>
        <v>1608.4</v>
      </c>
      <c r="BF67" s="88">
        <f>IFERROR(_xlfn.XLOOKUP($A67,CFR20252026_BenchMarkDataReport!$B:$B,CFR20252026_BenchMarkDataReport!BU:BU),0)</f>
        <v>0</v>
      </c>
      <c r="BG67" s="88">
        <f>IFERROR(_xlfn.XLOOKUP($A67,CFR20252026_BenchMarkDataReport!$B:$B,CFR20252026_BenchMarkDataReport!BV:BV),0)</f>
        <v>0</v>
      </c>
      <c r="BH67" s="89">
        <f t="shared" si="0"/>
        <v>3066085.6399999997</v>
      </c>
      <c r="BI67" s="90">
        <f t="shared" ref="BI67:BI79" si="223">SUM(U67:BE67)</f>
        <v>3109057.0299999993</v>
      </c>
      <c r="BJ67" s="126">
        <f t="shared" ref="BJ67:BJ86" si="224">BH67-BI67</f>
        <v>-42971.389999999665</v>
      </c>
      <c r="BK67" s="88">
        <f>IFERROR(_xlfn.XLOOKUP(A67,CFR20252026_BenchMarkDataReport!$B:$B,CFR20252026_BenchMarkDataReport!P:P)+_xlfn.XLOOKUP(A67,CFR20252026_BenchMarkDataReport!$B:$B,CFR20252026_BenchMarkDataReport!Q:Q),0)</f>
        <v>-74603</v>
      </c>
      <c r="BL67" s="89">
        <f t="shared" ref="BL67:BL93" si="225">SUM(BJ67:BK67)</f>
        <v>-117574.38999999966</v>
      </c>
      <c r="BM67" s="91">
        <f>SUMIFS(PP!I:I,PP!E:E,A67)</f>
        <v>383</v>
      </c>
      <c r="BN67" s="90">
        <f t="shared" si="133"/>
        <v>2558846.7399999998</v>
      </c>
      <c r="BO67" t="s">
        <v>173</v>
      </c>
      <c r="BP67" s="92">
        <f t="shared" si="203"/>
        <v>0.80606020189312133</v>
      </c>
      <c r="BQ67" s="93">
        <f t="shared" si="204"/>
        <v>6452.8710443864229</v>
      </c>
      <c r="BR67" s="94">
        <f t="shared" si="205"/>
        <v>0</v>
      </c>
      <c r="BS67" s="95">
        <f t="shared" si="206"/>
        <v>0</v>
      </c>
      <c r="BT67" s="92">
        <f t="shared" si="207"/>
        <v>2.8504464735042433E-2</v>
      </c>
      <c r="BU67" s="93">
        <f t="shared" si="208"/>
        <v>228.19093994778069</v>
      </c>
      <c r="BV67" s="94">
        <f t="shared" si="209"/>
        <v>0</v>
      </c>
      <c r="BW67" s="95">
        <f t="shared" si="210"/>
        <v>0</v>
      </c>
      <c r="BX67" s="92">
        <f t="shared" si="211"/>
        <v>2.3326158626149791E-2</v>
      </c>
      <c r="BY67" s="93">
        <f t="shared" si="212"/>
        <v>186.73629242819842</v>
      </c>
      <c r="BZ67" s="94">
        <f t="shared" si="213"/>
        <v>2.4629586015086E-2</v>
      </c>
      <c r="CA67" s="95">
        <f t="shared" si="214"/>
        <v>197.1708093994778</v>
      </c>
      <c r="CB67" s="92">
        <f t="shared" si="215"/>
        <v>3.824402634754847E-2</v>
      </c>
      <c r="CC67" s="93">
        <f t="shared" si="216"/>
        <v>306.16046997389037</v>
      </c>
      <c r="CD67" s="94">
        <f t="shared" si="217"/>
        <v>2.9441069362954913E-2</v>
      </c>
      <c r="CE67" s="96">
        <f t="shared" si="218"/>
        <v>235.68887728459529</v>
      </c>
      <c r="CF67" s="97">
        <f t="shared" si="219"/>
        <v>3.9318050489940005E-2</v>
      </c>
      <c r="CG67" s="98">
        <f t="shared" si="220"/>
        <v>314.75851174934724</v>
      </c>
      <c r="CH67" s="94">
        <f t="shared" si="221"/>
        <v>6.4139663104778779E-3</v>
      </c>
      <c r="CI67" s="95">
        <f t="shared" si="222"/>
        <v>51.346657963446475</v>
      </c>
      <c r="CJ67" s="99">
        <f t="shared" si="90"/>
        <v>0.61240652107206706</v>
      </c>
      <c r="CK67" s="97">
        <f t="shared" si="91"/>
        <v>0.51109284409942313</v>
      </c>
      <c r="CL67" s="97">
        <f t="shared" si="92"/>
        <v>0.50402884697164929</v>
      </c>
      <c r="CM67" s="98">
        <f t="shared" si="93"/>
        <v>4091.5259268929503</v>
      </c>
      <c r="CN67" s="94">
        <f t="shared" si="94"/>
        <v>0.20484369454655188</v>
      </c>
      <c r="CO67" s="100">
        <f t="shared" si="95"/>
        <v>0.17095530965012445</v>
      </c>
      <c r="CP67" s="100">
        <f t="shared" si="96"/>
        <v>0.16859247512741832</v>
      </c>
      <c r="CQ67" s="101">
        <f t="shared" si="97"/>
        <v>1368.5734203655352</v>
      </c>
      <c r="CR67" s="99">
        <f t="shared" si="98"/>
        <v>1.7990905543643465E-2</v>
      </c>
      <c r="CS67" s="97">
        <f t="shared" si="99"/>
        <v>1.501457408736959E-2</v>
      </c>
      <c r="CT67" s="97">
        <f t="shared" si="100"/>
        <v>1.4807052284917402E-2</v>
      </c>
      <c r="CU67" s="98">
        <f t="shared" si="101"/>
        <v>120.19835509138382</v>
      </c>
      <c r="CV67" s="94">
        <f t="shared" si="102"/>
        <v>4.8466357152753901E-2</v>
      </c>
      <c r="CW67" s="100">
        <f t="shared" si="103"/>
        <v>4.0448309199869581E-2</v>
      </c>
      <c r="CX67" s="100">
        <f t="shared" si="104"/>
        <v>3.9889258641228602E-2</v>
      </c>
      <c r="CY67" s="95">
        <f t="shared" si="105"/>
        <v>323.80673629242818</v>
      </c>
      <c r="CZ67" s="99">
        <f t="shared" si="106"/>
        <v>0.87620684934026183</v>
      </c>
      <c r="DA67" s="97">
        <f t="shared" si="107"/>
        <v>0.73125127711696936</v>
      </c>
      <c r="DB67" s="97">
        <f t="shared" si="108"/>
        <v>0.72114439148773046</v>
      </c>
      <c r="DC67" s="98">
        <f t="shared" si="109"/>
        <v>5853.99227154047</v>
      </c>
      <c r="DD67" s="94">
        <f t="shared" si="110"/>
        <v>9.8589921802038072E-3</v>
      </c>
      <c r="DE67" s="100">
        <f t="shared" si="111"/>
        <v>8.1142448519189777E-3</v>
      </c>
      <c r="DF67" s="95">
        <f t="shared" si="112"/>
        <v>65.86853785900783</v>
      </c>
      <c r="DG67" s="99">
        <f t="shared" si="113"/>
        <v>4.0772362416266143E-3</v>
      </c>
      <c r="DH67" s="98">
        <f t="shared" si="114"/>
        <v>33.097545691906006</v>
      </c>
      <c r="DI67" s="94">
        <f t="shared" si="115"/>
        <v>1.4650385040254501E-2</v>
      </c>
      <c r="DJ67" s="100">
        <f t="shared" si="116"/>
        <v>1.2057704197211205E-2</v>
      </c>
      <c r="DK67" s="95">
        <f t="shared" si="117"/>
        <v>97.880130548302859</v>
      </c>
      <c r="DL67" s="99">
        <f t="shared" si="118"/>
        <v>5.2803944014247605E-3</v>
      </c>
      <c r="DM67" s="97">
        <f t="shared" si="119"/>
        <v>4.3459222103751508E-3</v>
      </c>
      <c r="DN67" s="102">
        <f t="shared" si="120"/>
        <v>35.27864229765013</v>
      </c>
      <c r="DO67" s="94">
        <f t="shared" si="121"/>
        <v>3.6260428789885252E-2</v>
      </c>
      <c r="DP67" s="100">
        <f t="shared" si="122"/>
        <v>3.0261672664824851E-2</v>
      </c>
      <c r="DQ67" s="100">
        <f t="shared" si="123"/>
        <v>2.9843415255718233E-2</v>
      </c>
      <c r="DR67" s="95">
        <f t="shared" si="124"/>
        <v>242.25817232375979</v>
      </c>
      <c r="DS67" s="99">
        <f t="shared" si="125"/>
        <v>2.1031935660202924E-3</v>
      </c>
      <c r="DT67" s="97">
        <f t="shared" si="126"/>
        <v>1.7309910844575281E-3</v>
      </c>
      <c r="DU67" s="98">
        <f t="shared" si="127"/>
        <v>14.051566579634464</v>
      </c>
      <c r="DV67" s="94">
        <f t="shared" si="128"/>
        <v>4.4159561506211982E-2</v>
      </c>
      <c r="DW67" s="100">
        <f t="shared" si="129"/>
        <v>3.6344637267718444E-2</v>
      </c>
      <c r="DX67" s="95">
        <f t="shared" si="130"/>
        <v>295.03276762402089</v>
      </c>
      <c r="DY67" s="99">
        <f t="shared" si="131"/>
        <v>5.6659127928573257E-2</v>
      </c>
      <c r="DZ67" s="98">
        <f t="shared" si="132"/>
        <v>459.93853785900779</v>
      </c>
      <c r="EA67" s="94">
        <f t="shared" ref="EA67:EA93" si="226">IFERROR(AH67/BI67,0)</f>
        <v>2.3199860698599029E-2</v>
      </c>
      <c r="EB67" s="95">
        <f t="shared" ref="EB67:EB93" si="227">IFERROR((AH67/BM67),0)</f>
        <v>188.32817232375979</v>
      </c>
      <c r="EC67" s="103">
        <f>IFERROR(VLOOKUP(A67,PP!$E$3:$S$130,14,0),0)</f>
        <v>42</v>
      </c>
    </row>
    <row r="68" spans="1:227">
      <c r="A68" s="26">
        <v>3313</v>
      </c>
      <c r="B68" s="125">
        <v>10094</v>
      </c>
      <c r="C68" s="26" t="s">
        <v>90</v>
      </c>
      <c r="D68" s="88">
        <f>IFERROR(_xlfn.XLOOKUP($A68,CFR20252026_BenchMarkDataReport!$B:$B,CFR20252026_BenchMarkDataReport!S:S),0)</f>
        <v>1310131.76</v>
      </c>
      <c r="E68" s="88">
        <f>IFERROR(_xlfn.XLOOKUP($A68,CFR20252026_BenchMarkDataReport!$B:$B,CFR20252026_BenchMarkDataReport!T:T),0)</f>
        <v>0</v>
      </c>
      <c r="F68" s="88">
        <f>IFERROR(_xlfn.XLOOKUP($A68,CFR20252026_BenchMarkDataReport!$B:$B,CFR20252026_BenchMarkDataReport!U:U),0)</f>
        <v>135606.89000000001</v>
      </c>
      <c r="G68" s="88">
        <f>IFERROR(_xlfn.XLOOKUP($A68,CFR20252026_BenchMarkDataReport!$B:$B,CFR20252026_BenchMarkDataReport!V:V),0)</f>
        <v>0</v>
      </c>
      <c r="H68" s="88">
        <f>IFERROR(_xlfn.XLOOKUP($A68,CFR20252026_BenchMarkDataReport!$B:$B,CFR20252026_BenchMarkDataReport!W:W),0)</f>
        <v>72720</v>
      </c>
      <c r="I68" s="88">
        <f>IFERROR(_xlfn.XLOOKUP($A68,CFR20252026_BenchMarkDataReport!$B:$B,CFR20252026_BenchMarkDataReport!X:X),0)</f>
        <v>34080</v>
      </c>
      <c r="J68" s="88">
        <f>IFERROR(_xlfn.XLOOKUP($A68,CFR20252026_BenchMarkDataReport!$B:$B,CFR20252026_BenchMarkDataReport!Y:Y),0)</f>
        <v>37803.21</v>
      </c>
      <c r="K68" s="88">
        <f>IFERROR(_xlfn.XLOOKUP($A68,CFR20252026_BenchMarkDataReport!$B:$B,CFR20252026_BenchMarkDataReport!Z:Z),0)</f>
        <v>624.82000000000005</v>
      </c>
      <c r="L68" s="88">
        <f>IFERROR(_xlfn.XLOOKUP($A68,CFR20252026_BenchMarkDataReport!$B:$B,CFR20252026_BenchMarkDataReport!AA:AA),0)</f>
        <v>21609.599999999999</v>
      </c>
      <c r="M68" s="88">
        <f>IFERROR(_xlfn.XLOOKUP($A68,CFR20252026_BenchMarkDataReport!$B:$B,CFR20252026_BenchMarkDataReport!AB:AB),0)</f>
        <v>3.04</v>
      </c>
      <c r="N68" s="88">
        <f>IFERROR(_xlfn.XLOOKUP($A68,CFR20252026_BenchMarkDataReport!$B:$B,CFR20252026_BenchMarkDataReport!AC:AC),0)</f>
        <v>0</v>
      </c>
      <c r="O68" s="88">
        <f>IFERROR(_xlfn.XLOOKUP($A68,CFR20252026_BenchMarkDataReport!$B:$B,CFR20252026_BenchMarkDataReport!AD:AD),0)</f>
        <v>10044</v>
      </c>
      <c r="P68" s="88">
        <f>IFERROR(_xlfn.XLOOKUP($A68,CFR20252026_BenchMarkDataReport!$B:$B,CFR20252026_BenchMarkDataReport!AE:AE),0)</f>
        <v>13510.2</v>
      </c>
      <c r="Q68" s="88">
        <f>IFERROR(_xlfn.XLOOKUP($A68,CFR20252026_BenchMarkDataReport!$B:$B,CFR20252026_BenchMarkDataReport!AF:AF),0)</f>
        <v>4031.36</v>
      </c>
      <c r="R68" s="88">
        <f>IFERROR(_xlfn.XLOOKUP($A68,CFR20252026_BenchMarkDataReport!$B:$B,CFR20252026_BenchMarkDataReport!AG:AG),0)</f>
        <v>0</v>
      </c>
      <c r="S68" s="88">
        <f>IFERROR(_xlfn.XLOOKUP($A68,CFR20252026_BenchMarkDataReport!$B:$B,CFR20252026_BenchMarkDataReport!AH:AH),0)</f>
        <v>0</v>
      </c>
      <c r="T68" s="88">
        <f>IFERROR(_xlfn.XLOOKUP($A68,CFR20252026_BenchMarkDataReport!$B:$B,CFR20252026_BenchMarkDataReport!AI:AI),0)</f>
        <v>0</v>
      </c>
      <c r="U68" s="88">
        <f>IFERROR(_xlfn.XLOOKUP($A68,CFR20252026_BenchMarkDataReport!$B:$B,CFR20252026_BenchMarkDataReport!AJ:AJ),0)</f>
        <v>752547.87</v>
      </c>
      <c r="V68" s="88">
        <f>IFERROR(_xlfn.XLOOKUP($A68,CFR20252026_BenchMarkDataReport!$B:$B,CFR20252026_BenchMarkDataReport!AK:AK),0)</f>
        <v>8136.75</v>
      </c>
      <c r="W68" s="88">
        <f>IFERROR(_xlfn.XLOOKUP($A68,CFR20252026_BenchMarkDataReport!$B:$B,CFR20252026_BenchMarkDataReport!AL:AL),0)</f>
        <v>500064.31</v>
      </c>
      <c r="X68" s="88">
        <f>IFERROR(_xlfn.XLOOKUP($A68,CFR20252026_BenchMarkDataReport!$B:$B,CFR20252026_BenchMarkDataReport!AM:AM),0)</f>
        <v>46228.31</v>
      </c>
      <c r="Y68" s="88">
        <f>IFERROR(_xlfn.XLOOKUP($A68,CFR20252026_BenchMarkDataReport!$B:$B,CFR20252026_BenchMarkDataReport!AN:AN),0)</f>
        <v>73856.5</v>
      </c>
      <c r="Z68" s="88">
        <f>IFERROR(_xlfn.XLOOKUP($A68,CFR20252026_BenchMarkDataReport!$B:$B,CFR20252026_BenchMarkDataReport!AO:AO),0)</f>
        <v>0</v>
      </c>
      <c r="AA68" s="88">
        <f>IFERROR(_xlfn.XLOOKUP($A68,CFR20252026_BenchMarkDataReport!$B:$B,CFR20252026_BenchMarkDataReport!AP:AP),0)</f>
        <v>16656.13</v>
      </c>
      <c r="AB68" s="88">
        <f>IFERROR(_xlfn.XLOOKUP($A68,CFR20252026_BenchMarkDataReport!$B:$B,CFR20252026_BenchMarkDataReport!AQ:AQ),0)</f>
        <v>4288.75</v>
      </c>
      <c r="AC68" s="88">
        <f>IFERROR(_xlfn.XLOOKUP($A68,CFR20252026_BenchMarkDataReport!$B:$B,CFR20252026_BenchMarkDataReport!AR:AR),0)</f>
        <v>2688.2</v>
      </c>
      <c r="AD68" s="88">
        <f>IFERROR(_xlfn.XLOOKUP($A68,CFR20252026_BenchMarkDataReport!$B:$B,CFR20252026_BenchMarkDataReport!AS:AS),0)</f>
        <v>15576.48</v>
      </c>
      <c r="AE68" s="88">
        <f>IFERROR(_xlfn.XLOOKUP($A68,CFR20252026_BenchMarkDataReport!$B:$B,CFR20252026_BenchMarkDataReport!AT:AT),0)</f>
        <v>0</v>
      </c>
      <c r="AF68" s="88">
        <f>IFERROR(_xlfn.XLOOKUP($A68,CFR20252026_BenchMarkDataReport!$B:$B,CFR20252026_BenchMarkDataReport!AU:AU),0)</f>
        <v>14966.86</v>
      </c>
      <c r="AG68" s="88">
        <f>IFERROR(_xlfn.XLOOKUP($A68,CFR20252026_BenchMarkDataReport!$B:$B,CFR20252026_BenchMarkDataReport!AV:AV),0)</f>
        <v>202.63</v>
      </c>
      <c r="AH68" s="88">
        <f>IFERROR(_xlfn.XLOOKUP($A68,CFR20252026_BenchMarkDataReport!$B:$B,CFR20252026_BenchMarkDataReport!AW:AW),0)</f>
        <v>26394.21</v>
      </c>
      <c r="AI68" s="88">
        <f>IFERROR(_xlfn.XLOOKUP($A68,CFR20252026_BenchMarkDataReport!$B:$B,CFR20252026_BenchMarkDataReport!AX:AX),0)</f>
        <v>4718.3100000000004</v>
      </c>
      <c r="AJ68" s="88">
        <f>IFERROR(_xlfn.XLOOKUP($A68,CFR20252026_BenchMarkDataReport!$B:$B,CFR20252026_BenchMarkDataReport!AY:AY),0)</f>
        <v>16508.509999999998</v>
      </c>
      <c r="AK68" s="88">
        <f>IFERROR(_xlfn.XLOOKUP($A68,CFR20252026_BenchMarkDataReport!$B:$B,CFR20252026_BenchMarkDataReport!AZ:AZ),0)</f>
        <v>4098.34</v>
      </c>
      <c r="AL68" s="88">
        <f>IFERROR(_xlfn.XLOOKUP($A68,CFR20252026_BenchMarkDataReport!$B:$B,CFR20252026_BenchMarkDataReport!BA:BA),0)</f>
        <v>8373.51</v>
      </c>
      <c r="AM68" s="88">
        <f>IFERROR(_xlfn.XLOOKUP($A68,CFR20252026_BenchMarkDataReport!$B:$B,CFR20252026_BenchMarkDataReport!BB:BB),0)</f>
        <v>32063.67</v>
      </c>
      <c r="AN68" s="88">
        <f>IFERROR(_xlfn.XLOOKUP($A68,CFR20252026_BenchMarkDataReport!$B:$B,CFR20252026_BenchMarkDataReport!BC:BC),0)</f>
        <v>4447.6899999999996</v>
      </c>
      <c r="AO68" s="88">
        <f>IFERROR(_xlfn.XLOOKUP($A68,CFR20252026_BenchMarkDataReport!$B:$B,CFR20252026_BenchMarkDataReport!BD:BD),0)</f>
        <v>0</v>
      </c>
      <c r="AP68" s="88">
        <f>IFERROR(_xlfn.XLOOKUP($A68,CFR20252026_BenchMarkDataReport!$B:$B,CFR20252026_BenchMarkDataReport!BE:BE),0)</f>
        <v>0</v>
      </c>
      <c r="AQ68" s="88">
        <f>IFERROR(_xlfn.XLOOKUP($A68,CFR20252026_BenchMarkDataReport!$B:$B,CFR20252026_BenchMarkDataReport!BF:BF),0)</f>
        <v>6071.34</v>
      </c>
      <c r="AR68" s="88">
        <f>IFERROR(_xlfn.XLOOKUP($A68,CFR20252026_BenchMarkDataReport!$B:$B,CFR20252026_BenchMarkDataReport!BG:BG),0)</f>
        <v>0</v>
      </c>
      <c r="AS68" s="88">
        <f>IFERROR(_xlfn.XLOOKUP($A68,CFR20252026_BenchMarkDataReport!$B:$B,CFR20252026_BenchMarkDataReport!BH:BH),0)</f>
        <v>861.46</v>
      </c>
      <c r="AT68" s="88">
        <f>IFERROR(_xlfn.XLOOKUP($A68,CFR20252026_BenchMarkDataReport!$B:$B,CFR20252026_BenchMarkDataReport!BI:BI),0)</f>
        <v>4570</v>
      </c>
      <c r="AU68" s="88">
        <f>IFERROR(_xlfn.XLOOKUP($A68,CFR20252026_BenchMarkDataReport!$B:$B,CFR20252026_BenchMarkDataReport!BJ:BJ),0)</f>
        <v>0</v>
      </c>
      <c r="AV68" s="88">
        <f>IFERROR(_xlfn.XLOOKUP($A68,CFR20252026_BenchMarkDataReport!$B:$B,CFR20252026_BenchMarkDataReport!BK:BK),0)</f>
        <v>3676.26</v>
      </c>
      <c r="AW68" s="88">
        <f>IFERROR(_xlfn.XLOOKUP($A68,CFR20252026_BenchMarkDataReport!$B:$B,CFR20252026_BenchMarkDataReport!BL:BL),0)</f>
        <v>8173.35</v>
      </c>
      <c r="AX68" s="88">
        <f>IFERROR(_xlfn.XLOOKUP($A68,CFR20252026_BenchMarkDataReport!$B:$B,CFR20252026_BenchMarkDataReport!BM:BM),0)</f>
        <v>4221.41</v>
      </c>
      <c r="AY68" s="88">
        <f>IFERROR(_xlfn.XLOOKUP($A68,CFR20252026_BenchMarkDataReport!$B:$B,CFR20252026_BenchMarkDataReport!BN:BN),0)</f>
        <v>77108.02</v>
      </c>
      <c r="AZ68" s="88">
        <f>IFERROR(_xlfn.XLOOKUP($A68,CFR20252026_BenchMarkDataReport!$B:$B,CFR20252026_BenchMarkDataReport!BO:BO),0)</f>
        <v>15670.9</v>
      </c>
      <c r="BA68" s="88">
        <f>IFERROR(_xlfn.XLOOKUP($A68,CFR20252026_BenchMarkDataReport!$B:$B,CFR20252026_BenchMarkDataReport!BP:BP),0)</f>
        <v>108609.48</v>
      </c>
      <c r="BB68" s="88">
        <f>IFERROR(_xlfn.XLOOKUP($A68,CFR20252026_BenchMarkDataReport!$B:$B,CFR20252026_BenchMarkDataReport!BQ:BQ),0)</f>
        <v>32637.63</v>
      </c>
      <c r="BC68" s="88">
        <f>IFERROR(_xlfn.XLOOKUP($A68,CFR20252026_BenchMarkDataReport!$B:$B,CFR20252026_BenchMarkDataReport!BR:BR),0)</f>
        <v>0</v>
      </c>
      <c r="BD68" s="88">
        <f>IFERROR(_xlfn.XLOOKUP($A68,CFR20252026_BenchMarkDataReport!$B:$B,CFR20252026_BenchMarkDataReport!BS:BS),0)</f>
        <v>0</v>
      </c>
      <c r="BE68" s="88">
        <f>IFERROR(_xlfn.XLOOKUP($A68,CFR20252026_BenchMarkDataReport!$B:$B,CFR20252026_BenchMarkDataReport!BT:BT),0)</f>
        <v>0</v>
      </c>
      <c r="BF68" s="88">
        <f>IFERROR(_xlfn.XLOOKUP($A68,CFR20252026_BenchMarkDataReport!$B:$B,CFR20252026_BenchMarkDataReport!BU:BU),0)</f>
        <v>0</v>
      </c>
      <c r="BG68" s="88">
        <f>IFERROR(_xlfn.XLOOKUP($A68,CFR20252026_BenchMarkDataReport!$B:$B,CFR20252026_BenchMarkDataReport!BV:BV),0)</f>
        <v>0</v>
      </c>
      <c r="BH68" s="89">
        <f t="shared" si="0"/>
        <v>1640164.8800000001</v>
      </c>
      <c r="BI68" s="90">
        <f t="shared" si="223"/>
        <v>1793416.8799999997</v>
      </c>
      <c r="BJ68" s="126">
        <f t="shared" si="224"/>
        <v>-153251.99999999953</v>
      </c>
      <c r="BK68" s="88">
        <f>IFERROR(_xlfn.XLOOKUP(A68,CFR20252026_BenchMarkDataReport!$B:$B,CFR20252026_BenchMarkDataReport!P:P)+_xlfn.XLOOKUP(A68,CFR20252026_BenchMarkDataReport!$B:$B,CFR20252026_BenchMarkDataReport!Q:Q),0)</f>
        <v>160701</v>
      </c>
      <c r="BL68" s="89">
        <f t="shared" si="225"/>
        <v>7449.0000000004657</v>
      </c>
      <c r="BM68" s="91">
        <f>SUMIFS(PP!I:I,PP!E:E,A68)</f>
        <v>178</v>
      </c>
      <c r="BN68" s="90">
        <f t="shared" si="133"/>
        <v>1445738.65</v>
      </c>
      <c r="BO68" t="s">
        <v>173</v>
      </c>
      <c r="BP68" s="92">
        <f t="shared" si="203"/>
        <v>0.79878052260209342</v>
      </c>
      <c r="BQ68" s="93">
        <f t="shared" si="204"/>
        <v>7360.2907865168536</v>
      </c>
      <c r="BR68" s="94">
        <f t="shared" si="205"/>
        <v>0</v>
      </c>
      <c r="BS68" s="95">
        <f t="shared" si="206"/>
        <v>0</v>
      </c>
      <c r="BT68" s="92">
        <f t="shared" si="207"/>
        <v>8.2678815802957564E-2</v>
      </c>
      <c r="BU68" s="93">
        <f t="shared" si="208"/>
        <v>761.83646067415737</v>
      </c>
      <c r="BV68" s="94">
        <f t="shared" si="209"/>
        <v>0</v>
      </c>
      <c r="BW68" s="95">
        <f t="shared" si="210"/>
        <v>0</v>
      </c>
      <c r="BX68" s="92">
        <f t="shared" si="211"/>
        <v>4.433700592345325E-2</v>
      </c>
      <c r="BY68" s="93">
        <f t="shared" si="212"/>
        <v>408.53932584269666</v>
      </c>
      <c r="BZ68" s="94">
        <f t="shared" si="213"/>
        <v>2.0778398815611755E-2</v>
      </c>
      <c r="CA68" s="95">
        <f t="shared" si="214"/>
        <v>191.46067415730337</v>
      </c>
      <c r="CB68" s="92">
        <f t="shared" si="215"/>
        <v>2.3048420595373313E-2</v>
      </c>
      <c r="CC68" s="93">
        <f t="shared" si="216"/>
        <v>212.37758426966292</v>
      </c>
      <c r="CD68" s="94">
        <f t="shared" si="217"/>
        <v>1.3556210275640091E-2</v>
      </c>
      <c r="CE68" s="96">
        <f t="shared" si="218"/>
        <v>124.91247191011234</v>
      </c>
      <c r="CF68" s="97">
        <f t="shared" si="219"/>
        <v>8.2370986994917249E-3</v>
      </c>
      <c r="CG68" s="98">
        <f t="shared" si="220"/>
        <v>75.900000000000006</v>
      </c>
      <c r="CH68" s="94">
        <f t="shared" si="221"/>
        <v>2.4578992326673888E-3</v>
      </c>
      <c r="CI68" s="95">
        <f t="shared" si="222"/>
        <v>22.648089887640449</v>
      </c>
      <c r="CJ68" s="99">
        <f t="shared" si="90"/>
        <v>0.53699575645985531</v>
      </c>
      <c r="CK68" s="97">
        <f t="shared" si="91"/>
        <v>0.47333992421542398</v>
      </c>
      <c r="CL68" s="97">
        <f t="shared" si="92"/>
        <v>0.43289183271209097</v>
      </c>
      <c r="CM68" s="98">
        <f t="shared" si="93"/>
        <v>4361.5478651685398</v>
      </c>
      <c r="CN68" s="94">
        <f t="shared" si="94"/>
        <v>0.34588845639562865</v>
      </c>
      <c r="CO68" s="100">
        <f t="shared" si="95"/>
        <v>0.30488660993643513</v>
      </c>
      <c r="CP68" s="100">
        <f t="shared" si="96"/>
        <v>0.27883327941019498</v>
      </c>
      <c r="CQ68" s="101">
        <f t="shared" si="97"/>
        <v>2809.3500561797755</v>
      </c>
      <c r="CR68" s="99">
        <f t="shared" si="98"/>
        <v>3.1975564878202571E-2</v>
      </c>
      <c r="CS68" s="97">
        <f t="shared" si="99"/>
        <v>2.8185160262668221E-2</v>
      </c>
      <c r="CT68" s="97">
        <f t="shared" si="100"/>
        <v>2.5776667162851732E-2</v>
      </c>
      <c r="CU68" s="98">
        <f t="shared" si="101"/>
        <v>259.709606741573</v>
      </c>
      <c r="CV68" s="94">
        <f t="shared" si="102"/>
        <v>5.1085650923145758E-2</v>
      </c>
      <c r="CW68" s="100">
        <f t="shared" si="103"/>
        <v>4.502992406470744E-2</v>
      </c>
      <c r="CX68" s="100">
        <f t="shared" si="104"/>
        <v>4.118200337224439E-2</v>
      </c>
      <c r="CY68" s="95">
        <f t="shared" si="105"/>
        <v>414.92415730337081</v>
      </c>
      <c r="CZ68" s="99">
        <f t="shared" si="106"/>
        <v>0.96662690037372934</v>
      </c>
      <c r="DA68" s="97">
        <f t="shared" si="107"/>
        <v>0.85204230808795256</v>
      </c>
      <c r="DB68" s="97">
        <f t="shared" si="108"/>
        <v>0.77923314182255277</v>
      </c>
      <c r="DC68" s="98">
        <f t="shared" si="109"/>
        <v>7851.066685393258</v>
      </c>
      <c r="DD68" s="94">
        <f t="shared" si="110"/>
        <v>1.0352396679718013E-2</v>
      </c>
      <c r="DE68" s="100">
        <f t="shared" si="111"/>
        <v>8.3454439215493517E-3</v>
      </c>
      <c r="DF68" s="95">
        <f t="shared" si="112"/>
        <v>84.083483146067422</v>
      </c>
      <c r="DG68" s="99">
        <f t="shared" si="113"/>
        <v>2.630905314106334E-3</v>
      </c>
      <c r="DH68" s="98">
        <f t="shared" si="114"/>
        <v>26.507359550561802</v>
      </c>
      <c r="DI68" s="94">
        <f t="shared" si="115"/>
        <v>1.1418737404578621E-2</v>
      </c>
      <c r="DJ68" s="100">
        <f t="shared" si="116"/>
        <v>9.2050600081337482E-3</v>
      </c>
      <c r="DK68" s="95">
        <f t="shared" si="117"/>
        <v>92.744438202247181</v>
      </c>
      <c r="DL68" s="99">
        <f t="shared" si="118"/>
        <v>5.791855948514623E-3</v>
      </c>
      <c r="DM68" s="97">
        <f t="shared" si="119"/>
        <v>4.6690259768269841E-3</v>
      </c>
      <c r="DN68" s="102">
        <f t="shared" si="120"/>
        <v>47.042191011235957</v>
      </c>
      <c r="DO68" s="94">
        <f t="shared" si="121"/>
        <v>2.2178054104038791E-2</v>
      </c>
      <c r="DP68" s="100">
        <f t="shared" si="122"/>
        <v>1.9549052897657456E-2</v>
      </c>
      <c r="DQ68" s="100">
        <f t="shared" si="123"/>
        <v>1.7878536974626894E-2</v>
      </c>
      <c r="DR68" s="95">
        <f t="shared" si="124"/>
        <v>180.13297752808987</v>
      </c>
      <c r="DS68" s="99">
        <f t="shared" si="125"/>
        <v>2.5428247353005335E-3</v>
      </c>
      <c r="DT68" s="97">
        <f t="shared" si="126"/>
        <v>2.0498636100715192E-3</v>
      </c>
      <c r="DU68" s="98">
        <f t="shared" si="127"/>
        <v>20.653146067415733</v>
      </c>
      <c r="DV68" s="94">
        <f t="shared" si="128"/>
        <v>7.5123868342317615E-2</v>
      </c>
      <c r="DW68" s="100">
        <f t="shared" si="129"/>
        <v>6.0560085728645546E-2</v>
      </c>
      <c r="DX68" s="95">
        <f t="shared" si="130"/>
        <v>610.16561797752809</v>
      </c>
      <c r="DY68" s="99">
        <f t="shared" si="131"/>
        <v>4.299503414956149E-2</v>
      </c>
      <c r="DZ68" s="98">
        <f t="shared" si="132"/>
        <v>433.19112359550564</v>
      </c>
      <c r="EA68" s="94">
        <f t="shared" si="226"/>
        <v>1.4717275327530097E-2</v>
      </c>
      <c r="EB68" s="95">
        <f t="shared" si="227"/>
        <v>148.2820786516854</v>
      </c>
      <c r="EC68" s="103">
        <f>IFERROR(VLOOKUP(A68,PP!$E$3:$S$130,14,0),0)</f>
        <v>48</v>
      </c>
    </row>
    <row r="69" spans="1:227">
      <c r="A69" s="26">
        <v>3314</v>
      </c>
      <c r="B69" s="125">
        <v>10095</v>
      </c>
      <c r="C69" s="26" t="s">
        <v>91</v>
      </c>
      <c r="D69" s="88">
        <f>IFERROR(_xlfn.XLOOKUP($A69,CFR20252026_BenchMarkDataReport!$B:$B,CFR20252026_BenchMarkDataReport!S:S),0)</f>
        <v>1244168.47</v>
      </c>
      <c r="E69" s="88">
        <f>IFERROR(_xlfn.XLOOKUP($A69,CFR20252026_BenchMarkDataReport!$B:$B,CFR20252026_BenchMarkDataReport!T:T),0)</f>
        <v>0</v>
      </c>
      <c r="F69" s="88">
        <f>IFERROR(_xlfn.XLOOKUP($A69,CFR20252026_BenchMarkDataReport!$B:$B,CFR20252026_BenchMarkDataReport!U:U),0)</f>
        <v>90451.42</v>
      </c>
      <c r="G69" s="88">
        <f>IFERROR(_xlfn.XLOOKUP($A69,CFR20252026_BenchMarkDataReport!$B:$B,CFR20252026_BenchMarkDataReport!V:V),0)</f>
        <v>0</v>
      </c>
      <c r="H69" s="88">
        <f>IFERROR(_xlfn.XLOOKUP($A69,CFR20252026_BenchMarkDataReport!$B:$B,CFR20252026_BenchMarkDataReport!W:W),0)</f>
        <v>60600</v>
      </c>
      <c r="I69" s="88">
        <f>IFERROR(_xlfn.XLOOKUP($A69,CFR20252026_BenchMarkDataReport!$B:$B,CFR20252026_BenchMarkDataReport!X:X),0)</f>
        <v>50811</v>
      </c>
      <c r="J69" s="88">
        <f>IFERROR(_xlfn.XLOOKUP($A69,CFR20252026_BenchMarkDataReport!$B:$B,CFR20252026_BenchMarkDataReport!Y:Y),0)</f>
        <v>84752.69</v>
      </c>
      <c r="K69" s="88">
        <f>IFERROR(_xlfn.XLOOKUP($A69,CFR20252026_BenchMarkDataReport!$B:$B,CFR20252026_BenchMarkDataReport!Z:Z),0)</f>
        <v>220</v>
      </c>
      <c r="L69" s="88">
        <f>IFERROR(_xlfn.XLOOKUP($A69,CFR20252026_BenchMarkDataReport!$B:$B,CFR20252026_BenchMarkDataReport!AA:AA),0)</f>
        <v>57537.68</v>
      </c>
      <c r="M69" s="88">
        <f>IFERROR(_xlfn.XLOOKUP($A69,CFR20252026_BenchMarkDataReport!$B:$B,CFR20252026_BenchMarkDataReport!AB:AB),0)</f>
        <v>1565.46</v>
      </c>
      <c r="N69" s="88">
        <f>IFERROR(_xlfn.XLOOKUP($A69,CFR20252026_BenchMarkDataReport!$B:$B,CFR20252026_BenchMarkDataReport!AC:AC),0)</f>
        <v>0</v>
      </c>
      <c r="O69" s="88">
        <f>IFERROR(_xlfn.XLOOKUP($A69,CFR20252026_BenchMarkDataReport!$B:$B,CFR20252026_BenchMarkDataReport!AD:AD),0)</f>
        <v>0</v>
      </c>
      <c r="P69" s="88">
        <f>IFERROR(_xlfn.XLOOKUP($A69,CFR20252026_BenchMarkDataReport!$B:$B,CFR20252026_BenchMarkDataReport!AE:AE),0)</f>
        <v>22528</v>
      </c>
      <c r="Q69" s="88">
        <f>IFERROR(_xlfn.XLOOKUP($A69,CFR20252026_BenchMarkDataReport!$B:$B,CFR20252026_BenchMarkDataReport!AF:AF),0)</f>
        <v>11228.09</v>
      </c>
      <c r="R69" s="88">
        <f>IFERROR(_xlfn.XLOOKUP($A69,CFR20252026_BenchMarkDataReport!$B:$B,CFR20252026_BenchMarkDataReport!AG:AG),0)</f>
        <v>0</v>
      </c>
      <c r="S69" s="88">
        <f>IFERROR(_xlfn.XLOOKUP($A69,CFR20252026_BenchMarkDataReport!$B:$B,CFR20252026_BenchMarkDataReport!AH:AH),0)</f>
        <v>0</v>
      </c>
      <c r="T69" s="88">
        <f>IFERROR(_xlfn.XLOOKUP($A69,CFR20252026_BenchMarkDataReport!$B:$B,CFR20252026_BenchMarkDataReport!AI:AI),0)</f>
        <v>0</v>
      </c>
      <c r="U69" s="88">
        <f>IFERROR(_xlfn.XLOOKUP($A69,CFR20252026_BenchMarkDataReport!$B:$B,CFR20252026_BenchMarkDataReport!AJ:AJ),0)</f>
        <v>732211.88</v>
      </c>
      <c r="V69" s="88">
        <f>IFERROR(_xlfn.XLOOKUP($A69,CFR20252026_BenchMarkDataReport!$B:$B,CFR20252026_BenchMarkDataReport!AK:AK),0)</f>
        <v>0</v>
      </c>
      <c r="W69" s="88">
        <f>IFERROR(_xlfn.XLOOKUP($A69,CFR20252026_BenchMarkDataReport!$B:$B,CFR20252026_BenchMarkDataReport!AL:AL),0)</f>
        <v>277050.05</v>
      </c>
      <c r="X69" s="88">
        <f>IFERROR(_xlfn.XLOOKUP($A69,CFR20252026_BenchMarkDataReport!$B:$B,CFR20252026_BenchMarkDataReport!AM:AM),0)</f>
        <v>27141.94</v>
      </c>
      <c r="Y69" s="88">
        <f>IFERROR(_xlfn.XLOOKUP($A69,CFR20252026_BenchMarkDataReport!$B:$B,CFR20252026_BenchMarkDataReport!AN:AN),0)</f>
        <v>65141.65</v>
      </c>
      <c r="Z69" s="88">
        <f>IFERROR(_xlfn.XLOOKUP($A69,CFR20252026_BenchMarkDataReport!$B:$B,CFR20252026_BenchMarkDataReport!AO:AO),0)</f>
        <v>0</v>
      </c>
      <c r="AA69" s="88">
        <f>IFERROR(_xlfn.XLOOKUP($A69,CFR20252026_BenchMarkDataReport!$B:$B,CFR20252026_BenchMarkDataReport!AP:AP),0)</f>
        <v>73287.320000000007</v>
      </c>
      <c r="AB69" s="88">
        <f>IFERROR(_xlfn.XLOOKUP($A69,CFR20252026_BenchMarkDataReport!$B:$B,CFR20252026_BenchMarkDataReport!AQ:AQ),0)</f>
        <v>6914.35</v>
      </c>
      <c r="AC69" s="88">
        <f>IFERROR(_xlfn.XLOOKUP($A69,CFR20252026_BenchMarkDataReport!$B:$B,CFR20252026_BenchMarkDataReport!AR:AR),0)</f>
        <v>2881.95</v>
      </c>
      <c r="AD69" s="88">
        <f>IFERROR(_xlfn.XLOOKUP($A69,CFR20252026_BenchMarkDataReport!$B:$B,CFR20252026_BenchMarkDataReport!AS:AS),0)</f>
        <v>353.97</v>
      </c>
      <c r="AE69" s="88">
        <f>IFERROR(_xlfn.XLOOKUP($A69,CFR20252026_BenchMarkDataReport!$B:$B,CFR20252026_BenchMarkDataReport!AT:AT),0)</f>
        <v>0</v>
      </c>
      <c r="AF69" s="88">
        <f>IFERROR(_xlfn.XLOOKUP($A69,CFR20252026_BenchMarkDataReport!$B:$B,CFR20252026_BenchMarkDataReport!AU:AU),0)</f>
        <v>11970.93</v>
      </c>
      <c r="AG69" s="88">
        <f>IFERROR(_xlfn.XLOOKUP($A69,CFR20252026_BenchMarkDataReport!$B:$B,CFR20252026_BenchMarkDataReport!AV:AV),0)</f>
        <v>1655</v>
      </c>
      <c r="AH69" s="88">
        <f>IFERROR(_xlfn.XLOOKUP($A69,CFR20252026_BenchMarkDataReport!$B:$B,CFR20252026_BenchMarkDataReport!AW:AW),0)</f>
        <v>3787.49</v>
      </c>
      <c r="AI69" s="88">
        <f>IFERROR(_xlfn.XLOOKUP($A69,CFR20252026_BenchMarkDataReport!$B:$B,CFR20252026_BenchMarkDataReport!AX:AX),0)</f>
        <v>5255.09</v>
      </c>
      <c r="AJ69" s="88">
        <f>IFERROR(_xlfn.XLOOKUP($A69,CFR20252026_BenchMarkDataReport!$B:$B,CFR20252026_BenchMarkDataReport!AY:AY),0)</f>
        <v>22436.5</v>
      </c>
      <c r="AK69" s="88">
        <f>IFERROR(_xlfn.XLOOKUP($A69,CFR20252026_BenchMarkDataReport!$B:$B,CFR20252026_BenchMarkDataReport!AZ:AZ),0)</f>
        <v>3715.22</v>
      </c>
      <c r="AL69" s="88">
        <f>IFERROR(_xlfn.XLOOKUP($A69,CFR20252026_BenchMarkDataReport!$B:$B,CFR20252026_BenchMarkDataReport!BA:BA),0)</f>
        <v>8169.22</v>
      </c>
      <c r="AM69" s="88">
        <f>IFERROR(_xlfn.XLOOKUP($A69,CFR20252026_BenchMarkDataReport!$B:$B,CFR20252026_BenchMarkDataReport!BB:BB),0)</f>
        <v>50197.42</v>
      </c>
      <c r="AN69" s="88">
        <f>IFERROR(_xlfn.XLOOKUP($A69,CFR20252026_BenchMarkDataReport!$B:$B,CFR20252026_BenchMarkDataReport!BC:BC),0)</f>
        <v>4198.74</v>
      </c>
      <c r="AO69" s="88">
        <f>IFERROR(_xlfn.XLOOKUP($A69,CFR20252026_BenchMarkDataReport!$B:$B,CFR20252026_BenchMarkDataReport!BD:BD),0)</f>
        <v>7809.95</v>
      </c>
      <c r="AP69" s="88">
        <f>IFERROR(_xlfn.XLOOKUP($A69,CFR20252026_BenchMarkDataReport!$B:$B,CFR20252026_BenchMarkDataReport!BE:BE),0)</f>
        <v>8504.25</v>
      </c>
      <c r="AQ69" s="88">
        <f>IFERROR(_xlfn.XLOOKUP($A69,CFR20252026_BenchMarkDataReport!$B:$B,CFR20252026_BenchMarkDataReport!BF:BF),0)</f>
        <v>7317.74</v>
      </c>
      <c r="AR69" s="88">
        <f>IFERROR(_xlfn.XLOOKUP($A69,CFR20252026_BenchMarkDataReport!$B:$B,CFR20252026_BenchMarkDataReport!BG:BG),0)</f>
        <v>2114.9899999999998</v>
      </c>
      <c r="AS69" s="88">
        <f>IFERROR(_xlfn.XLOOKUP($A69,CFR20252026_BenchMarkDataReport!$B:$B,CFR20252026_BenchMarkDataReport!BH:BH),0)</f>
        <v>305.05</v>
      </c>
      <c r="AT69" s="88">
        <f>IFERROR(_xlfn.XLOOKUP($A69,CFR20252026_BenchMarkDataReport!$B:$B,CFR20252026_BenchMarkDataReport!BI:BI),0)</f>
        <v>8130</v>
      </c>
      <c r="AU69" s="88">
        <f>IFERROR(_xlfn.XLOOKUP($A69,CFR20252026_BenchMarkDataReport!$B:$B,CFR20252026_BenchMarkDataReport!BJ:BJ),0)</f>
        <v>0</v>
      </c>
      <c r="AV69" s="88">
        <f>IFERROR(_xlfn.XLOOKUP($A69,CFR20252026_BenchMarkDataReport!$B:$B,CFR20252026_BenchMarkDataReport!BK:BK),0)</f>
        <v>12938.7</v>
      </c>
      <c r="AW69" s="88">
        <f>IFERROR(_xlfn.XLOOKUP($A69,CFR20252026_BenchMarkDataReport!$B:$B,CFR20252026_BenchMarkDataReport!BL:BL),0)</f>
        <v>9128.99</v>
      </c>
      <c r="AX69" s="88">
        <f>IFERROR(_xlfn.XLOOKUP($A69,CFR20252026_BenchMarkDataReport!$B:$B,CFR20252026_BenchMarkDataReport!BM:BM),0)</f>
        <v>11818.43</v>
      </c>
      <c r="AY69" s="88">
        <f>IFERROR(_xlfn.XLOOKUP($A69,CFR20252026_BenchMarkDataReport!$B:$B,CFR20252026_BenchMarkDataReport!BN:BN),0)</f>
        <v>89309.02</v>
      </c>
      <c r="AZ69" s="88">
        <f>IFERROR(_xlfn.XLOOKUP($A69,CFR20252026_BenchMarkDataReport!$B:$B,CFR20252026_BenchMarkDataReport!BO:BO),0)</f>
        <v>3848.4</v>
      </c>
      <c r="BA69" s="88">
        <f>IFERROR(_xlfn.XLOOKUP($A69,CFR20252026_BenchMarkDataReport!$B:$B,CFR20252026_BenchMarkDataReport!BP:BP),0)</f>
        <v>154899.87</v>
      </c>
      <c r="BB69" s="88">
        <f>IFERROR(_xlfn.XLOOKUP($A69,CFR20252026_BenchMarkDataReport!$B:$B,CFR20252026_BenchMarkDataReport!BQ:BQ),0)</f>
        <v>34611.699999999997</v>
      </c>
      <c r="BC69" s="88">
        <f>IFERROR(_xlfn.XLOOKUP($A69,CFR20252026_BenchMarkDataReport!$B:$B,CFR20252026_BenchMarkDataReport!BR:BR),0)</f>
        <v>0</v>
      </c>
      <c r="BD69" s="88">
        <f>IFERROR(_xlfn.XLOOKUP($A69,CFR20252026_BenchMarkDataReport!$B:$B,CFR20252026_BenchMarkDataReport!BS:BS),0)</f>
        <v>0</v>
      </c>
      <c r="BE69" s="88">
        <f>IFERROR(_xlfn.XLOOKUP($A69,CFR20252026_BenchMarkDataReport!$B:$B,CFR20252026_BenchMarkDataReport!BT:BT),0)</f>
        <v>0</v>
      </c>
      <c r="BF69" s="88">
        <f>IFERROR(_xlfn.XLOOKUP($A69,CFR20252026_BenchMarkDataReport!$B:$B,CFR20252026_BenchMarkDataReport!BU:BU),0)</f>
        <v>0</v>
      </c>
      <c r="BG69" s="88">
        <f>IFERROR(_xlfn.XLOOKUP($A69,CFR20252026_BenchMarkDataReport!$B:$B,CFR20252026_BenchMarkDataReport!BV:BV),0)</f>
        <v>0</v>
      </c>
      <c r="BH69" s="89">
        <f t="shared" ref="BH69:BH93" si="228">SUM(D69:R69)</f>
        <v>1623862.8099999998</v>
      </c>
      <c r="BI69" s="90">
        <f t="shared" si="223"/>
        <v>1647105.8099999994</v>
      </c>
      <c r="BJ69" s="126">
        <f t="shared" si="224"/>
        <v>-23242.999999999534</v>
      </c>
      <c r="BK69" s="88">
        <f>IFERROR(_xlfn.XLOOKUP(A69,CFR20252026_BenchMarkDataReport!$B:$B,CFR20252026_BenchMarkDataReport!P:P)+_xlfn.XLOOKUP(A69,CFR20252026_BenchMarkDataReport!$B:$B,CFR20252026_BenchMarkDataReport!Q:Q),0)</f>
        <v>61532</v>
      </c>
      <c r="BL69" s="89">
        <f t="shared" si="225"/>
        <v>38289.000000000466</v>
      </c>
      <c r="BM69" s="91">
        <f>SUMIFS(PP!I:I,PP!E:E,A69)</f>
        <v>207</v>
      </c>
      <c r="BN69" s="90">
        <f t="shared" si="133"/>
        <v>1334619.8899999999</v>
      </c>
      <c r="BO69" t="s">
        <v>173</v>
      </c>
      <c r="BP69" s="92">
        <f t="shared" si="203"/>
        <v>0.76617831404119674</v>
      </c>
      <c r="BQ69" s="93">
        <f t="shared" si="204"/>
        <v>6010.4757004830917</v>
      </c>
      <c r="BR69" s="94">
        <f t="shared" si="205"/>
        <v>0</v>
      </c>
      <c r="BS69" s="95">
        <f t="shared" si="206"/>
        <v>0</v>
      </c>
      <c r="BT69" s="92">
        <f t="shared" si="207"/>
        <v>5.5701392656439988E-2</v>
      </c>
      <c r="BU69" s="93">
        <f t="shared" si="208"/>
        <v>436.96338164251205</v>
      </c>
      <c r="BV69" s="94">
        <f t="shared" si="209"/>
        <v>0</v>
      </c>
      <c r="BW69" s="95">
        <f t="shared" si="210"/>
        <v>0</v>
      </c>
      <c r="BX69" s="92">
        <f t="shared" si="211"/>
        <v>3.7318423469529426E-2</v>
      </c>
      <c r="BY69" s="93">
        <f t="shared" si="212"/>
        <v>292.75362318840581</v>
      </c>
      <c r="BZ69" s="94">
        <f t="shared" si="213"/>
        <v>3.1290204866505938E-2</v>
      </c>
      <c r="CA69" s="95">
        <f t="shared" si="214"/>
        <v>245.46376811594203</v>
      </c>
      <c r="CB69" s="92">
        <f t="shared" si="215"/>
        <v>5.2192026000028917E-2</v>
      </c>
      <c r="CC69" s="93">
        <f t="shared" si="216"/>
        <v>409.4332850241546</v>
      </c>
      <c r="CD69" s="94">
        <f t="shared" si="217"/>
        <v>3.5568078562006111E-2</v>
      </c>
      <c r="CE69" s="96">
        <f t="shared" si="218"/>
        <v>279.0226086956522</v>
      </c>
      <c r="CF69" s="97">
        <f t="shared" si="219"/>
        <v>1.3873093134019125E-2</v>
      </c>
      <c r="CG69" s="98">
        <f t="shared" si="220"/>
        <v>108.83091787439614</v>
      </c>
      <c r="CH69" s="94">
        <f t="shared" si="221"/>
        <v>6.9144326299338064E-3</v>
      </c>
      <c r="CI69" s="95">
        <f t="shared" si="222"/>
        <v>54.241980676328502</v>
      </c>
      <c r="CJ69" s="99">
        <f t="shared" si="90"/>
        <v>0.55151304541100465</v>
      </c>
      <c r="CK69" s="97">
        <f t="shared" si="91"/>
        <v>0.45327738000231688</v>
      </c>
      <c r="CL69" s="97">
        <f t="shared" si="92"/>
        <v>0.44688099303104295</v>
      </c>
      <c r="CM69" s="98">
        <f t="shared" si="93"/>
        <v>3555.8467632850243</v>
      </c>
      <c r="CN69" s="94">
        <f t="shared" si="94"/>
        <v>0.20758723294615369</v>
      </c>
      <c r="CO69" s="100">
        <f t="shared" si="95"/>
        <v>0.17061173412795877</v>
      </c>
      <c r="CP69" s="100">
        <f t="shared" si="96"/>
        <v>0.16820416048438327</v>
      </c>
      <c r="CQ69" s="101">
        <f t="shared" si="97"/>
        <v>1338.4060386473429</v>
      </c>
      <c r="CR69" s="99">
        <f t="shared" si="98"/>
        <v>2.0336831635260583E-2</v>
      </c>
      <c r="CS69" s="97">
        <f t="shared" si="99"/>
        <v>1.6714429219547185E-2</v>
      </c>
      <c r="CT69" s="97">
        <f t="shared" si="100"/>
        <v>1.64785649077396E-2</v>
      </c>
      <c r="CU69" s="98">
        <f t="shared" si="101"/>
        <v>131.12048309178743</v>
      </c>
      <c r="CV69" s="94">
        <f t="shared" si="102"/>
        <v>4.880914070597285E-2</v>
      </c>
      <c r="CW69" s="100">
        <f t="shared" si="103"/>
        <v>4.0115242247588639E-2</v>
      </c>
      <c r="CX69" s="100">
        <f t="shared" si="104"/>
        <v>3.9549159261359185E-2</v>
      </c>
      <c r="CY69" s="95">
        <f t="shared" si="105"/>
        <v>314.69396135265703</v>
      </c>
      <c r="CZ69" s="99">
        <f t="shared" si="106"/>
        <v>0.88027523701898369</v>
      </c>
      <c r="DA69" s="97">
        <f t="shared" si="107"/>
        <v>0.72348035361435492</v>
      </c>
      <c r="DB69" s="97">
        <f t="shared" si="108"/>
        <v>0.71327101930385417</v>
      </c>
      <c r="DC69" s="98">
        <f t="shared" si="109"/>
        <v>5675.5209661835743</v>
      </c>
      <c r="DD69" s="94">
        <f t="shared" si="110"/>
        <v>8.9695426313480178E-3</v>
      </c>
      <c r="DE69" s="100">
        <f t="shared" si="111"/>
        <v>7.267857309057762E-3</v>
      </c>
      <c r="DF69" s="95">
        <f t="shared" si="112"/>
        <v>57.830579710144931</v>
      </c>
      <c r="DG69" s="99">
        <f t="shared" si="113"/>
        <v>3.1904993401729318E-3</v>
      </c>
      <c r="DH69" s="98">
        <f t="shared" si="114"/>
        <v>25.386908212560389</v>
      </c>
      <c r="DI69" s="94">
        <f t="shared" si="115"/>
        <v>1.6811153623673331E-2</v>
      </c>
      <c r="DJ69" s="100">
        <f t="shared" si="116"/>
        <v>1.3621772119181589E-2</v>
      </c>
      <c r="DK69" s="95">
        <f t="shared" si="117"/>
        <v>108.38888888888889</v>
      </c>
      <c r="DL69" s="99">
        <f t="shared" si="118"/>
        <v>6.1210087315572686E-3</v>
      </c>
      <c r="DM69" s="97">
        <f t="shared" si="119"/>
        <v>4.9597420823863179E-3</v>
      </c>
      <c r="DN69" s="102">
        <f t="shared" si="120"/>
        <v>39.464830917874394</v>
      </c>
      <c r="DO69" s="94">
        <f t="shared" si="121"/>
        <v>3.7611772742274958E-2</v>
      </c>
      <c r="DP69" s="100">
        <f t="shared" si="122"/>
        <v>3.0912352749799105E-2</v>
      </c>
      <c r="DQ69" s="100">
        <f t="shared" si="123"/>
        <v>3.047613559204191E-2</v>
      </c>
      <c r="DR69" s="95">
        <f t="shared" si="124"/>
        <v>242.49961352657004</v>
      </c>
      <c r="DS69" s="99">
        <f t="shared" si="125"/>
        <v>9.6946704428329793E-3</v>
      </c>
      <c r="DT69" s="97">
        <f t="shared" si="126"/>
        <v>7.8554151903574461E-3</v>
      </c>
      <c r="DU69" s="98">
        <f t="shared" si="127"/>
        <v>62.505797101449282</v>
      </c>
      <c r="DV69" s="94">
        <f t="shared" si="128"/>
        <v>0.11606291136572228</v>
      </c>
      <c r="DW69" s="100">
        <f t="shared" si="129"/>
        <v>9.4043666812152191E-2</v>
      </c>
      <c r="DX69" s="95">
        <f t="shared" si="130"/>
        <v>748.30855072463771</v>
      </c>
      <c r="DY69" s="99">
        <f t="shared" si="131"/>
        <v>5.4221786759406816E-2</v>
      </c>
      <c r="DZ69" s="98">
        <f t="shared" si="132"/>
        <v>431.44454106280193</v>
      </c>
      <c r="EA69" s="94">
        <f t="shared" si="226"/>
        <v>2.299481901530055E-3</v>
      </c>
      <c r="EB69" s="95">
        <f t="shared" si="227"/>
        <v>18.297053140096619</v>
      </c>
      <c r="EC69" s="103">
        <f>IFERROR(VLOOKUP(A69,PP!$E$3:$S$130,14,0),0)</f>
        <v>40</v>
      </c>
    </row>
    <row r="70" spans="1:227">
      <c r="A70" s="26">
        <v>3507</v>
      </c>
      <c r="B70" s="125">
        <v>10108</v>
      </c>
      <c r="C70" s="26" t="s">
        <v>92</v>
      </c>
      <c r="D70" s="88">
        <f>IFERROR(_xlfn.XLOOKUP($A70,CFR20252026_BenchMarkDataReport!$B:$B,CFR20252026_BenchMarkDataReport!S:S),0)</f>
        <v>1039137.94</v>
      </c>
      <c r="E70" s="88">
        <f>IFERROR(_xlfn.XLOOKUP($A70,CFR20252026_BenchMarkDataReport!$B:$B,CFR20252026_BenchMarkDataReport!T:T),0)</f>
        <v>0</v>
      </c>
      <c r="F70" s="88">
        <f>IFERROR(_xlfn.XLOOKUP($A70,CFR20252026_BenchMarkDataReport!$B:$B,CFR20252026_BenchMarkDataReport!U:U),0)</f>
        <v>148413.17000000001</v>
      </c>
      <c r="G70" s="88">
        <f>IFERROR(_xlfn.XLOOKUP($A70,CFR20252026_BenchMarkDataReport!$B:$B,CFR20252026_BenchMarkDataReport!V:V),0)</f>
        <v>0</v>
      </c>
      <c r="H70" s="88">
        <f>IFERROR(_xlfn.XLOOKUP($A70,CFR20252026_BenchMarkDataReport!$B:$B,CFR20252026_BenchMarkDataReport!W:W),0)</f>
        <v>70424</v>
      </c>
      <c r="I70" s="88">
        <f>IFERROR(_xlfn.XLOOKUP($A70,CFR20252026_BenchMarkDataReport!$B:$B,CFR20252026_BenchMarkDataReport!X:X),0)</f>
        <v>32296.74</v>
      </c>
      <c r="J70" s="88">
        <f>IFERROR(_xlfn.XLOOKUP($A70,CFR20252026_BenchMarkDataReport!$B:$B,CFR20252026_BenchMarkDataReport!Y:Y),0)</f>
        <v>146170.98000000001</v>
      </c>
      <c r="K70" s="88">
        <f>IFERROR(_xlfn.XLOOKUP($A70,CFR20252026_BenchMarkDataReport!$B:$B,CFR20252026_BenchMarkDataReport!Z:Z),0)</f>
        <v>4284.9799999999996</v>
      </c>
      <c r="L70" s="88">
        <f>IFERROR(_xlfn.XLOOKUP($A70,CFR20252026_BenchMarkDataReport!$B:$B,CFR20252026_BenchMarkDataReport!AA:AA),0)</f>
        <v>11302.15</v>
      </c>
      <c r="M70" s="88">
        <f>IFERROR(_xlfn.XLOOKUP($A70,CFR20252026_BenchMarkDataReport!$B:$B,CFR20252026_BenchMarkDataReport!AB:AB),0)</f>
        <v>5233.04</v>
      </c>
      <c r="N70" s="88">
        <f>IFERROR(_xlfn.XLOOKUP($A70,CFR20252026_BenchMarkDataReport!$B:$B,CFR20252026_BenchMarkDataReport!AC:AC),0)</f>
        <v>0</v>
      </c>
      <c r="O70" s="88">
        <f>IFERROR(_xlfn.XLOOKUP($A70,CFR20252026_BenchMarkDataReport!$B:$B,CFR20252026_BenchMarkDataReport!AD:AD),0)</f>
        <v>0</v>
      </c>
      <c r="P70" s="88">
        <f>IFERROR(_xlfn.XLOOKUP($A70,CFR20252026_BenchMarkDataReport!$B:$B,CFR20252026_BenchMarkDataReport!AE:AE),0)</f>
        <v>16523.63</v>
      </c>
      <c r="Q70" s="88">
        <f>IFERROR(_xlfn.XLOOKUP($A70,CFR20252026_BenchMarkDataReport!$B:$B,CFR20252026_BenchMarkDataReport!AF:AF),0)</f>
        <v>9783.56</v>
      </c>
      <c r="R70" s="88">
        <f>IFERROR(_xlfn.XLOOKUP($A70,CFR20252026_BenchMarkDataReport!$B:$B,CFR20252026_BenchMarkDataReport!AG:AG),0)</f>
        <v>0</v>
      </c>
      <c r="S70" s="88">
        <f>IFERROR(_xlfn.XLOOKUP($A70,CFR20252026_BenchMarkDataReport!$B:$B,CFR20252026_BenchMarkDataReport!AH:AH),0)</f>
        <v>0</v>
      </c>
      <c r="T70" s="88">
        <f>IFERROR(_xlfn.XLOOKUP($A70,CFR20252026_BenchMarkDataReport!$B:$B,CFR20252026_BenchMarkDataReport!AI:AI),0)</f>
        <v>0</v>
      </c>
      <c r="U70" s="88">
        <f>IFERROR(_xlfn.XLOOKUP($A70,CFR20252026_BenchMarkDataReport!$B:$B,CFR20252026_BenchMarkDataReport!AJ:AJ),0)</f>
        <v>689337.67</v>
      </c>
      <c r="V70" s="88">
        <f>IFERROR(_xlfn.XLOOKUP($A70,CFR20252026_BenchMarkDataReport!$B:$B,CFR20252026_BenchMarkDataReport!AK:AK),0)</f>
        <v>0</v>
      </c>
      <c r="W70" s="88">
        <f>IFERROR(_xlfn.XLOOKUP($A70,CFR20252026_BenchMarkDataReport!$B:$B,CFR20252026_BenchMarkDataReport!AL:AL),0)</f>
        <v>213746.52</v>
      </c>
      <c r="X70" s="88">
        <f>IFERROR(_xlfn.XLOOKUP($A70,CFR20252026_BenchMarkDataReport!$B:$B,CFR20252026_BenchMarkDataReport!AM:AM),0)</f>
        <v>35958.1</v>
      </c>
      <c r="Y70" s="88">
        <f>IFERROR(_xlfn.XLOOKUP($A70,CFR20252026_BenchMarkDataReport!$B:$B,CFR20252026_BenchMarkDataReport!AN:AN),0)</f>
        <v>59061.53</v>
      </c>
      <c r="Z70" s="88">
        <f>IFERROR(_xlfn.XLOOKUP($A70,CFR20252026_BenchMarkDataReport!$B:$B,CFR20252026_BenchMarkDataReport!AO:AO),0)</f>
        <v>0</v>
      </c>
      <c r="AA70" s="88">
        <f>IFERROR(_xlfn.XLOOKUP($A70,CFR20252026_BenchMarkDataReport!$B:$B,CFR20252026_BenchMarkDataReport!AP:AP),0)</f>
        <v>27616.02</v>
      </c>
      <c r="AB70" s="88">
        <f>IFERROR(_xlfn.XLOOKUP($A70,CFR20252026_BenchMarkDataReport!$B:$B,CFR20252026_BenchMarkDataReport!AQ:AQ),0)</f>
        <v>880.95</v>
      </c>
      <c r="AC70" s="88">
        <f>IFERROR(_xlfn.XLOOKUP($A70,CFR20252026_BenchMarkDataReport!$B:$B,CFR20252026_BenchMarkDataReport!AR:AR),0)</f>
        <v>1725.55</v>
      </c>
      <c r="AD70" s="88">
        <f>IFERROR(_xlfn.XLOOKUP($A70,CFR20252026_BenchMarkDataReport!$B:$B,CFR20252026_BenchMarkDataReport!AS:AS),0)</f>
        <v>271.89</v>
      </c>
      <c r="AE70" s="88">
        <f>IFERROR(_xlfn.XLOOKUP($A70,CFR20252026_BenchMarkDataReport!$B:$B,CFR20252026_BenchMarkDataReport!AT:AT),0)</f>
        <v>0</v>
      </c>
      <c r="AF70" s="88">
        <f>IFERROR(_xlfn.XLOOKUP($A70,CFR20252026_BenchMarkDataReport!$B:$B,CFR20252026_BenchMarkDataReport!AU:AU),0)</f>
        <v>20505.36</v>
      </c>
      <c r="AG70" s="88">
        <f>IFERROR(_xlfn.XLOOKUP($A70,CFR20252026_BenchMarkDataReport!$B:$B,CFR20252026_BenchMarkDataReport!AV:AV),0)</f>
        <v>30.93</v>
      </c>
      <c r="AH70" s="88">
        <f>IFERROR(_xlfn.XLOOKUP($A70,CFR20252026_BenchMarkDataReport!$B:$B,CFR20252026_BenchMarkDataReport!AW:AW),0)</f>
        <v>27911.55</v>
      </c>
      <c r="AI70" s="88">
        <f>IFERROR(_xlfn.XLOOKUP($A70,CFR20252026_BenchMarkDataReport!$B:$B,CFR20252026_BenchMarkDataReport!AX:AX),0)</f>
        <v>3574.32</v>
      </c>
      <c r="AJ70" s="88">
        <f>IFERROR(_xlfn.XLOOKUP($A70,CFR20252026_BenchMarkDataReport!$B:$B,CFR20252026_BenchMarkDataReport!AY:AY),0)</f>
        <v>19610.400000000001</v>
      </c>
      <c r="AK70" s="88">
        <f>IFERROR(_xlfn.XLOOKUP($A70,CFR20252026_BenchMarkDataReport!$B:$B,CFR20252026_BenchMarkDataReport!AZ:AZ),0)</f>
        <v>4650.4799999999996</v>
      </c>
      <c r="AL70" s="88">
        <f>IFERROR(_xlfn.XLOOKUP($A70,CFR20252026_BenchMarkDataReport!$B:$B,CFR20252026_BenchMarkDataReport!BA:BA),0)</f>
        <v>7021.63</v>
      </c>
      <c r="AM70" s="88">
        <f>IFERROR(_xlfn.XLOOKUP($A70,CFR20252026_BenchMarkDataReport!$B:$B,CFR20252026_BenchMarkDataReport!BB:BB),0)</f>
        <v>40812.31</v>
      </c>
      <c r="AN70" s="88">
        <f>IFERROR(_xlfn.XLOOKUP($A70,CFR20252026_BenchMarkDataReport!$B:$B,CFR20252026_BenchMarkDataReport!BC:BC),0)</f>
        <v>6285.06</v>
      </c>
      <c r="AO70" s="88">
        <f>IFERROR(_xlfn.XLOOKUP($A70,CFR20252026_BenchMarkDataReport!$B:$B,CFR20252026_BenchMarkDataReport!BD:BD),0)</f>
        <v>0</v>
      </c>
      <c r="AP70" s="88">
        <f>IFERROR(_xlfn.XLOOKUP($A70,CFR20252026_BenchMarkDataReport!$B:$B,CFR20252026_BenchMarkDataReport!BE:BE),0)</f>
        <v>2664.21</v>
      </c>
      <c r="AQ70" s="88">
        <f>IFERROR(_xlfn.XLOOKUP($A70,CFR20252026_BenchMarkDataReport!$B:$B,CFR20252026_BenchMarkDataReport!BF:BF),0)</f>
        <v>16323.73</v>
      </c>
      <c r="AR70" s="88">
        <f>IFERROR(_xlfn.XLOOKUP($A70,CFR20252026_BenchMarkDataReport!$B:$B,CFR20252026_BenchMarkDataReport!BG:BG),0)</f>
        <v>782.6</v>
      </c>
      <c r="AS70" s="88">
        <f>IFERROR(_xlfn.XLOOKUP($A70,CFR20252026_BenchMarkDataReport!$B:$B,CFR20252026_BenchMarkDataReport!BH:BH),0)</f>
        <v>0</v>
      </c>
      <c r="AT70" s="88">
        <f>IFERROR(_xlfn.XLOOKUP($A70,CFR20252026_BenchMarkDataReport!$B:$B,CFR20252026_BenchMarkDataReport!BI:BI),0)</f>
        <v>10150.299999999999</v>
      </c>
      <c r="AU70" s="88">
        <f>IFERROR(_xlfn.XLOOKUP($A70,CFR20252026_BenchMarkDataReport!$B:$B,CFR20252026_BenchMarkDataReport!BJ:BJ),0)</f>
        <v>0</v>
      </c>
      <c r="AV70" s="88">
        <f>IFERROR(_xlfn.XLOOKUP($A70,CFR20252026_BenchMarkDataReport!$B:$B,CFR20252026_BenchMarkDataReport!BK:BK),0)</f>
        <v>1277.46</v>
      </c>
      <c r="AW70" s="88">
        <f>IFERROR(_xlfn.XLOOKUP($A70,CFR20252026_BenchMarkDataReport!$B:$B,CFR20252026_BenchMarkDataReport!BL:BL),0)</f>
        <v>6897.42</v>
      </c>
      <c r="AX70" s="88">
        <f>IFERROR(_xlfn.XLOOKUP($A70,CFR20252026_BenchMarkDataReport!$B:$B,CFR20252026_BenchMarkDataReport!BM:BM),0)</f>
        <v>4667.87</v>
      </c>
      <c r="AY70" s="88">
        <f>IFERROR(_xlfn.XLOOKUP($A70,CFR20252026_BenchMarkDataReport!$B:$B,CFR20252026_BenchMarkDataReport!BN:BN),0)</f>
        <v>65406</v>
      </c>
      <c r="AZ70" s="88">
        <f>IFERROR(_xlfn.XLOOKUP($A70,CFR20252026_BenchMarkDataReport!$B:$B,CFR20252026_BenchMarkDataReport!BO:BO),0)</f>
        <v>83051.42</v>
      </c>
      <c r="BA70" s="88">
        <f>IFERROR(_xlfn.XLOOKUP($A70,CFR20252026_BenchMarkDataReport!$B:$B,CFR20252026_BenchMarkDataReport!BP:BP),0)</f>
        <v>242407.82</v>
      </c>
      <c r="BB70" s="88">
        <f>IFERROR(_xlfn.XLOOKUP($A70,CFR20252026_BenchMarkDataReport!$B:$B,CFR20252026_BenchMarkDataReport!BQ:BQ),0)</f>
        <v>23837.200000000001</v>
      </c>
      <c r="BC70" s="88">
        <f>IFERROR(_xlfn.XLOOKUP($A70,CFR20252026_BenchMarkDataReport!$B:$B,CFR20252026_BenchMarkDataReport!BR:BR),0)</f>
        <v>0</v>
      </c>
      <c r="BD70" s="88">
        <f>IFERROR(_xlfn.XLOOKUP($A70,CFR20252026_BenchMarkDataReport!$B:$B,CFR20252026_BenchMarkDataReport!BS:BS),0)</f>
        <v>0</v>
      </c>
      <c r="BE70" s="88">
        <f>IFERROR(_xlfn.XLOOKUP($A70,CFR20252026_BenchMarkDataReport!$B:$B,CFR20252026_BenchMarkDataReport!BT:BT),0)</f>
        <v>0</v>
      </c>
      <c r="BF70" s="88">
        <f>IFERROR(_xlfn.XLOOKUP($A70,CFR20252026_BenchMarkDataReport!$B:$B,CFR20252026_BenchMarkDataReport!BU:BU),0)</f>
        <v>0</v>
      </c>
      <c r="BG70" s="88">
        <f>IFERROR(_xlfn.XLOOKUP($A70,CFR20252026_BenchMarkDataReport!$B:$B,CFR20252026_BenchMarkDataReport!BV:BV),0)</f>
        <v>0</v>
      </c>
      <c r="BH70" s="89">
        <f t="shared" si="228"/>
        <v>1483570.1899999997</v>
      </c>
      <c r="BI70" s="90">
        <f t="shared" si="223"/>
        <v>1616466.3</v>
      </c>
      <c r="BJ70" s="126">
        <f t="shared" si="224"/>
        <v>-132896.11000000034</v>
      </c>
      <c r="BK70" s="88">
        <f>IFERROR(_xlfn.XLOOKUP(A70,CFR20252026_BenchMarkDataReport!$B:$B,CFR20252026_BenchMarkDataReport!P:P)+_xlfn.XLOOKUP(A70,CFR20252026_BenchMarkDataReport!$B:$B,CFR20252026_BenchMarkDataReport!Q:Q),0)</f>
        <v>-732637.94</v>
      </c>
      <c r="BL70" s="89">
        <f t="shared" si="225"/>
        <v>-865534.05000000028</v>
      </c>
      <c r="BM70" s="91">
        <f>SUMIFS(PP!I:I,PP!E:E,A70)</f>
        <v>159</v>
      </c>
      <c r="BN70" s="90">
        <f t="shared" si="133"/>
        <v>1187551.1099999999</v>
      </c>
      <c r="BO70" t="s">
        <v>173</v>
      </c>
      <c r="BP70" s="92">
        <f t="shared" si="203"/>
        <v>0.70043058764883925</v>
      </c>
      <c r="BQ70" s="93">
        <f t="shared" si="204"/>
        <v>6535.4587421383649</v>
      </c>
      <c r="BR70" s="94">
        <f t="shared" si="205"/>
        <v>0</v>
      </c>
      <c r="BS70" s="95">
        <f t="shared" si="206"/>
        <v>0</v>
      </c>
      <c r="BT70" s="92">
        <f t="shared" si="207"/>
        <v>0.10003784856313407</v>
      </c>
      <c r="BU70" s="93">
        <f t="shared" si="208"/>
        <v>933.41616352201265</v>
      </c>
      <c r="BV70" s="94">
        <f t="shared" si="209"/>
        <v>0</v>
      </c>
      <c r="BW70" s="95">
        <f t="shared" si="210"/>
        <v>0</v>
      </c>
      <c r="BX70" s="92">
        <f t="shared" si="211"/>
        <v>4.7469274102899042E-2</v>
      </c>
      <c r="BY70" s="93">
        <f t="shared" si="212"/>
        <v>442.9182389937107</v>
      </c>
      <c r="BZ70" s="94">
        <f t="shared" si="213"/>
        <v>2.176960700457321E-2</v>
      </c>
      <c r="CA70" s="95">
        <f t="shared" si="214"/>
        <v>203.12415094339624</v>
      </c>
      <c r="CB70" s="92">
        <f t="shared" si="215"/>
        <v>9.8526501129009639E-2</v>
      </c>
      <c r="CC70" s="93">
        <f t="shared" si="216"/>
        <v>919.31433962264157</v>
      </c>
      <c r="CD70" s="94">
        <f t="shared" si="217"/>
        <v>1.0506499864357616E-2</v>
      </c>
      <c r="CE70" s="96">
        <f t="shared" si="218"/>
        <v>98.032264150943391</v>
      </c>
      <c r="CF70" s="97">
        <f t="shared" si="219"/>
        <v>1.1137747382211828E-2</v>
      </c>
      <c r="CG70" s="98">
        <f t="shared" si="220"/>
        <v>103.92220125786164</v>
      </c>
      <c r="CH70" s="94">
        <f t="shared" si="221"/>
        <v>6.5946054092661443E-3</v>
      </c>
      <c r="CI70" s="95">
        <f t="shared" si="222"/>
        <v>61.531823899371069</v>
      </c>
      <c r="CJ70" s="99">
        <f t="shared" ref="CJ70:CJ79" si="229">(U70+V70+AZ70)/BN70</f>
        <v>0.65040492446678788</v>
      </c>
      <c r="CK70" s="97">
        <f t="shared" ref="CK70:CK79" si="230">(U70+V70+AZ70)/BH70</f>
        <v>0.52062861279249639</v>
      </c>
      <c r="CL70" s="97">
        <f t="shared" ref="CL70:CL79" si="231">(U70+V70+AZ70)/BI70</f>
        <v>0.47782566824931644</v>
      </c>
      <c r="CM70" s="98">
        <f t="shared" ref="CM70:CM79" si="232">(U70+V70+AZ70)/BM70</f>
        <v>4857.7930188679247</v>
      </c>
      <c r="CN70" s="94">
        <f t="shared" ref="CN70:CN79" si="233">W70/BN70</f>
        <v>0.17998932273323379</v>
      </c>
      <c r="CO70" s="100">
        <f t="shared" ref="CO70:CO79" si="234">W70/BH70</f>
        <v>0.14407577170312383</v>
      </c>
      <c r="CP70" s="100">
        <f t="shared" ref="CP70:CP79" si="235">W70/BI70</f>
        <v>0.13223073069942751</v>
      </c>
      <c r="CQ70" s="101">
        <f t="shared" ref="CQ70:CQ79" si="236">W70/BM70</f>
        <v>1344.3177358490566</v>
      </c>
      <c r="CR70" s="99">
        <f t="shared" ref="CR70:CR79" si="237">X70/BN70</f>
        <v>3.0279202046301825E-2</v>
      </c>
      <c r="CS70" s="97">
        <f t="shared" ref="CS70:CS79" si="238">X70/BH70</f>
        <v>2.4237545511749604E-2</v>
      </c>
      <c r="CT70" s="97">
        <f t="shared" ref="CT70:CT79" si="239">X70/BI70</f>
        <v>2.2244880700575075E-2</v>
      </c>
      <c r="CU70" s="98">
        <f t="shared" ref="CU70:CU79" si="240">X70/BM70</f>
        <v>226.15157232704402</v>
      </c>
      <c r="CV70" s="94">
        <f t="shared" ref="CV70:CV79" si="241">Y70/BN70</f>
        <v>4.9733884716759692E-2</v>
      </c>
      <c r="CW70" s="100">
        <f t="shared" ref="CW70:CW79" si="242">Y70/BH70</f>
        <v>3.9810404925971189E-2</v>
      </c>
      <c r="CX70" s="100">
        <f t="shared" ref="CX70:CX79" si="243">Y70/BI70</f>
        <v>3.6537433536350243E-2</v>
      </c>
      <c r="CY70" s="95">
        <f t="shared" ref="CY70:CY79" si="244">Y70/BM70</f>
        <v>371.45616352201256</v>
      </c>
      <c r="CZ70" s="99">
        <f t="shared" ref="CZ70:CZ79" si="245">(U70+V70+W70+X70+Y70+Z70+AA70)/BN70</f>
        <v>0.86372690098365557</v>
      </c>
      <c r="DA70" s="97">
        <f t="shared" ref="DA70:DA79" si="246">(U70+V70+W70+X70+Y70+Z70+AA70)/BH70</f>
        <v>0.69138612174460068</v>
      </c>
      <c r="DB70" s="97">
        <f t="shared" ref="DB70:DB79" si="247">(U70+V70+W70+X70+Y70+Z70+AA70)/BI70</f>
        <v>0.63454452468325506</v>
      </c>
      <c r="DC70" s="98">
        <f t="shared" ref="DC70:DC79" si="248">(U70+V70+W70+X70+Y70+Z70+AA70)/BM70</f>
        <v>6451.0681761006299</v>
      </c>
      <c r="DD70" s="94">
        <f t="shared" ref="DD70:DD79" si="249">AF70/BN70</f>
        <v>1.7266928410348589E-2</v>
      </c>
      <c r="DE70" s="100">
        <f t="shared" ref="DE70:DE79" si="250">AF70/BI70</f>
        <v>1.2685300027597235E-2</v>
      </c>
      <c r="DF70" s="95">
        <f t="shared" ref="DF70:DF79" si="251">AF70/BM70</f>
        <v>128.96452830188679</v>
      </c>
      <c r="DG70" s="99">
        <f t="shared" ref="DG70:DG79" si="252">AI70/BI70</f>
        <v>2.2111936388652209E-3</v>
      </c>
      <c r="DH70" s="98">
        <f t="shared" ref="DH70:DH79" si="253">AI70/BM70</f>
        <v>22.48</v>
      </c>
      <c r="DI70" s="94">
        <f t="shared" ref="DI70:DI79" si="254">AJ70/BN70</f>
        <v>1.651331031975542E-2</v>
      </c>
      <c r="DJ70" s="100">
        <f t="shared" ref="DJ70:DJ79" si="255">AJ70/BI70</f>
        <v>1.2131647903825772E-2</v>
      </c>
      <c r="DK70" s="95">
        <f t="shared" ref="DK70:DK79" si="256">AJ70/BM70</f>
        <v>123.33584905660378</v>
      </c>
      <c r="DL70" s="99">
        <f t="shared" ref="DL70:DL79" si="257">AL70/BN70</f>
        <v>5.9126970964643371E-3</v>
      </c>
      <c r="DM70" s="97">
        <f t="shared" ref="DM70:DM79" si="258">AL70/BI70</f>
        <v>4.3438146529871978E-3</v>
      </c>
      <c r="DN70" s="102">
        <f t="shared" ref="DN70:DN79" si="259">AL70/BM70</f>
        <v>44.16119496855346</v>
      </c>
      <c r="DO70" s="94">
        <f t="shared" ref="DO70:DO79" si="260">AM70/BN70</f>
        <v>3.436678190633833E-2</v>
      </c>
      <c r="DP70" s="100">
        <f t="shared" ref="DP70:DP79" si="261">AM70/BH70</f>
        <v>2.7509524170204584E-2</v>
      </c>
      <c r="DQ70" s="100">
        <f t="shared" ref="DQ70:DQ79" si="262">AM70/BI70</f>
        <v>2.5247857007597373E-2</v>
      </c>
      <c r="DR70" s="95">
        <f t="shared" ref="DR70:DR79" si="263">AM70/BM70</f>
        <v>256.68119496855343</v>
      </c>
      <c r="DS70" s="99">
        <f t="shared" ref="DS70:DS79" si="264">AV70/BN70</f>
        <v>1.0757094909371943E-3</v>
      </c>
      <c r="DT70" s="97">
        <f t="shared" ref="DT70:DT79" si="265">IFERROR(AV70/BI70,0)</f>
        <v>7.9027938905995132E-4</v>
      </c>
      <c r="DU70" s="98">
        <f t="shared" ref="DU70:DU79" si="266">AV70/BM70</f>
        <v>8.0343396226415091</v>
      </c>
      <c r="DV70" s="94">
        <f t="shared" ref="DV70:DV79" si="267">IFERROR(BA70/BN70,0)</f>
        <v>0.20412411555069832</v>
      </c>
      <c r="DW70" s="100">
        <f t="shared" ref="DW70:DW79" si="268">IFERROR(BA70/BI70,0)</f>
        <v>0.14996156740168354</v>
      </c>
      <c r="DX70" s="95">
        <f t="shared" ref="DX70:DX79" si="269">BA70/BM70</f>
        <v>1524.5774842767296</v>
      </c>
      <c r="DY70" s="99">
        <f t="shared" ref="DY70:DY79" si="270">AY70/BI70</f>
        <v>4.0462334414271425E-2</v>
      </c>
      <c r="DZ70" s="98">
        <f t="shared" ref="DZ70:DZ79" si="271">AY70/BM70</f>
        <v>411.35849056603774</v>
      </c>
      <c r="EA70" s="94">
        <f t="shared" si="226"/>
        <v>1.7267016330621925E-2</v>
      </c>
      <c r="EB70" s="95">
        <f t="shared" si="227"/>
        <v>175.5443396226415</v>
      </c>
      <c r="EC70" s="103">
        <f>IFERROR(VLOOKUP(A70,PP!$E$3:$S$130,14,0),0)</f>
        <v>38</v>
      </c>
    </row>
    <row r="71" spans="1:227">
      <c r="A71" s="26">
        <v>3506</v>
      </c>
      <c r="B71" s="125">
        <v>10096</v>
      </c>
      <c r="C71" s="26" t="s">
        <v>93</v>
      </c>
      <c r="D71" s="88">
        <f>IFERROR(_xlfn.XLOOKUP($A71,CFR20252026_BenchMarkDataReport!$B:$B,CFR20252026_BenchMarkDataReport!S:S),0)</f>
        <v>1805362</v>
      </c>
      <c r="E71" s="88">
        <f>IFERROR(_xlfn.XLOOKUP($A71,CFR20252026_BenchMarkDataReport!$B:$B,CFR20252026_BenchMarkDataReport!T:T),0)</f>
        <v>0</v>
      </c>
      <c r="F71" s="88">
        <f>IFERROR(_xlfn.XLOOKUP($A71,CFR20252026_BenchMarkDataReport!$B:$B,CFR20252026_BenchMarkDataReport!U:U),0)</f>
        <v>206145</v>
      </c>
      <c r="G71" s="88">
        <f>IFERROR(_xlfn.XLOOKUP($A71,CFR20252026_BenchMarkDataReport!$B:$B,CFR20252026_BenchMarkDataReport!V:V),0)</f>
        <v>0</v>
      </c>
      <c r="H71" s="88">
        <f>IFERROR(_xlfn.XLOOKUP($A71,CFR20252026_BenchMarkDataReport!$B:$B,CFR20252026_BenchMarkDataReport!W:W),0)</f>
        <v>61717</v>
      </c>
      <c r="I71" s="88">
        <f>IFERROR(_xlfn.XLOOKUP($A71,CFR20252026_BenchMarkDataReport!$B:$B,CFR20252026_BenchMarkDataReport!X:X),0)</f>
        <v>71552</v>
      </c>
      <c r="J71" s="88">
        <f>IFERROR(_xlfn.XLOOKUP($A71,CFR20252026_BenchMarkDataReport!$B:$B,CFR20252026_BenchMarkDataReport!Y:Y),0)</f>
        <v>103735</v>
      </c>
      <c r="K71" s="88">
        <f>IFERROR(_xlfn.XLOOKUP($A71,CFR20252026_BenchMarkDataReport!$B:$B,CFR20252026_BenchMarkDataReport!Z:Z),0)</f>
        <v>31589</v>
      </c>
      <c r="L71" s="88">
        <f>IFERROR(_xlfn.XLOOKUP($A71,CFR20252026_BenchMarkDataReport!$B:$B,CFR20252026_BenchMarkDataReport!AA:AA),0)</f>
        <v>77761</v>
      </c>
      <c r="M71" s="88">
        <f>IFERROR(_xlfn.XLOOKUP($A71,CFR20252026_BenchMarkDataReport!$B:$B,CFR20252026_BenchMarkDataReport!AB:AB),0)</f>
        <v>163</v>
      </c>
      <c r="N71" s="88">
        <f>IFERROR(_xlfn.XLOOKUP($A71,CFR20252026_BenchMarkDataReport!$B:$B,CFR20252026_BenchMarkDataReport!AC:AC),0)</f>
        <v>0</v>
      </c>
      <c r="O71" s="88">
        <f>IFERROR(_xlfn.XLOOKUP($A71,CFR20252026_BenchMarkDataReport!$B:$B,CFR20252026_BenchMarkDataReport!AD:AD),0)</f>
        <v>0</v>
      </c>
      <c r="P71" s="88">
        <f>IFERROR(_xlfn.XLOOKUP($A71,CFR20252026_BenchMarkDataReport!$B:$B,CFR20252026_BenchMarkDataReport!AE:AE),0)</f>
        <v>63413</v>
      </c>
      <c r="Q71" s="88">
        <f>IFERROR(_xlfn.XLOOKUP($A71,CFR20252026_BenchMarkDataReport!$B:$B,CFR20252026_BenchMarkDataReport!AF:AF),0)</f>
        <v>32909</v>
      </c>
      <c r="R71" s="88">
        <f>IFERROR(_xlfn.XLOOKUP($A71,CFR20252026_BenchMarkDataReport!$B:$B,CFR20252026_BenchMarkDataReport!AG:AG),0)</f>
        <v>0</v>
      </c>
      <c r="S71" s="88">
        <f>IFERROR(_xlfn.XLOOKUP($A71,CFR20252026_BenchMarkDataReport!$B:$B,CFR20252026_BenchMarkDataReport!AH:AH),0)</f>
        <v>0</v>
      </c>
      <c r="T71" s="88">
        <f>IFERROR(_xlfn.XLOOKUP($A71,CFR20252026_BenchMarkDataReport!$B:$B,CFR20252026_BenchMarkDataReport!AI:AI),0)</f>
        <v>0</v>
      </c>
      <c r="U71" s="88">
        <f>IFERROR(_xlfn.XLOOKUP($A71,CFR20252026_BenchMarkDataReport!$B:$B,CFR20252026_BenchMarkDataReport!AJ:AJ),0)</f>
        <v>1060284</v>
      </c>
      <c r="V71" s="88">
        <f>IFERROR(_xlfn.XLOOKUP($A71,CFR20252026_BenchMarkDataReport!$B:$B,CFR20252026_BenchMarkDataReport!AK:AK),0)</f>
        <v>0</v>
      </c>
      <c r="W71" s="88">
        <f>IFERROR(_xlfn.XLOOKUP($A71,CFR20252026_BenchMarkDataReport!$B:$B,CFR20252026_BenchMarkDataReport!AL:AL),0)</f>
        <v>601985</v>
      </c>
      <c r="X71" s="88">
        <f>IFERROR(_xlfn.XLOOKUP($A71,CFR20252026_BenchMarkDataReport!$B:$B,CFR20252026_BenchMarkDataReport!AM:AM),0)</f>
        <v>112417</v>
      </c>
      <c r="Y71" s="88">
        <f>IFERROR(_xlfn.XLOOKUP($A71,CFR20252026_BenchMarkDataReport!$B:$B,CFR20252026_BenchMarkDataReport!AN:AN),0)</f>
        <v>89668</v>
      </c>
      <c r="Z71" s="88">
        <f>IFERROR(_xlfn.XLOOKUP($A71,CFR20252026_BenchMarkDataReport!$B:$B,CFR20252026_BenchMarkDataReport!AO:AO),0)</f>
        <v>0</v>
      </c>
      <c r="AA71" s="88">
        <f>IFERROR(_xlfn.XLOOKUP($A71,CFR20252026_BenchMarkDataReport!$B:$B,CFR20252026_BenchMarkDataReport!AP:AP),0)</f>
        <v>14772</v>
      </c>
      <c r="AB71" s="88">
        <f>IFERROR(_xlfn.XLOOKUP($A71,CFR20252026_BenchMarkDataReport!$B:$B,CFR20252026_BenchMarkDataReport!AQ:AQ),0)</f>
        <v>3245</v>
      </c>
      <c r="AC71" s="88">
        <f>IFERROR(_xlfn.XLOOKUP($A71,CFR20252026_BenchMarkDataReport!$B:$B,CFR20252026_BenchMarkDataReport!AR:AR),0)</f>
        <v>8818</v>
      </c>
      <c r="AD71" s="88">
        <f>IFERROR(_xlfn.XLOOKUP($A71,CFR20252026_BenchMarkDataReport!$B:$B,CFR20252026_BenchMarkDataReport!AS:AS),0)</f>
        <v>470</v>
      </c>
      <c r="AE71" s="88">
        <f>IFERROR(_xlfn.XLOOKUP($A71,CFR20252026_BenchMarkDataReport!$B:$B,CFR20252026_BenchMarkDataReport!AT:AT),0)</f>
        <v>0</v>
      </c>
      <c r="AF71" s="88">
        <f>IFERROR(_xlfn.XLOOKUP($A71,CFR20252026_BenchMarkDataReport!$B:$B,CFR20252026_BenchMarkDataReport!AU:AU),0)</f>
        <v>29343</v>
      </c>
      <c r="AG71" s="88">
        <f>IFERROR(_xlfn.XLOOKUP($A71,CFR20252026_BenchMarkDataReport!$B:$B,CFR20252026_BenchMarkDataReport!AV:AV),0)</f>
        <v>8791</v>
      </c>
      <c r="AH71" s="88">
        <f>IFERROR(_xlfn.XLOOKUP($A71,CFR20252026_BenchMarkDataReport!$B:$B,CFR20252026_BenchMarkDataReport!AW:AW),0)</f>
        <v>4827</v>
      </c>
      <c r="AI71" s="88">
        <f>IFERROR(_xlfn.XLOOKUP($A71,CFR20252026_BenchMarkDataReport!$B:$B,CFR20252026_BenchMarkDataReport!AX:AX),0)</f>
        <v>5531</v>
      </c>
      <c r="AJ71" s="88">
        <f>IFERROR(_xlfn.XLOOKUP($A71,CFR20252026_BenchMarkDataReport!$B:$B,CFR20252026_BenchMarkDataReport!AY:AY),0)</f>
        <v>23916</v>
      </c>
      <c r="AK71" s="88">
        <f>IFERROR(_xlfn.XLOOKUP($A71,CFR20252026_BenchMarkDataReport!$B:$B,CFR20252026_BenchMarkDataReport!AZ:AZ),0)</f>
        <v>4177</v>
      </c>
      <c r="AL71" s="88">
        <f>IFERROR(_xlfn.XLOOKUP($A71,CFR20252026_BenchMarkDataReport!$B:$B,CFR20252026_BenchMarkDataReport!BA:BA),0)</f>
        <v>14635</v>
      </c>
      <c r="AM71" s="88">
        <f>IFERROR(_xlfn.XLOOKUP($A71,CFR20252026_BenchMarkDataReport!$B:$B,CFR20252026_BenchMarkDataReport!BB:BB),0)</f>
        <v>59682</v>
      </c>
      <c r="AN71" s="88">
        <f>IFERROR(_xlfn.XLOOKUP($A71,CFR20252026_BenchMarkDataReport!$B:$B,CFR20252026_BenchMarkDataReport!BC:BC),0)</f>
        <v>7171</v>
      </c>
      <c r="AO71" s="88">
        <f>IFERROR(_xlfn.XLOOKUP($A71,CFR20252026_BenchMarkDataReport!$B:$B,CFR20252026_BenchMarkDataReport!BD:BD),0)</f>
        <v>0</v>
      </c>
      <c r="AP71" s="88">
        <f>IFERROR(_xlfn.XLOOKUP($A71,CFR20252026_BenchMarkDataReport!$B:$B,CFR20252026_BenchMarkDataReport!BE:BE),0)</f>
        <v>1473</v>
      </c>
      <c r="AQ71" s="88">
        <f>IFERROR(_xlfn.XLOOKUP($A71,CFR20252026_BenchMarkDataReport!$B:$B,CFR20252026_BenchMarkDataReport!BF:BF),0)</f>
        <v>9359</v>
      </c>
      <c r="AR71" s="88">
        <f>IFERROR(_xlfn.XLOOKUP($A71,CFR20252026_BenchMarkDataReport!$B:$B,CFR20252026_BenchMarkDataReport!BG:BG),0)</f>
        <v>4670</v>
      </c>
      <c r="AS71" s="88">
        <f>IFERROR(_xlfn.XLOOKUP($A71,CFR20252026_BenchMarkDataReport!$B:$B,CFR20252026_BenchMarkDataReport!BH:BH),0)</f>
        <v>270</v>
      </c>
      <c r="AT71" s="88">
        <f>IFERROR(_xlfn.XLOOKUP($A71,CFR20252026_BenchMarkDataReport!$B:$B,CFR20252026_BenchMarkDataReport!BI:BI),0)</f>
        <v>13795</v>
      </c>
      <c r="AU71" s="88">
        <f>IFERROR(_xlfn.XLOOKUP($A71,CFR20252026_BenchMarkDataReport!$B:$B,CFR20252026_BenchMarkDataReport!BJ:BJ),0)</f>
        <v>0</v>
      </c>
      <c r="AV71" s="88">
        <f>IFERROR(_xlfn.XLOOKUP($A71,CFR20252026_BenchMarkDataReport!$B:$B,CFR20252026_BenchMarkDataReport!BK:BK),0)</f>
        <v>1293</v>
      </c>
      <c r="AW71" s="88">
        <f>IFERROR(_xlfn.XLOOKUP($A71,CFR20252026_BenchMarkDataReport!$B:$B,CFR20252026_BenchMarkDataReport!BL:BL),0)</f>
        <v>12267</v>
      </c>
      <c r="AX71" s="88">
        <f>IFERROR(_xlfn.XLOOKUP($A71,CFR20252026_BenchMarkDataReport!$B:$B,CFR20252026_BenchMarkDataReport!BM:BM),0)</f>
        <v>20857</v>
      </c>
      <c r="AY71" s="88">
        <f>IFERROR(_xlfn.XLOOKUP($A71,CFR20252026_BenchMarkDataReport!$B:$B,CFR20252026_BenchMarkDataReport!BN:BN),0)</f>
        <v>89760</v>
      </c>
      <c r="AZ71" s="88">
        <f>IFERROR(_xlfn.XLOOKUP($A71,CFR20252026_BenchMarkDataReport!$B:$B,CFR20252026_BenchMarkDataReport!BO:BO),0)</f>
        <v>27652</v>
      </c>
      <c r="BA71" s="88">
        <f>IFERROR(_xlfn.XLOOKUP($A71,CFR20252026_BenchMarkDataReport!$B:$B,CFR20252026_BenchMarkDataReport!BP:BP),0)</f>
        <v>73567</v>
      </c>
      <c r="BB71" s="88">
        <f>IFERROR(_xlfn.XLOOKUP($A71,CFR20252026_BenchMarkDataReport!$B:$B,CFR20252026_BenchMarkDataReport!BQ:BQ),0)</f>
        <v>42495</v>
      </c>
      <c r="BC71" s="88">
        <f>IFERROR(_xlfn.XLOOKUP($A71,CFR20252026_BenchMarkDataReport!$B:$B,CFR20252026_BenchMarkDataReport!BR:BR),0)</f>
        <v>0</v>
      </c>
      <c r="BD71" s="88">
        <f>IFERROR(_xlfn.XLOOKUP($A71,CFR20252026_BenchMarkDataReport!$B:$B,CFR20252026_BenchMarkDataReport!BS:BS),0)</f>
        <v>0</v>
      </c>
      <c r="BE71" s="88">
        <f>IFERROR(_xlfn.XLOOKUP($A71,CFR20252026_BenchMarkDataReport!$B:$B,CFR20252026_BenchMarkDataReport!BT:BT),0)</f>
        <v>0</v>
      </c>
      <c r="BF71" s="88">
        <f>IFERROR(_xlfn.XLOOKUP($A71,CFR20252026_BenchMarkDataReport!$B:$B,CFR20252026_BenchMarkDataReport!BU:BU),0)</f>
        <v>0</v>
      </c>
      <c r="BG71" s="88">
        <f>IFERROR(_xlfn.XLOOKUP($A71,CFR20252026_BenchMarkDataReport!$B:$B,CFR20252026_BenchMarkDataReport!BV:BV),0)</f>
        <v>0</v>
      </c>
      <c r="BH71" s="89">
        <f t="shared" si="228"/>
        <v>2454346</v>
      </c>
      <c r="BI71" s="90">
        <f t="shared" si="223"/>
        <v>2347190</v>
      </c>
      <c r="BJ71" s="126">
        <f t="shared" si="224"/>
        <v>107156</v>
      </c>
      <c r="BK71" s="88">
        <f>IFERROR(_xlfn.XLOOKUP(A71,CFR20252026_BenchMarkDataReport!$B:$B,CFR20252026_BenchMarkDataReport!P:P)+_xlfn.XLOOKUP(A71,CFR20252026_BenchMarkDataReport!$B:$B,CFR20252026_BenchMarkDataReport!Q:Q),0)</f>
        <v>89552</v>
      </c>
      <c r="BL71" s="89">
        <f t="shared" si="225"/>
        <v>196708</v>
      </c>
      <c r="BM71" s="91">
        <f>SUMIFS(PP!I:I,PP!E:E,A71)</f>
        <v>275</v>
      </c>
      <c r="BN71" s="90">
        <f t="shared" si="133"/>
        <v>2011507</v>
      </c>
      <c r="BO71" t="s">
        <v>173</v>
      </c>
      <c r="BP71" s="92">
        <f t="shared" si="203"/>
        <v>0.73557762434473384</v>
      </c>
      <c r="BQ71" s="93">
        <f t="shared" si="204"/>
        <v>6564.9527272727273</v>
      </c>
      <c r="BR71" s="94">
        <f t="shared" si="205"/>
        <v>0</v>
      </c>
      <c r="BS71" s="95">
        <f t="shared" si="206"/>
        <v>0</v>
      </c>
      <c r="BT71" s="92">
        <f t="shared" si="207"/>
        <v>8.3991825113492555E-2</v>
      </c>
      <c r="BU71" s="93">
        <f t="shared" si="208"/>
        <v>749.61818181818182</v>
      </c>
      <c r="BV71" s="94">
        <f t="shared" si="209"/>
        <v>0</v>
      </c>
      <c r="BW71" s="95">
        <f t="shared" si="210"/>
        <v>0</v>
      </c>
      <c r="BX71" s="92">
        <f t="shared" si="211"/>
        <v>2.5146006308808946E-2</v>
      </c>
      <c r="BY71" s="93">
        <f t="shared" si="212"/>
        <v>224.42545454545456</v>
      </c>
      <c r="BZ71" s="94">
        <f t="shared" si="213"/>
        <v>2.9153183780933904E-2</v>
      </c>
      <c r="CA71" s="95">
        <f t="shared" si="214"/>
        <v>260.18909090909091</v>
      </c>
      <c r="CB71" s="92">
        <f t="shared" si="215"/>
        <v>4.2265841898412045E-2</v>
      </c>
      <c r="CC71" s="93">
        <f t="shared" si="216"/>
        <v>377.21818181818179</v>
      </c>
      <c r="CD71" s="94">
        <f t="shared" si="217"/>
        <v>4.455362039419055E-2</v>
      </c>
      <c r="CE71" s="96">
        <f t="shared" si="218"/>
        <v>397.63636363636363</v>
      </c>
      <c r="CF71" s="97">
        <f t="shared" si="219"/>
        <v>2.5837025423473301E-2</v>
      </c>
      <c r="CG71" s="98">
        <f t="shared" si="220"/>
        <v>230.59272727272727</v>
      </c>
      <c r="CH71" s="94">
        <f t="shared" si="221"/>
        <v>1.3408459931892243E-2</v>
      </c>
      <c r="CI71" s="95">
        <f t="shared" si="222"/>
        <v>119.66909090909091</v>
      </c>
      <c r="CJ71" s="99">
        <f t="shared" si="229"/>
        <v>0.54085618394566859</v>
      </c>
      <c r="CK71" s="97">
        <f t="shared" si="230"/>
        <v>0.44326920491242883</v>
      </c>
      <c r="CL71" s="97">
        <f t="shared" si="231"/>
        <v>0.46350572386555838</v>
      </c>
      <c r="CM71" s="98">
        <f t="shared" si="232"/>
        <v>3956.130909090909</v>
      </c>
      <c r="CN71" s="94">
        <f t="shared" si="233"/>
        <v>0.29927064633630407</v>
      </c>
      <c r="CO71" s="100">
        <f t="shared" si="234"/>
        <v>0.24527307885685229</v>
      </c>
      <c r="CP71" s="100">
        <f t="shared" si="235"/>
        <v>0.25647050302702379</v>
      </c>
      <c r="CQ71" s="101">
        <f t="shared" si="236"/>
        <v>2189.0363636363636</v>
      </c>
      <c r="CR71" s="99">
        <f t="shared" si="237"/>
        <v>5.5886954407814639E-2</v>
      </c>
      <c r="CS71" s="97">
        <f t="shared" si="238"/>
        <v>4.5803240455909638E-2</v>
      </c>
      <c r="CT71" s="97">
        <f t="shared" si="239"/>
        <v>4.7894290619847561E-2</v>
      </c>
      <c r="CU71" s="98">
        <f t="shared" si="240"/>
        <v>408.78909090909093</v>
      </c>
      <c r="CV71" s="94">
        <f t="shared" si="241"/>
        <v>4.4577523220152848E-2</v>
      </c>
      <c r="CW71" s="100">
        <f t="shared" si="242"/>
        <v>3.6534376163751971E-2</v>
      </c>
      <c r="CX71" s="100">
        <f t="shared" si="243"/>
        <v>3.8202275912900104E-2</v>
      </c>
      <c r="CY71" s="95">
        <f t="shared" si="244"/>
        <v>326.06545454545454</v>
      </c>
      <c r="CZ71" s="99">
        <f t="shared" si="245"/>
        <v>0.93418814848767617</v>
      </c>
      <c r="DA71" s="97">
        <f t="shared" si="246"/>
        <v>0.76563206654644456</v>
      </c>
      <c r="DB71" s="97">
        <f t="shared" si="247"/>
        <v>0.8005853808170621</v>
      </c>
      <c r="DC71" s="98">
        <f t="shared" si="248"/>
        <v>6833.1854545454544</v>
      </c>
      <c r="DD71" s="94">
        <f t="shared" si="249"/>
        <v>1.4587570413625208E-2</v>
      </c>
      <c r="DE71" s="100">
        <f t="shared" si="250"/>
        <v>1.2501331379223667E-2</v>
      </c>
      <c r="DF71" s="95">
        <f t="shared" si="251"/>
        <v>106.70181818181818</v>
      </c>
      <c r="DG71" s="99">
        <f t="shared" si="252"/>
        <v>2.3564347155534916E-3</v>
      </c>
      <c r="DH71" s="98">
        <f t="shared" si="253"/>
        <v>20.112727272727273</v>
      </c>
      <c r="DI71" s="94">
        <f t="shared" si="254"/>
        <v>1.188959322537779E-2</v>
      </c>
      <c r="DJ71" s="100">
        <f t="shared" si="255"/>
        <v>1.0189204964233829E-2</v>
      </c>
      <c r="DK71" s="95">
        <f t="shared" si="256"/>
        <v>86.967272727272729</v>
      </c>
      <c r="DL71" s="99">
        <f t="shared" si="257"/>
        <v>7.2756396075181447E-3</v>
      </c>
      <c r="DM71" s="97">
        <f t="shared" si="258"/>
        <v>6.2351151802793976E-3</v>
      </c>
      <c r="DN71" s="102">
        <f t="shared" si="259"/>
        <v>53.218181818181819</v>
      </c>
      <c r="DO71" s="94">
        <f t="shared" si="260"/>
        <v>2.9670291975121141E-2</v>
      </c>
      <c r="DP71" s="100">
        <f t="shared" si="261"/>
        <v>2.4316864859314863E-2</v>
      </c>
      <c r="DQ71" s="100">
        <f t="shared" si="262"/>
        <v>2.5426999944614625E-2</v>
      </c>
      <c r="DR71" s="95">
        <f t="shared" si="263"/>
        <v>217.02545454545455</v>
      </c>
      <c r="DS71" s="99">
        <f t="shared" si="264"/>
        <v>6.4280164075988799E-4</v>
      </c>
      <c r="DT71" s="97">
        <f t="shared" si="265"/>
        <v>5.5087146758464373E-4</v>
      </c>
      <c r="DU71" s="98">
        <f t="shared" si="266"/>
        <v>4.7018181818181821</v>
      </c>
      <c r="DV71" s="94">
        <f t="shared" si="267"/>
        <v>3.657307680261615E-2</v>
      </c>
      <c r="DW71" s="100">
        <f t="shared" si="268"/>
        <v>3.1342584111213836E-2</v>
      </c>
      <c r="DX71" s="95">
        <f t="shared" si="269"/>
        <v>267.51636363636362</v>
      </c>
      <c r="DY71" s="99">
        <f t="shared" si="270"/>
        <v>3.8241471717244874E-2</v>
      </c>
      <c r="DZ71" s="98">
        <f t="shared" si="271"/>
        <v>326.39999999999998</v>
      </c>
      <c r="EA71" s="94">
        <f t="shared" si="226"/>
        <v>2.0565016040456885E-3</v>
      </c>
      <c r="EB71" s="95">
        <f t="shared" si="227"/>
        <v>17.552727272727271</v>
      </c>
      <c r="EC71" s="103">
        <f>IFERROR(VLOOKUP(A71,PP!$E$3:$S$130,14,0),0)</f>
        <v>39</v>
      </c>
    </row>
    <row r="72" spans="1:227">
      <c r="A72" s="26">
        <v>2070</v>
      </c>
      <c r="B72" s="125">
        <v>10097</v>
      </c>
      <c r="C72" s="26" t="s">
        <v>94</v>
      </c>
      <c r="D72" s="88">
        <f>IFERROR(_xlfn.XLOOKUP($A72,CFR20252026_BenchMarkDataReport!$B:$B,CFR20252026_BenchMarkDataReport!S:S),0)</f>
        <v>1598831.69</v>
      </c>
      <c r="E72" s="88">
        <f>IFERROR(_xlfn.XLOOKUP($A72,CFR20252026_BenchMarkDataReport!$B:$B,CFR20252026_BenchMarkDataReport!T:T),0)</f>
        <v>0</v>
      </c>
      <c r="F72" s="88">
        <f>IFERROR(_xlfn.XLOOKUP($A72,CFR20252026_BenchMarkDataReport!$B:$B,CFR20252026_BenchMarkDataReport!U:U),0)</f>
        <v>153057.70000000001</v>
      </c>
      <c r="G72" s="88">
        <f>IFERROR(_xlfn.XLOOKUP($A72,CFR20252026_BenchMarkDataReport!$B:$B,CFR20252026_BenchMarkDataReport!V:V),0)</f>
        <v>0</v>
      </c>
      <c r="H72" s="88">
        <f>IFERROR(_xlfn.XLOOKUP($A72,CFR20252026_BenchMarkDataReport!$B:$B,CFR20252026_BenchMarkDataReport!W:W),0)</f>
        <v>96960</v>
      </c>
      <c r="I72" s="88">
        <f>IFERROR(_xlfn.XLOOKUP($A72,CFR20252026_BenchMarkDataReport!$B:$B,CFR20252026_BenchMarkDataReport!X:X),0)</f>
        <v>38649.699999999997</v>
      </c>
      <c r="J72" s="88">
        <f>IFERROR(_xlfn.XLOOKUP($A72,CFR20252026_BenchMarkDataReport!$B:$B,CFR20252026_BenchMarkDataReport!Y:Y),0)</f>
        <v>39086.65</v>
      </c>
      <c r="K72" s="88">
        <f>IFERROR(_xlfn.XLOOKUP($A72,CFR20252026_BenchMarkDataReport!$B:$B,CFR20252026_BenchMarkDataReport!Z:Z),0)</f>
        <v>16438</v>
      </c>
      <c r="L72" s="88">
        <f>IFERROR(_xlfn.XLOOKUP($A72,CFR20252026_BenchMarkDataReport!$B:$B,CFR20252026_BenchMarkDataReport!AA:AA),0)</f>
        <v>29940.46</v>
      </c>
      <c r="M72" s="88">
        <f>IFERROR(_xlfn.XLOOKUP($A72,CFR20252026_BenchMarkDataReport!$B:$B,CFR20252026_BenchMarkDataReport!AB:AB),0)</f>
        <v>4558.68</v>
      </c>
      <c r="N72" s="88">
        <f>IFERROR(_xlfn.XLOOKUP($A72,CFR20252026_BenchMarkDataReport!$B:$B,CFR20252026_BenchMarkDataReport!AC:AC),0)</f>
        <v>0</v>
      </c>
      <c r="O72" s="88">
        <f>IFERROR(_xlfn.XLOOKUP($A72,CFR20252026_BenchMarkDataReport!$B:$B,CFR20252026_BenchMarkDataReport!AD:AD),0)</f>
        <v>0</v>
      </c>
      <c r="P72" s="88">
        <f>IFERROR(_xlfn.XLOOKUP($A72,CFR20252026_BenchMarkDataReport!$B:$B,CFR20252026_BenchMarkDataReport!AE:AE),0)</f>
        <v>30357.78</v>
      </c>
      <c r="Q72" s="88">
        <f>IFERROR(_xlfn.XLOOKUP($A72,CFR20252026_BenchMarkDataReport!$B:$B,CFR20252026_BenchMarkDataReport!AF:AF),0)</f>
        <v>15106.26</v>
      </c>
      <c r="R72" s="88">
        <f>IFERROR(_xlfn.XLOOKUP($A72,CFR20252026_BenchMarkDataReport!$B:$B,CFR20252026_BenchMarkDataReport!AG:AG),0)</f>
        <v>0</v>
      </c>
      <c r="S72" s="88">
        <f>IFERROR(_xlfn.XLOOKUP($A72,CFR20252026_BenchMarkDataReport!$B:$B,CFR20252026_BenchMarkDataReport!AH:AH),0)</f>
        <v>0</v>
      </c>
      <c r="T72" s="88">
        <f>IFERROR(_xlfn.XLOOKUP($A72,CFR20252026_BenchMarkDataReport!$B:$B,CFR20252026_BenchMarkDataReport!AI:AI),0)</f>
        <v>0</v>
      </c>
      <c r="U72" s="88">
        <f>IFERROR(_xlfn.XLOOKUP($A72,CFR20252026_BenchMarkDataReport!$B:$B,CFR20252026_BenchMarkDataReport!AJ:AJ),0)</f>
        <v>1032693.16</v>
      </c>
      <c r="V72" s="88">
        <f>IFERROR(_xlfn.XLOOKUP($A72,CFR20252026_BenchMarkDataReport!$B:$B,CFR20252026_BenchMarkDataReport!AK:AK),0)</f>
        <v>0</v>
      </c>
      <c r="W72" s="88">
        <f>IFERROR(_xlfn.XLOOKUP($A72,CFR20252026_BenchMarkDataReport!$B:$B,CFR20252026_BenchMarkDataReport!AL:AL),0)</f>
        <v>342556.69</v>
      </c>
      <c r="X72" s="88">
        <f>IFERROR(_xlfn.XLOOKUP($A72,CFR20252026_BenchMarkDataReport!$B:$B,CFR20252026_BenchMarkDataReport!AM:AM),0)</f>
        <v>71519.929999999993</v>
      </c>
      <c r="Y72" s="88">
        <f>IFERROR(_xlfn.XLOOKUP($A72,CFR20252026_BenchMarkDataReport!$B:$B,CFR20252026_BenchMarkDataReport!AN:AN),0)</f>
        <v>135894.82</v>
      </c>
      <c r="Z72" s="88">
        <f>IFERROR(_xlfn.XLOOKUP($A72,CFR20252026_BenchMarkDataReport!$B:$B,CFR20252026_BenchMarkDataReport!AO:AO),0)</f>
        <v>0</v>
      </c>
      <c r="AA72" s="88">
        <f>IFERROR(_xlfn.XLOOKUP($A72,CFR20252026_BenchMarkDataReport!$B:$B,CFR20252026_BenchMarkDataReport!AP:AP),0)</f>
        <v>46429.2</v>
      </c>
      <c r="AB72" s="88">
        <f>IFERROR(_xlfn.XLOOKUP($A72,CFR20252026_BenchMarkDataReport!$B:$B,CFR20252026_BenchMarkDataReport!AQ:AQ),0)</f>
        <v>9908.77</v>
      </c>
      <c r="AC72" s="88">
        <f>IFERROR(_xlfn.XLOOKUP($A72,CFR20252026_BenchMarkDataReport!$B:$B,CFR20252026_BenchMarkDataReport!AR:AR),0)</f>
        <v>6241.85</v>
      </c>
      <c r="AD72" s="88">
        <f>IFERROR(_xlfn.XLOOKUP($A72,CFR20252026_BenchMarkDataReport!$B:$B,CFR20252026_BenchMarkDataReport!AS:AS),0)</f>
        <v>353.97</v>
      </c>
      <c r="AE72" s="88">
        <f>IFERROR(_xlfn.XLOOKUP($A72,CFR20252026_BenchMarkDataReport!$B:$B,CFR20252026_BenchMarkDataReport!AT:AT),0)</f>
        <v>0</v>
      </c>
      <c r="AF72" s="88">
        <f>IFERROR(_xlfn.XLOOKUP($A72,CFR20252026_BenchMarkDataReport!$B:$B,CFR20252026_BenchMarkDataReport!AU:AU),0)</f>
        <v>27853.86</v>
      </c>
      <c r="AG72" s="88">
        <f>IFERROR(_xlfn.XLOOKUP($A72,CFR20252026_BenchMarkDataReport!$B:$B,CFR20252026_BenchMarkDataReport!AV:AV),0)</f>
        <v>5579.62</v>
      </c>
      <c r="AH72" s="88">
        <f>IFERROR(_xlfn.XLOOKUP($A72,CFR20252026_BenchMarkDataReport!$B:$B,CFR20252026_BenchMarkDataReport!AW:AW),0)</f>
        <v>5246.93</v>
      </c>
      <c r="AI72" s="88">
        <f>IFERROR(_xlfn.XLOOKUP($A72,CFR20252026_BenchMarkDataReport!$B:$B,CFR20252026_BenchMarkDataReport!AX:AX),0)</f>
        <v>7768.41</v>
      </c>
      <c r="AJ72" s="88">
        <f>IFERROR(_xlfn.XLOOKUP($A72,CFR20252026_BenchMarkDataReport!$B:$B,CFR20252026_BenchMarkDataReport!AY:AY),0)</f>
        <v>16234.48</v>
      </c>
      <c r="AK72" s="88">
        <f>IFERROR(_xlfn.XLOOKUP($A72,CFR20252026_BenchMarkDataReport!$B:$B,CFR20252026_BenchMarkDataReport!AZ:AZ),0)</f>
        <v>26625.74</v>
      </c>
      <c r="AL72" s="88">
        <f>IFERROR(_xlfn.XLOOKUP($A72,CFR20252026_BenchMarkDataReport!$B:$B,CFR20252026_BenchMarkDataReport!BA:BA),0)</f>
        <v>12283.26</v>
      </c>
      <c r="AM72" s="88">
        <f>IFERROR(_xlfn.XLOOKUP($A72,CFR20252026_BenchMarkDataReport!$B:$B,CFR20252026_BenchMarkDataReport!BB:BB),0)</f>
        <v>68943.72</v>
      </c>
      <c r="AN72" s="88">
        <f>IFERROR(_xlfn.XLOOKUP($A72,CFR20252026_BenchMarkDataReport!$B:$B,CFR20252026_BenchMarkDataReport!BC:BC),0)</f>
        <v>5678.65</v>
      </c>
      <c r="AO72" s="88">
        <f>IFERROR(_xlfn.XLOOKUP($A72,CFR20252026_BenchMarkDataReport!$B:$B,CFR20252026_BenchMarkDataReport!BD:BD),0)</f>
        <v>0</v>
      </c>
      <c r="AP72" s="88">
        <f>IFERROR(_xlfn.XLOOKUP($A72,CFR20252026_BenchMarkDataReport!$B:$B,CFR20252026_BenchMarkDataReport!BE:BE),0)</f>
        <v>10415.15</v>
      </c>
      <c r="AQ72" s="88">
        <f>IFERROR(_xlfn.XLOOKUP($A72,CFR20252026_BenchMarkDataReport!$B:$B,CFR20252026_BenchMarkDataReport!BF:BF),0)</f>
        <v>8286.84</v>
      </c>
      <c r="AR72" s="88">
        <f>IFERROR(_xlfn.XLOOKUP($A72,CFR20252026_BenchMarkDataReport!$B:$B,CFR20252026_BenchMarkDataReport!BG:BG),0)</f>
        <v>5160.45</v>
      </c>
      <c r="AS72" s="88">
        <f>IFERROR(_xlfn.XLOOKUP($A72,CFR20252026_BenchMarkDataReport!$B:$B,CFR20252026_BenchMarkDataReport!BH:BH),0)</f>
        <v>1023.25</v>
      </c>
      <c r="AT72" s="88">
        <f>IFERROR(_xlfn.XLOOKUP($A72,CFR20252026_BenchMarkDataReport!$B:$B,CFR20252026_BenchMarkDataReport!BI:BI),0)</f>
        <v>6753.52</v>
      </c>
      <c r="AU72" s="88">
        <f>IFERROR(_xlfn.XLOOKUP($A72,CFR20252026_BenchMarkDataReport!$B:$B,CFR20252026_BenchMarkDataReport!BJ:BJ),0)</f>
        <v>0</v>
      </c>
      <c r="AV72" s="88">
        <f>IFERROR(_xlfn.XLOOKUP($A72,CFR20252026_BenchMarkDataReport!$B:$B,CFR20252026_BenchMarkDataReport!BK:BK),0)</f>
        <v>8443.0400000000009</v>
      </c>
      <c r="AW72" s="88">
        <f>IFERROR(_xlfn.XLOOKUP($A72,CFR20252026_BenchMarkDataReport!$B:$B,CFR20252026_BenchMarkDataReport!BL:BL),0)</f>
        <v>6352.52</v>
      </c>
      <c r="AX72" s="88">
        <f>IFERROR(_xlfn.XLOOKUP($A72,CFR20252026_BenchMarkDataReport!$B:$B,CFR20252026_BenchMarkDataReport!BM:BM),0)</f>
        <v>10039.629999999999</v>
      </c>
      <c r="AY72" s="88">
        <f>IFERROR(_xlfn.XLOOKUP($A72,CFR20252026_BenchMarkDataReport!$B:$B,CFR20252026_BenchMarkDataReport!BN:BN),0)</f>
        <v>94639.4</v>
      </c>
      <c r="AZ72" s="88">
        <f>IFERROR(_xlfn.XLOOKUP($A72,CFR20252026_BenchMarkDataReport!$B:$B,CFR20252026_BenchMarkDataReport!BO:BO),0)</f>
        <v>33659.15</v>
      </c>
      <c r="BA72" s="88">
        <f>IFERROR(_xlfn.XLOOKUP($A72,CFR20252026_BenchMarkDataReport!$B:$B,CFR20252026_BenchMarkDataReport!BP:BP),0)</f>
        <v>32618.19</v>
      </c>
      <c r="BB72" s="88">
        <f>IFERROR(_xlfn.XLOOKUP($A72,CFR20252026_BenchMarkDataReport!$B:$B,CFR20252026_BenchMarkDataReport!BQ:BQ),0)</f>
        <v>18373.72</v>
      </c>
      <c r="BC72" s="88">
        <f>IFERROR(_xlfn.XLOOKUP($A72,CFR20252026_BenchMarkDataReport!$B:$B,CFR20252026_BenchMarkDataReport!BR:BR),0)</f>
        <v>0</v>
      </c>
      <c r="BD72" s="88">
        <f>IFERROR(_xlfn.XLOOKUP($A72,CFR20252026_BenchMarkDataReport!$B:$B,CFR20252026_BenchMarkDataReport!BS:BS),0)</f>
        <v>0</v>
      </c>
      <c r="BE72" s="88">
        <f>IFERROR(_xlfn.XLOOKUP($A72,CFR20252026_BenchMarkDataReport!$B:$B,CFR20252026_BenchMarkDataReport!BT:BT),0)</f>
        <v>17102</v>
      </c>
      <c r="BF72" s="88">
        <f>IFERROR(_xlfn.XLOOKUP($A72,CFR20252026_BenchMarkDataReport!$B:$B,CFR20252026_BenchMarkDataReport!BU:BU),0)</f>
        <v>0</v>
      </c>
      <c r="BG72" s="88">
        <f>IFERROR(_xlfn.XLOOKUP($A72,CFR20252026_BenchMarkDataReport!$B:$B,CFR20252026_BenchMarkDataReport!BV:BV),0)</f>
        <v>0</v>
      </c>
      <c r="BH72" s="89">
        <f t="shared" si="228"/>
        <v>2022986.9199999997</v>
      </c>
      <c r="BI72" s="90">
        <f t="shared" si="223"/>
        <v>2074679.9199999997</v>
      </c>
      <c r="BJ72" s="126">
        <f t="shared" si="224"/>
        <v>-51693</v>
      </c>
      <c r="BK72" s="88">
        <f>IFERROR(_xlfn.XLOOKUP(A72,CFR20252026_BenchMarkDataReport!$B:$B,CFR20252026_BenchMarkDataReport!P:P)+_xlfn.XLOOKUP(A72,CFR20252026_BenchMarkDataReport!$B:$B,CFR20252026_BenchMarkDataReport!Q:Q),0)</f>
        <v>314707</v>
      </c>
      <c r="BL72" s="89">
        <f t="shared" si="225"/>
        <v>263014</v>
      </c>
      <c r="BM72" s="91">
        <f>SUMIFS(PP!I:I,PP!E:E,A72)</f>
        <v>207</v>
      </c>
      <c r="BN72" s="90">
        <f t="shared" si="133"/>
        <v>1751889.39</v>
      </c>
      <c r="BO72" t="s">
        <v>173</v>
      </c>
      <c r="BP72" s="92">
        <f t="shared" si="203"/>
        <v>0.79033219354675821</v>
      </c>
      <c r="BQ72" s="93">
        <f t="shared" si="204"/>
        <v>7723.8245893719804</v>
      </c>
      <c r="BR72" s="94">
        <f t="shared" si="205"/>
        <v>0</v>
      </c>
      <c r="BS72" s="95">
        <f t="shared" si="206"/>
        <v>0</v>
      </c>
      <c r="BT72" s="92">
        <f t="shared" si="207"/>
        <v>7.5659263283817987E-2</v>
      </c>
      <c r="BU72" s="93">
        <f t="shared" si="208"/>
        <v>739.40917874396143</v>
      </c>
      <c r="BV72" s="94">
        <f t="shared" si="209"/>
        <v>0</v>
      </c>
      <c r="BW72" s="95">
        <f t="shared" si="210"/>
        <v>0</v>
      </c>
      <c r="BX72" s="92">
        <f t="shared" si="211"/>
        <v>4.7929128478991855E-2</v>
      </c>
      <c r="BY72" s="93">
        <f t="shared" si="212"/>
        <v>468.40579710144925</v>
      </c>
      <c r="BZ72" s="94">
        <f t="shared" si="213"/>
        <v>1.9105264407740217E-2</v>
      </c>
      <c r="CA72" s="95">
        <f t="shared" si="214"/>
        <v>186.71352657004829</v>
      </c>
      <c r="CB72" s="92">
        <f t="shared" si="215"/>
        <v>1.9321256906594336E-2</v>
      </c>
      <c r="CC72" s="93">
        <f t="shared" si="216"/>
        <v>188.82439613526572</v>
      </c>
      <c r="CD72" s="94">
        <f t="shared" si="217"/>
        <v>2.2925733993376489E-2</v>
      </c>
      <c r="CE72" s="96">
        <f t="shared" si="218"/>
        <v>224.05053140096618</v>
      </c>
      <c r="CF72" s="97">
        <f t="shared" si="219"/>
        <v>1.5006414376618907E-2</v>
      </c>
      <c r="CG72" s="98">
        <f t="shared" si="220"/>
        <v>146.65594202898549</v>
      </c>
      <c r="CH72" s="94">
        <f t="shared" si="221"/>
        <v>7.4673048306214468E-3</v>
      </c>
      <c r="CI72" s="95">
        <f t="shared" si="222"/>
        <v>72.977101449275366</v>
      </c>
      <c r="CJ72" s="99">
        <f t="shared" si="229"/>
        <v>0.60868700734582337</v>
      </c>
      <c r="CK72" s="97">
        <f t="shared" si="230"/>
        <v>0.52711774824525326</v>
      </c>
      <c r="CL72" s="97">
        <f t="shared" si="231"/>
        <v>0.51398401253143677</v>
      </c>
      <c r="CM72" s="98">
        <f t="shared" si="232"/>
        <v>5151.4604347826089</v>
      </c>
      <c r="CN72" s="94">
        <f t="shared" si="233"/>
        <v>0.19553556974279068</v>
      </c>
      <c r="CO72" s="100">
        <f t="shared" si="234"/>
        <v>0.16933213290375601</v>
      </c>
      <c r="CP72" s="100">
        <f t="shared" si="235"/>
        <v>0.16511303102601005</v>
      </c>
      <c r="CQ72" s="101">
        <f t="shared" si="236"/>
        <v>1654.8632367149758</v>
      </c>
      <c r="CR72" s="99">
        <f t="shared" si="237"/>
        <v>4.0824455247143197E-2</v>
      </c>
      <c r="CS72" s="97">
        <f t="shared" si="238"/>
        <v>3.5353629473788194E-2</v>
      </c>
      <c r="CT72" s="97">
        <f t="shared" si="239"/>
        <v>3.4472753753745304E-2</v>
      </c>
      <c r="CU72" s="98">
        <f t="shared" si="240"/>
        <v>345.50690821256035</v>
      </c>
      <c r="CV72" s="94">
        <f t="shared" si="241"/>
        <v>7.7570433827446161E-2</v>
      </c>
      <c r="CW72" s="100">
        <f t="shared" si="242"/>
        <v>6.7175332997209902E-2</v>
      </c>
      <c r="CX72" s="100">
        <f t="shared" si="243"/>
        <v>6.5501583492455079E-2</v>
      </c>
      <c r="CY72" s="95">
        <f t="shared" si="244"/>
        <v>656.49671497584541</v>
      </c>
      <c r="CZ72" s="99">
        <f t="shared" si="245"/>
        <v>0.92990676768697145</v>
      </c>
      <c r="DA72" s="97">
        <f t="shared" si="246"/>
        <v>0.8052913164658525</v>
      </c>
      <c r="DB72" s="97">
        <f t="shared" si="247"/>
        <v>0.78522657123899875</v>
      </c>
      <c r="DC72" s="98">
        <f t="shared" si="248"/>
        <v>7870.0183574879229</v>
      </c>
      <c r="DD72" s="94">
        <f t="shared" si="249"/>
        <v>1.5899325698867324E-2</v>
      </c>
      <c r="DE72" s="100">
        <f t="shared" si="250"/>
        <v>1.3425617962311991E-2</v>
      </c>
      <c r="DF72" s="95">
        <f t="shared" si="251"/>
        <v>134.55971014492755</v>
      </c>
      <c r="DG72" s="99">
        <f t="shared" si="252"/>
        <v>3.7443896405957413E-3</v>
      </c>
      <c r="DH72" s="98">
        <f t="shared" si="253"/>
        <v>37.528550724637682</v>
      </c>
      <c r="DI72" s="94">
        <f t="shared" si="254"/>
        <v>9.2668407564246973E-3</v>
      </c>
      <c r="DJ72" s="100">
        <f t="shared" si="255"/>
        <v>7.8250528399580795E-3</v>
      </c>
      <c r="DK72" s="95">
        <f t="shared" si="256"/>
        <v>78.427439613526573</v>
      </c>
      <c r="DL72" s="99">
        <f t="shared" si="257"/>
        <v>7.0114358075997031E-3</v>
      </c>
      <c r="DM72" s="97">
        <f t="shared" si="258"/>
        <v>5.920556651456868E-3</v>
      </c>
      <c r="DN72" s="102">
        <f t="shared" si="259"/>
        <v>59.33942028985507</v>
      </c>
      <c r="DO72" s="94">
        <f t="shared" si="260"/>
        <v>3.9353922909482322E-2</v>
      </c>
      <c r="DP72" s="100">
        <f t="shared" si="261"/>
        <v>3.4080161032380776E-2</v>
      </c>
      <c r="DQ72" s="100">
        <f t="shared" si="262"/>
        <v>3.3231015220892487E-2</v>
      </c>
      <c r="DR72" s="95">
        <f t="shared" si="263"/>
        <v>333.06144927536235</v>
      </c>
      <c r="DS72" s="99">
        <f t="shared" si="264"/>
        <v>4.819391023311124E-3</v>
      </c>
      <c r="DT72" s="97">
        <f t="shared" si="265"/>
        <v>4.0695626918681518E-3</v>
      </c>
      <c r="DU72" s="98">
        <f t="shared" si="266"/>
        <v>40.78763285024155</v>
      </c>
      <c r="DV72" s="94">
        <f t="shared" si="267"/>
        <v>1.861886383135182E-2</v>
      </c>
      <c r="DW72" s="100">
        <f t="shared" si="268"/>
        <v>1.572203484766942E-2</v>
      </c>
      <c r="DX72" s="95">
        <f t="shared" si="269"/>
        <v>157.57579710144927</v>
      </c>
      <c r="DY72" s="99">
        <f t="shared" si="270"/>
        <v>4.561638597244437E-2</v>
      </c>
      <c r="DZ72" s="98">
        <f t="shared" si="271"/>
        <v>457.19516908212557</v>
      </c>
      <c r="EA72" s="94">
        <f t="shared" si="226"/>
        <v>2.529031080611221E-3</v>
      </c>
      <c r="EB72" s="95">
        <f t="shared" si="227"/>
        <v>25.347487922705316</v>
      </c>
      <c r="EC72" s="103">
        <f>IFERROR(VLOOKUP(A72,PP!$E$3:$S$130,14,0),0)</f>
        <v>64</v>
      </c>
    </row>
    <row r="73" spans="1:227">
      <c r="A73" s="26">
        <v>3316</v>
      </c>
      <c r="B73" s="125">
        <v>10100</v>
      </c>
      <c r="C73" s="26" t="s">
        <v>95</v>
      </c>
      <c r="D73" s="88">
        <f>IFERROR(_xlfn.XLOOKUP($A73,CFR20252026_BenchMarkDataReport!$B:$B,CFR20252026_BenchMarkDataReport!S:S),0)</f>
        <v>1208534.79</v>
      </c>
      <c r="E73" s="88">
        <f>IFERROR(_xlfn.XLOOKUP($A73,CFR20252026_BenchMarkDataReport!$B:$B,CFR20252026_BenchMarkDataReport!T:T),0)</f>
        <v>0</v>
      </c>
      <c r="F73" s="88">
        <f>IFERROR(_xlfn.XLOOKUP($A73,CFR20252026_BenchMarkDataReport!$B:$B,CFR20252026_BenchMarkDataReport!U:U),0)</f>
        <v>94584.01</v>
      </c>
      <c r="G73" s="88">
        <f>IFERROR(_xlfn.XLOOKUP($A73,CFR20252026_BenchMarkDataReport!$B:$B,CFR20252026_BenchMarkDataReport!V:V),0)</f>
        <v>0</v>
      </c>
      <c r="H73" s="88">
        <f>IFERROR(_xlfn.XLOOKUP($A73,CFR20252026_BenchMarkDataReport!$B:$B,CFR20252026_BenchMarkDataReport!W:W),0)</f>
        <v>31350</v>
      </c>
      <c r="I73" s="88">
        <f>IFERROR(_xlfn.XLOOKUP($A73,CFR20252026_BenchMarkDataReport!$B:$B,CFR20252026_BenchMarkDataReport!X:X),0)</f>
        <v>56861.9</v>
      </c>
      <c r="J73" s="88">
        <f>IFERROR(_xlfn.XLOOKUP($A73,CFR20252026_BenchMarkDataReport!$B:$B,CFR20252026_BenchMarkDataReport!Y:Y),0)</f>
        <v>73701.09</v>
      </c>
      <c r="K73" s="88">
        <f>IFERROR(_xlfn.XLOOKUP($A73,CFR20252026_BenchMarkDataReport!$B:$B,CFR20252026_BenchMarkDataReport!Z:Z),0)</f>
        <v>1924</v>
      </c>
      <c r="L73" s="88">
        <f>IFERROR(_xlfn.XLOOKUP($A73,CFR20252026_BenchMarkDataReport!$B:$B,CFR20252026_BenchMarkDataReport!AA:AA),0)</f>
        <v>51916.13</v>
      </c>
      <c r="M73" s="88">
        <f>IFERROR(_xlfn.XLOOKUP($A73,CFR20252026_BenchMarkDataReport!$B:$B,CFR20252026_BenchMarkDataReport!AB:AB),0)</f>
        <v>1452.18</v>
      </c>
      <c r="N73" s="88">
        <f>IFERROR(_xlfn.XLOOKUP($A73,CFR20252026_BenchMarkDataReport!$B:$B,CFR20252026_BenchMarkDataReport!AC:AC),0)</f>
        <v>0</v>
      </c>
      <c r="O73" s="88">
        <f>IFERROR(_xlfn.XLOOKUP($A73,CFR20252026_BenchMarkDataReport!$B:$B,CFR20252026_BenchMarkDataReport!AD:AD),0)</f>
        <v>0</v>
      </c>
      <c r="P73" s="88">
        <f>IFERROR(_xlfn.XLOOKUP($A73,CFR20252026_BenchMarkDataReport!$B:$B,CFR20252026_BenchMarkDataReport!AE:AE),0)</f>
        <v>29971.34</v>
      </c>
      <c r="Q73" s="88">
        <f>IFERROR(_xlfn.XLOOKUP($A73,CFR20252026_BenchMarkDataReport!$B:$B,CFR20252026_BenchMarkDataReport!AF:AF),0)</f>
        <v>25128.89</v>
      </c>
      <c r="R73" s="88">
        <f>IFERROR(_xlfn.XLOOKUP($A73,CFR20252026_BenchMarkDataReport!$B:$B,CFR20252026_BenchMarkDataReport!AG:AG),0)</f>
        <v>0</v>
      </c>
      <c r="S73" s="88">
        <f>IFERROR(_xlfn.XLOOKUP($A73,CFR20252026_BenchMarkDataReport!$B:$B,CFR20252026_BenchMarkDataReport!AH:AH),0)</f>
        <v>0</v>
      </c>
      <c r="T73" s="88">
        <f>IFERROR(_xlfn.XLOOKUP($A73,CFR20252026_BenchMarkDataReport!$B:$B,CFR20252026_BenchMarkDataReport!AI:AI),0)</f>
        <v>0</v>
      </c>
      <c r="U73" s="88">
        <f>IFERROR(_xlfn.XLOOKUP($A73,CFR20252026_BenchMarkDataReport!$B:$B,CFR20252026_BenchMarkDataReport!AJ:AJ),0)</f>
        <v>826124.1</v>
      </c>
      <c r="V73" s="88">
        <f>IFERROR(_xlfn.XLOOKUP($A73,CFR20252026_BenchMarkDataReport!$B:$B,CFR20252026_BenchMarkDataReport!AK:AK),0)</f>
        <v>0</v>
      </c>
      <c r="W73" s="88">
        <f>IFERROR(_xlfn.XLOOKUP($A73,CFR20252026_BenchMarkDataReport!$B:$B,CFR20252026_BenchMarkDataReport!AL:AL),0)</f>
        <v>240850.02</v>
      </c>
      <c r="X73" s="88">
        <f>IFERROR(_xlfn.XLOOKUP($A73,CFR20252026_BenchMarkDataReport!$B:$B,CFR20252026_BenchMarkDataReport!AM:AM),0)</f>
        <v>21704.84</v>
      </c>
      <c r="Y73" s="88">
        <f>IFERROR(_xlfn.XLOOKUP($A73,CFR20252026_BenchMarkDataReport!$B:$B,CFR20252026_BenchMarkDataReport!AN:AN),0)</f>
        <v>52219.65</v>
      </c>
      <c r="Z73" s="88">
        <f>IFERROR(_xlfn.XLOOKUP($A73,CFR20252026_BenchMarkDataReport!$B:$B,CFR20252026_BenchMarkDataReport!AO:AO),0)</f>
        <v>0</v>
      </c>
      <c r="AA73" s="88">
        <f>IFERROR(_xlfn.XLOOKUP($A73,CFR20252026_BenchMarkDataReport!$B:$B,CFR20252026_BenchMarkDataReport!AP:AP),0)</f>
        <v>62540.83</v>
      </c>
      <c r="AB73" s="88">
        <f>IFERROR(_xlfn.XLOOKUP($A73,CFR20252026_BenchMarkDataReport!$B:$B,CFR20252026_BenchMarkDataReport!AQ:AQ),0)</f>
        <v>729.29</v>
      </c>
      <c r="AC73" s="88">
        <f>IFERROR(_xlfn.XLOOKUP($A73,CFR20252026_BenchMarkDataReport!$B:$B,CFR20252026_BenchMarkDataReport!AR:AR),0)</f>
        <v>4428.8900000000003</v>
      </c>
      <c r="AD73" s="88">
        <f>IFERROR(_xlfn.XLOOKUP($A73,CFR20252026_BenchMarkDataReport!$B:$B,CFR20252026_BenchMarkDataReport!AS:AS),0)</f>
        <v>4051.56</v>
      </c>
      <c r="AE73" s="88">
        <f>IFERROR(_xlfn.XLOOKUP($A73,CFR20252026_BenchMarkDataReport!$B:$B,CFR20252026_BenchMarkDataReport!AT:AT),0)</f>
        <v>0</v>
      </c>
      <c r="AF73" s="88">
        <f>IFERROR(_xlfn.XLOOKUP($A73,CFR20252026_BenchMarkDataReport!$B:$B,CFR20252026_BenchMarkDataReport!AU:AU),0)</f>
        <v>9714.06</v>
      </c>
      <c r="AG73" s="88">
        <f>IFERROR(_xlfn.XLOOKUP($A73,CFR20252026_BenchMarkDataReport!$B:$B,CFR20252026_BenchMarkDataReport!AV:AV),0)</f>
        <v>0</v>
      </c>
      <c r="AH73" s="88">
        <f>IFERROR(_xlfn.XLOOKUP($A73,CFR20252026_BenchMarkDataReport!$B:$B,CFR20252026_BenchMarkDataReport!AW:AW),0)</f>
        <v>12665</v>
      </c>
      <c r="AI73" s="88">
        <f>IFERROR(_xlfn.XLOOKUP($A73,CFR20252026_BenchMarkDataReport!$B:$B,CFR20252026_BenchMarkDataReport!AX:AX),0)</f>
        <v>4697.57</v>
      </c>
      <c r="AJ73" s="88">
        <f>IFERROR(_xlfn.XLOOKUP($A73,CFR20252026_BenchMarkDataReport!$B:$B,CFR20252026_BenchMarkDataReport!AY:AY),0)</f>
        <v>12038.45</v>
      </c>
      <c r="AK73" s="88">
        <f>IFERROR(_xlfn.XLOOKUP($A73,CFR20252026_BenchMarkDataReport!$B:$B,CFR20252026_BenchMarkDataReport!AZ:AZ),0)</f>
        <v>4088.7</v>
      </c>
      <c r="AL73" s="88">
        <f>IFERROR(_xlfn.XLOOKUP($A73,CFR20252026_BenchMarkDataReport!$B:$B,CFR20252026_BenchMarkDataReport!BA:BA),0)</f>
        <v>7391.95</v>
      </c>
      <c r="AM73" s="88">
        <f>IFERROR(_xlfn.XLOOKUP($A73,CFR20252026_BenchMarkDataReport!$B:$B,CFR20252026_BenchMarkDataReport!BB:BB),0)</f>
        <v>74824.929999999993</v>
      </c>
      <c r="AN73" s="88">
        <f>IFERROR(_xlfn.XLOOKUP($A73,CFR20252026_BenchMarkDataReport!$B:$B,CFR20252026_BenchMarkDataReport!BC:BC),0)</f>
        <v>5100.05</v>
      </c>
      <c r="AO73" s="88">
        <f>IFERROR(_xlfn.XLOOKUP($A73,CFR20252026_BenchMarkDataReport!$B:$B,CFR20252026_BenchMarkDataReport!BD:BD),0)</f>
        <v>0</v>
      </c>
      <c r="AP73" s="88">
        <f>IFERROR(_xlfn.XLOOKUP($A73,CFR20252026_BenchMarkDataReport!$B:$B,CFR20252026_BenchMarkDataReport!BE:BE),0)</f>
        <v>0</v>
      </c>
      <c r="AQ73" s="88">
        <f>IFERROR(_xlfn.XLOOKUP($A73,CFR20252026_BenchMarkDataReport!$B:$B,CFR20252026_BenchMarkDataReport!BF:BF),0)</f>
        <v>1652.75</v>
      </c>
      <c r="AR73" s="88">
        <f>IFERROR(_xlfn.XLOOKUP($A73,CFR20252026_BenchMarkDataReport!$B:$B,CFR20252026_BenchMarkDataReport!BG:BG),0)</f>
        <v>1589.19</v>
      </c>
      <c r="AS73" s="88">
        <f>IFERROR(_xlfn.XLOOKUP($A73,CFR20252026_BenchMarkDataReport!$B:$B,CFR20252026_BenchMarkDataReport!BH:BH),0)</f>
        <v>0</v>
      </c>
      <c r="AT73" s="88">
        <f>IFERROR(_xlfn.XLOOKUP($A73,CFR20252026_BenchMarkDataReport!$B:$B,CFR20252026_BenchMarkDataReport!BI:BI),0)</f>
        <v>0</v>
      </c>
      <c r="AU73" s="88">
        <f>IFERROR(_xlfn.XLOOKUP($A73,CFR20252026_BenchMarkDataReport!$B:$B,CFR20252026_BenchMarkDataReport!BJ:BJ),0)</f>
        <v>0</v>
      </c>
      <c r="AV73" s="88">
        <f>IFERROR(_xlfn.XLOOKUP($A73,CFR20252026_BenchMarkDataReport!$B:$B,CFR20252026_BenchMarkDataReport!BK:BK),0)</f>
        <v>11285.36</v>
      </c>
      <c r="AW73" s="88">
        <f>IFERROR(_xlfn.XLOOKUP($A73,CFR20252026_BenchMarkDataReport!$B:$B,CFR20252026_BenchMarkDataReport!BL:BL),0)</f>
        <v>8539.74</v>
      </c>
      <c r="AX73" s="88">
        <f>IFERROR(_xlfn.XLOOKUP($A73,CFR20252026_BenchMarkDataReport!$B:$B,CFR20252026_BenchMarkDataReport!BM:BM),0)</f>
        <v>19091.009999999998</v>
      </c>
      <c r="AY73" s="88">
        <f>IFERROR(_xlfn.XLOOKUP($A73,CFR20252026_BenchMarkDataReport!$B:$B,CFR20252026_BenchMarkDataReport!BN:BN),0)</f>
        <v>79837.850000000006</v>
      </c>
      <c r="AZ73" s="88">
        <f>IFERROR(_xlfn.XLOOKUP($A73,CFR20252026_BenchMarkDataReport!$B:$B,CFR20252026_BenchMarkDataReport!BO:BO),0)</f>
        <v>3895.72</v>
      </c>
      <c r="BA73" s="88">
        <f>IFERROR(_xlfn.XLOOKUP($A73,CFR20252026_BenchMarkDataReport!$B:$B,CFR20252026_BenchMarkDataReport!BP:BP),0)</f>
        <v>36547.65</v>
      </c>
      <c r="BB73" s="88">
        <f>IFERROR(_xlfn.XLOOKUP($A73,CFR20252026_BenchMarkDataReport!$B:$B,CFR20252026_BenchMarkDataReport!BQ:BQ),0)</f>
        <v>65856.58</v>
      </c>
      <c r="BC73" s="88">
        <f>IFERROR(_xlfn.XLOOKUP($A73,CFR20252026_BenchMarkDataReport!$B:$B,CFR20252026_BenchMarkDataReport!BR:BR),0)</f>
        <v>0</v>
      </c>
      <c r="BD73" s="88">
        <f>IFERROR(_xlfn.XLOOKUP($A73,CFR20252026_BenchMarkDataReport!$B:$B,CFR20252026_BenchMarkDataReport!BS:BS),0)</f>
        <v>0</v>
      </c>
      <c r="BE73" s="88">
        <f>IFERROR(_xlfn.XLOOKUP($A73,CFR20252026_BenchMarkDataReport!$B:$B,CFR20252026_BenchMarkDataReport!BT:BT),0)</f>
        <v>0</v>
      </c>
      <c r="BF73" s="88">
        <f>IFERROR(_xlfn.XLOOKUP($A73,CFR20252026_BenchMarkDataReport!$B:$B,CFR20252026_BenchMarkDataReport!BU:BU),0)</f>
        <v>0</v>
      </c>
      <c r="BG73" s="88">
        <f>IFERROR(_xlfn.XLOOKUP($A73,CFR20252026_BenchMarkDataReport!$B:$B,CFR20252026_BenchMarkDataReport!BV:BV),0)</f>
        <v>0</v>
      </c>
      <c r="BH73" s="89">
        <f t="shared" si="228"/>
        <v>1575424.3299999998</v>
      </c>
      <c r="BI73" s="90">
        <f t="shared" si="223"/>
        <v>1571465.74</v>
      </c>
      <c r="BJ73" s="126">
        <f t="shared" si="224"/>
        <v>3958.589999999851</v>
      </c>
      <c r="BK73" s="88">
        <f>IFERROR(_xlfn.XLOOKUP(A73,CFR20252026_BenchMarkDataReport!$B:$B,CFR20252026_BenchMarkDataReport!P:P)+_xlfn.XLOOKUP(A73,CFR20252026_BenchMarkDataReport!$B:$B,CFR20252026_BenchMarkDataReport!Q:Q),0)</f>
        <v>-49371</v>
      </c>
      <c r="BL73" s="89">
        <f t="shared" si="225"/>
        <v>-45412.410000000149</v>
      </c>
      <c r="BM73" s="91">
        <f>SUMIFS(PP!I:I,PP!E:E,A73)</f>
        <v>209</v>
      </c>
      <c r="BN73" s="90">
        <f t="shared" ref="BN73:BN79" si="272">D73+E73+F73</f>
        <v>1303118.8</v>
      </c>
      <c r="BO73" t="s">
        <v>173</v>
      </c>
      <c r="BP73" s="92">
        <f t="shared" si="203"/>
        <v>0.76711700269349026</v>
      </c>
      <c r="BQ73" s="93">
        <f t="shared" si="204"/>
        <v>5782.4631100478473</v>
      </c>
      <c r="BR73" s="94">
        <f t="shared" si="205"/>
        <v>0</v>
      </c>
      <c r="BS73" s="95">
        <f t="shared" si="206"/>
        <v>0</v>
      </c>
      <c r="BT73" s="92">
        <f t="shared" si="207"/>
        <v>6.0037164717393954E-2</v>
      </c>
      <c r="BU73" s="93">
        <f t="shared" si="208"/>
        <v>452.55507177033491</v>
      </c>
      <c r="BV73" s="94">
        <f t="shared" si="209"/>
        <v>0</v>
      </c>
      <c r="BW73" s="95">
        <f t="shared" si="210"/>
        <v>0</v>
      </c>
      <c r="BX73" s="92">
        <f t="shared" si="211"/>
        <v>1.9899400690352422E-2</v>
      </c>
      <c r="BY73" s="93">
        <f t="shared" si="212"/>
        <v>150</v>
      </c>
      <c r="BZ73" s="94">
        <f t="shared" si="213"/>
        <v>3.6093069604936218E-2</v>
      </c>
      <c r="CA73" s="95">
        <f t="shared" si="214"/>
        <v>272.06650717703349</v>
      </c>
      <c r="CB73" s="92">
        <f t="shared" si="215"/>
        <v>4.6781739114058245E-2</v>
      </c>
      <c r="CC73" s="93">
        <f t="shared" si="216"/>
        <v>352.63679425837319</v>
      </c>
      <c r="CD73" s="94">
        <f t="shared" si="217"/>
        <v>3.4175002235746862E-2</v>
      </c>
      <c r="CE73" s="96">
        <f t="shared" si="218"/>
        <v>257.60827751196172</v>
      </c>
      <c r="CF73" s="97">
        <f t="shared" si="219"/>
        <v>1.9024296774698156E-2</v>
      </c>
      <c r="CG73" s="98">
        <f t="shared" si="220"/>
        <v>143.40354066985645</v>
      </c>
      <c r="CH73" s="94">
        <f t="shared" si="221"/>
        <v>1.5950553461364914E-2</v>
      </c>
      <c r="CI73" s="95">
        <f t="shared" si="222"/>
        <v>120.23392344497607</v>
      </c>
      <c r="CJ73" s="99">
        <f t="shared" si="229"/>
        <v>0.63694869569835066</v>
      </c>
      <c r="CK73" s="97">
        <f t="shared" si="230"/>
        <v>0.52685476807381793</v>
      </c>
      <c r="CL73" s="97">
        <f t="shared" si="231"/>
        <v>0.52818193796576185</v>
      </c>
      <c r="CM73" s="98">
        <f t="shared" si="232"/>
        <v>3971.3866985645932</v>
      </c>
      <c r="CN73" s="94">
        <f t="shared" si="233"/>
        <v>0.18482583475888767</v>
      </c>
      <c r="CO73" s="100">
        <f t="shared" si="234"/>
        <v>0.15287945946600939</v>
      </c>
      <c r="CP73" s="100">
        <f t="shared" si="235"/>
        <v>0.15326456942039346</v>
      </c>
      <c r="CQ73" s="101">
        <f t="shared" si="236"/>
        <v>1152.3924401913875</v>
      </c>
      <c r="CR73" s="99">
        <f t="shared" si="237"/>
        <v>1.6656071572292565E-2</v>
      </c>
      <c r="CS73" s="97">
        <f t="shared" si="238"/>
        <v>1.3777139013715753E-2</v>
      </c>
      <c r="CT73" s="97">
        <f t="shared" si="239"/>
        <v>1.3811844221306409E-2</v>
      </c>
      <c r="CU73" s="98">
        <f t="shared" si="240"/>
        <v>103.8509090909091</v>
      </c>
      <c r="CV73" s="94">
        <f t="shared" si="241"/>
        <v>4.0072823751756172E-2</v>
      </c>
      <c r="CW73" s="100">
        <f t="shared" si="242"/>
        <v>3.3146403166186986E-2</v>
      </c>
      <c r="CX73" s="100">
        <f t="shared" si="243"/>
        <v>3.3229900385865235E-2</v>
      </c>
      <c r="CY73" s="95">
        <f t="shared" si="244"/>
        <v>249.85478468899521</v>
      </c>
      <c r="CZ73" s="99">
        <f t="shared" si="245"/>
        <v>0.92350708162601902</v>
      </c>
      <c r="DA73" s="97">
        <f t="shared" si="246"/>
        <v>0.76388273120042527</v>
      </c>
      <c r="DB73" s="97">
        <f t="shared" si="247"/>
        <v>0.76580698475806408</v>
      </c>
      <c r="DC73" s="98">
        <f t="shared" si="248"/>
        <v>5758.083444976076</v>
      </c>
      <c r="DD73" s="94">
        <f t="shared" si="249"/>
        <v>7.4544699992049835E-3</v>
      </c>
      <c r="DE73" s="100">
        <f t="shared" si="250"/>
        <v>6.181528335450698E-3</v>
      </c>
      <c r="DF73" s="95">
        <f t="shared" si="251"/>
        <v>46.478755980861244</v>
      </c>
      <c r="DG73" s="99">
        <f t="shared" si="252"/>
        <v>2.9892920223637837E-3</v>
      </c>
      <c r="DH73" s="98">
        <f t="shared" si="253"/>
        <v>22.476411483253589</v>
      </c>
      <c r="DI73" s="94">
        <f t="shared" si="254"/>
        <v>9.2381830420986948E-3</v>
      </c>
      <c r="DJ73" s="100">
        <f t="shared" si="255"/>
        <v>7.6606506229019034E-3</v>
      </c>
      <c r="DK73" s="95">
        <f t="shared" si="256"/>
        <v>57.600239234449766</v>
      </c>
      <c r="DL73" s="99">
        <f t="shared" si="257"/>
        <v>5.6725066049235105E-3</v>
      </c>
      <c r="DM73" s="97">
        <f t="shared" si="258"/>
        <v>4.7038569227732573E-3</v>
      </c>
      <c r="DN73" s="102">
        <f t="shared" si="259"/>
        <v>35.368181818181817</v>
      </c>
      <c r="DO73" s="94">
        <f t="shared" si="260"/>
        <v>5.7419883743523609E-2</v>
      </c>
      <c r="DP73" s="100">
        <f t="shared" si="261"/>
        <v>4.7495096130704038E-2</v>
      </c>
      <c r="DQ73" s="100">
        <f t="shared" si="262"/>
        <v>4.7614738327034729E-2</v>
      </c>
      <c r="DR73" s="95">
        <f t="shared" si="263"/>
        <v>358.01401913875594</v>
      </c>
      <c r="DS73" s="99">
        <f t="shared" si="264"/>
        <v>8.6602695011383461E-3</v>
      </c>
      <c r="DT73" s="97">
        <f t="shared" si="265"/>
        <v>7.1814228670362239E-3</v>
      </c>
      <c r="DU73" s="98">
        <f t="shared" si="266"/>
        <v>53.996937799043067</v>
      </c>
      <c r="DV73" s="94">
        <f t="shared" si="267"/>
        <v>2.8046291711853133E-2</v>
      </c>
      <c r="DW73" s="100">
        <f t="shared" si="268"/>
        <v>2.3257045361994338E-2</v>
      </c>
      <c r="DX73" s="95">
        <f t="shared" si="269"/>
        <v>174.86913875598086</v>
      </c>
      <c r="DY73" s="99">
        <f t="shared" si="270"/>
        <v>5.0804702875673256E-2</v>
      </c>
      <c r="DZ73" s="98">
        <f t="shared" si="271"/>
        <v>381.99928229665073</v>
      </c>
      <c r="EA73" s="94">
        <f t="shared" si="226"/>
        <v>8.0593548288236949E-3</v>
      </c>
      <c r="EB73" s="95">
        <f>IFERROR((AH73/BM73),0)</f>
        <v>60.598086124401917</v>
      </c>
      <c r="EC73" s="103">
        <f>IFERROR(VLOOKUP(A73,PP!$E$3:$S$130,14,0),0)</f>
        <v>20</v>
      </c>
    </row>
    <row r="74" spans="1:227">
      <c r="A74" s="26">
        <v>2055</v>
      </c>
      <c r="B74" s="125">
        <v>10101</v>
      </c>
      <c r="C74" s="26" t="s">
        <v>96</v>
      </c>
      <c r="D74" s="88">
        <f>IFERROR(_xlfn.XLOOKUP($A74,CFR20252026_BenchMarkDataReport!$B:$B,CFR20252026_BenchMarkDataReport!S:S),0)</f>
        <v>1253917.81</v>
      </c>
      <c r="E74" s="88">
        <f>IFERROR(_xlfn.XLOOKUP($A74,CFR20252026_BenchMarkDataReport!$B:$B,CFR20252026_BenchMarkDataReport!T:T),0)</f>
        <v>0</v>
      </c>
      <c r="F74" s="88">
        <f>IFERROR(_xlfn.XLOOKUP($A74,CFR20252026_BenchMarkDataReport!$B:$B,CFR20252026_BenchMarkDataReport!U:U),0)</f>
        <v>80093.279999999999</v>
      </c>
      <c r="G74" s="88">
        <f>IFERROR(_xlfn.XLOOKUP($A74,CFR20252026_BenchMarkDataReport!$B:$B,CFR20252026_BenchMarkDataReport!V:V),0)</f>
        <v>0</v>
      </c>
      <c r="H74" s="88">
        <f>IFERROR(_xlfn.XLOOKUP($A74,CFR20252026_BenchMarkDataReport!$B:$B,CFR20252026_BenchMarkDataReport!W:W),0)</f>
        <v>75750</v>
      </c>
      <c r="I74" s="88">
        <f>IFERROR(_xlfn.XLOOKUP($A74,CFR20252026_BenchMarkDataReport!$B:$B,CFR20252026_BenchMarkDataReport!X:X),0)</f>
        <v>54362.53</v>
      </c>
      <c r="J74" s="88">
        <f>IFERROR(_xlfn.XLOOKUP($A74,CFR20252026_BenchMarkDataReport!$B:$B,CFR20252026_BenchMarkDataReport!Y:Y),0)</f>
        <v>43275.09</v>
      </c>
      <c r="K74" s="88">
        <f>IFERROR(_xlfn.XLOOKUP($A74,CFR20252026_BenchMarkDataReport!$B:$B,CFR20252026_BenchMarkDataReport!Z:Z),0)</f>
        <v>3075</v>
      </c>
      <c r="L74" s="88">
        <f>IFERROR(_xlfn.XLOOKUP($A74,CFR20252026_BenchMarkDataReport!$B:$B,CFR20252026_BenchMarkDataReport!AA:AA),0)</f>
        <v>31265.63</v>
      </c>
      <c r="M74" s="88">
        <f>IFERROR(_xlfn.XLOOKUP($A74,CFR20252026_BenchMarkDataReport!$B:$B,CFR20252026_BenchMarkDataReport!AB:AB),0)</f>
        <v>493.87</v>
      </c>
      <c r="N74" s="88">
        <f>IFERROR(_xlfn.XLOOKUP($A74,CFR20252026_BenchMarkDataReport!$B:$B,CFR20252026_BenchMarkDataReport!AC:AC),0)</f>
        <v>0</v>
      </c>
      <c r="O74" s="88">
        <f>IFERROR(_xlfn.XLOOKUP($A74,CFR20252026_BenchMarkDataReport!$B:$B,CFR20252026_BenchMarkDataReport!AD:AD),0)</f>
        <v>49750</v>
      </c>
      <c r="P74" s="88">
        <f>IFERROR(_xlfn.XLOOKUP($A74,CFR20252026_BenchMarkDataReport!$B:$B,CFR20252026_BenchMarkDataReport!AE:AE),0)</f>
        <v>12736.14</v>
      </c>
      <c r="Q74" s="88">
        <f>IFERROR(_xlfn.XLOOKUP($A74,CFR20252026_BenchMarkDataReport!$B:$B,CFR20252026_BenchMarkDataReport!AF:AF),0)</f>
        <v>1428</v>
      </c>
      <c r="R74" s="88">
        <f>IFERROR(_xlfn.XLOOKUP($A74,CFR20252026_BenchMarkDataReport!$B:$B,CFR20252026_BenchMarkDataReport!AG:AG),0)</f>
        <v>0</v>
      </c>
      <c r="S74" s="88">
        <f>IFERROR(_xlfn.XLOOKUP($A74,CFR20252026_BenchMarkDataReport!$B:$B,CFR20252026_BenchMarkDataReport!AH:AH),0)</f>
        <v>0</v>
      </c>
      <c r="T74" s="88">
        <f>IFERROR(_xlfn.XLOOKUP($A74,CFR20252026_BenchMarkDataReport!$B:$B,CFR20252026_BenchMarkDataReport!AI:AI),0)</f>
        <v>0</v>
      </c>
      <c r="U74" s="88">
        <f>IFERROR(_xlfn.XLOOKUP($A74,CFR20252026_BenchMarkDataReport!$B:$B,CFR20252026_BenchMarkDataReport!AJ:AJ),0)</f>
        <v>881743.97</v>
      </c>
      <c r="V74" s="88">
        <f>IFERROR(_xlfn.XLOOKUP($A74,CFR20252026_BenchMarkDataReport!$B:$B,CFR20252026_BenchMarkDataReport!AK:AK),0)</f>
        <v>0</v>
      </c>
      <c r="W74" s="88">
        <f>IFERROR(_xlfn.XLOOKUP($A74,CFR20252026_BenchMarkDataReport!$B:$B,CFR20252026_BenchMarkDataReport!AL:AL),0)</f>
        <v>448297.9</v>
      </c>
      <c r="X74" s="88">
        <f>IFERROR(_xlfn.XLOOKUP($A74,CFR20252026_BenchMarkDataReport!$B:$B,CFR20252026_BenchMarkDataReport!AM:AM),0)</f>
        <v>45778.7</v>
      </c>
      <c r="Y74" s="88">
        <f>IFERROR(_xlfn.XLOOKUP($A74,CFR20252026_BenchMarkDataReport!$B:$B,CFR20252026_BenchMarkDataReport!AN:AN),0)</f>
        <v>60656.41</v>
      </c>
      <c r="Z74" s="88">
        <f>IFERROR(_xlfn.XLOOKUP($A74,CFR20252026_BenchMarkDataReport!$B:$B,CFR20252026_BenchMarkDataReport!AO:AO),0)</f>
        <v>0</v>
      </c>
      <c r="AA74" s="88">
        <f>IFERROR(_xlfn.XLOOKUP($A74,CFR20252026_BenchMarkDataReport!$B:$B,CFR20252026_BenchMarkDataReport!AP:AP),0)</f>
        <v>46650.29</v>
      </c>
      <c r="AB74" s="88">
        <f>IFERROR(_xlfn.XLOOKUP($A74,CFR20252026_BenchMarkDataReport!$B:$B,CFR20252026_BenchMarkDataReport!AQ:AQ),0)</f>
        <v>7616.58</v>
      </c>
      <c r="AC74" s="88">
        <f>IFERROR(_xlfn.XLOOKUP($A74,CFR20252026_BenchMarkDataReport!$B:$B,CFR20252026_BenchMarkDataReport!AR:AR),0)</f>
        <v>4286.01</v>
      </c>
      <c r="AD74" s="88">
        <f>IFERROR(_xlfn.XLOOKUP($A74,CFR20252026_BenchMarkDataReport!$B:$B,CFR20252026_BenchMarkDataReport!AS:AS),0)</f>
        <v>311.22000000000003</v>
      </c>
      <c r="AE74" s="88">
        <f>IFERROR(_xlfn.XLOOKUP($A74,CFR20252026_BenchMarkDataReport!$B:$B,CFR20252026_BenchMarkDataReport!AT:AT),0)</f>
        <v>0</v>
      </c>
      <c r="AF74" s="88">
        <f>IFERROR(_xlfn.XLOOKUP($A74,CFR20252026_BenchMarkDataReport!$B:$B,CFR20252026_BenchMarkDataReport!AU:AU),0)</f>
        <v>96426.92</v>
      </c>
      <c r="AG74" s="88">
        <f>IFERROR(_xlfn.XLOOKUP($A74,CFR20252026_BenchMarkDataReport!$B:$B,CFR20252026_BenchMarkDataReport!AV:AV),0)</f>
        <v>4979.3999999999996</v>
      </c>
      <c r="AH74" s="88">
        <f>IFERROR(_xlfn.XLOOKUP($A74,CFR20252026_BenchMarkDataReport!$B:$B,CFR20252026_BenchMarkDataReport!AW:AW),0)</f>
        <v>33252.410000000003</v>
      </c>
      <c r="AI74" s="88">
        <f>IFERROR(_xlfn.XLOOKUP($A74,CFR20252026_BenchMarkDataReport!$B:$B,CFR20252026_BenchMarkDataReport!AX:AX),0)</f>
        <v>3608.36</v>
      </c>
      <c r="AJ74" s="88">
        <f>IFERROR(_xlfn.XLOOKUP($A74,CFR20252026_BenchMarkDataReport!$B:$B,CFR20252026_BenchMarkDataReport!AY:AY),0)</f>
        <v>38307.94</v>
      </c>
      <c r="AK74" s="88">
        <f>IFERROR(_xlfn.XLOOKUP($A74,CFR20252026_BenchMarkDataReport!$B:$B,CFR20252026_BenchMarkDataReport!AZ:AZ),0)</f>
        <v>32097.07</v>
      </c>
      <c r="AL74" s="88">
        <f>IFERROR(_xlfn.XLOOKUP($A74,CFR20252026_BenchMarkDataReport!$B:$B,CFR20252026_BenchMarkDataReport!BA:BA),0)</f>
        <v>8334.11</v>
      </c>
      <c r="AM74" s="88">
        <f>IFERROR(_xlfn.XLOOKUP($A74,CFR20252026_BenchMarkDataReport!$B:$B,CFR20252026_BenchMarkDataReport!BB:BB),0)</f>
        <v>49761.61</v>
      </c>
      <c r="AN74" s="88">
        <f>IFERROR(_xlfn.XLOOKUP($A74,CFR20252026_BenchMarkDataReport!$B:$B,CFR20252026_BenchMarkDataReport!BC:BC),0)</f>
        <v>10088.629999999999</v>
      </c>
      <c r="AO74" s="88">
        <f>IFERROR(_xlfn.XLOOKUP($A74,CFR20252026_BenchMarkDataReport!$B:$B,CFR20252026_BenchMarkDataReport!BD:BD),0)</f>
        <v>0</v>
      </c>
      <c r="AP74" s="88">
        <f>IFERROR(_xlfn.XLOOKUP($A74,CFR20252026_BenchMarkDataReport!$B:$B,CFR20252026_BenchMarkDataReport!BE:BE),0)</f>
        <v>683.79</v>
      </c>
      <c r="AQ74" s="88">
        <f>IFERROR(_xlfn.XLOOKUP($A74,CFR20252026_BenchMarkDataReport!$B:$B,CFR20252026_BenchMarkDataReport!BF:BF),0)</f>
        <v>12033.2</v>
      </c>
      <c r="AR74" s="88">
        <f>IFERROR(_xlfn.XLOOKUP($A74,CFR20252026_BenchMarkDataReport!$B:$B,CFR20252026_BenchMarkDataReport!BG:BG),0)</f>
        <v>1649.97</v>
      </c>
      <c r="AS74" s="88">
        <f>IFERROR(_xlfn.XLOOKUP($A74,CFR20252026_BenchMarkDataReport!$B:$B,CFR20252026_BenchMarkDataReport!BH:BH),0)</f>
        <v>389.34</v>
      </c>
      <c r="AT74" s="88">
        <f>IFERROR(_xlfn.XLOOKUP($A74,CFR20252026_BenchMarkDataReport!$B:$B,CFR20252026_BenchMarkDataReport!BI:BI),0)</f>
        <v>8078.87</v>
      </c>
      <c r="AU74" s="88">
        <f>IFERROR(_xlfn.XLOOKUP($A74,CFR20252026_BenchMarkDataReport!$B:$B,CFR20252026_BenchMarkDataReport!BJ:BJ),0)</f>
        <v>0</v>
      </c>
      <c r="AV74" s="88">
        <f>IFERROR(_xlfn.XLOOKUP($A74,CFR20252026_BenchMarkDataReport!$B:$B,CFR20252026_BenchMarkDataReport!BK:BK),0)</f>
        <v>615.59</v>
      </c>
      <c r="AW74" s="88">
        <f>IFERROR(_xlfn.XLOOKUP($A74,CFR20252026_BenchMarkDataReport!$B:$B,CFR20252026_BenchMarkDataReport!BL:BL),0)</f>
        <v>7976.16</v>
      </c>
      <c r="AX74" s="88">
        <f>IFERROR(_xlfn.XLOOKUP($A74,CFR20252026_BenchMarkDataReport!$B:$B,CFR20252026_BenchMarkDataReport!BM:BM),0)</f>
        <v>19151.05</v>
      </c>
      <c r="AY74" s="88">
        <f>IFERROR(_xlfn.XLOOKUP($A74,CFR20252026_BenchMarkDataReport!$B:$B,CFR20252026_BenchMarkDataReport!BN:BN),0)</f>
        <v>61915.1</v>
      </c>
      <c r="AZ74" s="88">
        <f>IFERROR(_xlfn.XLOOKUP($A74,CFR20252026_BenchMarkDataReport!$B:$B,CFR20252026_BenchMarkDataReport!BO:BO),0)</f>
        <v>64242.720000000001</v>
      </c>
      <c r="BA74" s="88">
        <f>IFERROR(_xlfn.XLOOKUP($A74,CFR20252026_BenchMarkDataReport!$B:$B,CFR20252026_BenchMarkDataReport!BP:BP),0)</f>
        <v>180621.68</v>
      </c>
      <c r="BB74" s="88">
        <f>IFERROR(_xlfn.XLOOKUP($A74,CFR20252026_BenchMarkDataReport!$B:$B,CFR20252026_BenchMarkDataReport!BQ:BQ),0)</f>
        <v>21484.94</v>
      </c>
      <c r="BC74" s="88">
        <f>IFERROR(_xlfn.XLOOKUP($A74,CFR20252026_BenchMarkDataReport!$B:$B,CFR20252026_BenchMarkDataReport!BR:BR),0)</f>
        <v>0</v>
      </c>
      <c r="BD74" s="88">
        <f>IFERROR(_xlfn.XLOOKUP($A74,CFR20252026_BenchMarkDataReport!$B:$B,CFR20252026_BenchMarkDataReport!BS:BS),0)</f>
        <v>0</v>
      </c>
      <c r="BE74" s="88">
        <f>IFERROR(_xlfn.XLOOKUP($A74,CFR20252026_BenchMarkDataReport!$B:$B,CFR20252026_BenchMarkDataReport!BT:BT),0)</f>
        <v>45067</v>
      </c>
      <c r="BF74" s="88">
        <f>IFERROR(_xlfn.XLOOKUP($A74,CFR20252026_BenchMarkDataReport!$B:$B,CFR20252026_BenchMarkDataReport!BU:BU),0)</f>
        <v>0</v>
      </c>
      <c r="BG74" s="88">
        <f>IFERROR(_xlfn.XLOOKUP($A74,CFR20252026_BenchMarkDataReport!$B:$B,CFR20252026_BenchMarkDataReport!BV:BV),0)</f>
        <v>0</v>
      </c>
      <c r="BH74" s="89">
        <f t="shared" si="228"/>
        <v>1606147.35</v>
      </c>
      <c r="BI74" s="90">
        <f t="shared" si="223"/>
        <v>2196106.9400000004</v>
      </c>
      <c r="BJ74" s="126">
        <f t="shared" si="224"/>
        <v>-589959.59000000032</v>
      </c>
      <c r="BK74" s="88">
        <f>IFERROR(_xlfn.XLOOKUP(A74,CFR20252026_BenchMarkDataReport!$B:$B,CFR20252026_BenchMarkDataReport!P:P)+_xlfn.XLOOKUP(A74,CFR20252026_BenchMarkDataReport!$B:$B,CFR20252026_BenchMarkDataReport!Q:Q),0)</f>
        <v>-900242.41</v>
      </c>
      <c r="BL74" s="89">
        <f t="shared" si="225"/>
        <v>-1490202.0000000005</v>
      </c>
      <c r="BM74" s="91">
        <f>SUMIFS(PP!I:I,PP!E:E,A74)</f>
        <v>182</v>
      </c>
      <c r="BN74" s="90">
        <f t="shared" si="272"/>
        <v>1334011.0900000001</v>
      </c>
      <c r="BO74" t="s">
        <v>173</v>
      </c>
      <c r="BP74" s="92">
        <f t="shared" si="203"/>
        <v>0.78069911207088194</v>
      </c>
      <c r="BQ74" s="93">
        <f t="shared" si="204"/>
        <v>6889.6582967032973</v>
      </c>
      <c r="BR74" s="94">
        <f t="shared" si="205"/>
        <v>0</v>
      </c>
      <c r="BS74" s="95">
        <f t="shared" si="206"/>
        <v>0</v>
      </c>
      <c r="BT74" s="92">
        <f t="shared" si="207"/>
        <v>4.9866707435030785E-2</v>
      </c>
      <c r="BU74" s="93">
        <f t="shared" si="208"/>
        <v>440.07296703296703</v>
      </c>
      <c r="BV74" s="94">
        <f t="shared" si="209"/>
        <v>0</v>
      </c>
      <c r="BW74" s="95">
        <f t="shared" si="210"/>
        <v>0</v>
      </c>
      <c r="BX74" s="92">
        <f t="shared" si="211"/>
        <v>4.7162547072658059E-2</v>
      </c>
      <c r="BY74" s="93">
        <f t="shared" si="212"/>
        <v>416.20879120879118</v>
      </c>
      <c r="BZ74" s="94">
        <f t="shared" si="213"/>
        <v>3.3846539671469118E-2</v>
      </c>
      <c r="CA74" s="95">
        <f t="shared" si="214"/>
        <v>298.69521978021976</v>
      </c>
      <c r="CB74" s="92">
        <f t="shared" si="215"/>
        <v>2.6943412134633846E-2</v>
      </c>
      <c r="CC74" s="93">
        <f t="shared" si="216"/>
        <v>237.77521978021977</v>
      </c>
      <c r="CD74" s="94">
        <f t="shared" si="217"/>
        <v>2.1380746915904074E-2</v>
      </c>
      <c r="CE74" s="96">
        <f t="shared" si="218"/>
        <v>188.68478021978024</v>
      </c>
      <c r="CF74" s="97">
        <f t="shared" si="219"/>
        <v>7.9296211521315274E-3</v>
      </c>
      <c r="CG74" s="98">
        <f t="shared" si="220"/>
        <v>69.978791208791208</v>
      </c>
      <c r="CH74" s="94">
        <f t="shared" si="221"/>
        <v>8.8908405570634595E-4</v>
      </c>
      <c r="CI74" s="95">
        <f t="shared" si="222"/>
        <v>7.8461538461538458</v>
      </c>
      <c r="CJ74" s="99">
        <f t="shared" si="229"/>
        <v>0.70912955453766124</v>
      </c>
      <c r="CK74" s="97">
        <f t="shared" si="230"/>
        <v>0.58897876960043538</v>
      </c>
      <c r="CL74" s="97">
        <f t="shared" si="231"/>
        <v>0.43075620443146534</v>
      </c>
      <c r="CM74" s="98">
        <f t="shared" si="232"/>
        <v>5197.7290659340661</v>
      </c>
      <c r="CN74" s="94">
        <f t="shared" si="233"/>
        <v>0.3360526035806794</v>
      </c>
      <c r="CO74" s="100">
        <f t="shared" si="234"/>
        <v>0.27911380609008257</v>
      </c>
      <c r="CP74" s="100">
        <f t="shared" si="235"/>
        <v>0.20413300091843431</v>
      </c>
      <c r="CQ74" s="101">
        <f t="shared" si="236"/>
        <v>2463.1752747252749</v>
      </c>
      <c r="CR74" s="99">
        <f t="shared" si="237"/>
        <v>3.4316581281194594E-2</v>
      </c>
      <c r="CS74" s="97">
        <f t="shared" si="238"/>
        <v>2.8502179454456652E-2</v>
      </c>
      <c r="CT74" s="97">
        <f t="shared" si="239"/>
        <v>2.0845387429083935E-2</v>
      </c>
      <c r="CU74" s="98">
        <f t="shared" si="240"/>
        <v>251.53131868131865</v>
      </c>
      <c r="CV74" s="94">
        <f t="shared" si="241"/>
        <v>4.5469194712616672E-2</v>
      </c>
      <c r="CW74" s="100">
        <f t="shared" si="242"/>
        <v>3.7765158968758379E-2</v>
      </c>
      <c r="CX74" s="100">
        <f t="shared" si="243"/>
        <v>2.7619971001958579E-2</v>
      </c>
      <c r="CY74" s="95">
        <f t="shared" si="244"/>
        <v>333.27697802197804</v>
      </c>
      <c r="CZ74" s="99">
        <f t="shared" si="245"/>
        <v>1.1117803151096741</v>
      </c>
      <c r="DA74" s="97">
        <f t="shared" si="246"/>
        <v>0.92340672852960837</v>
      </c>
      <c r="DB74" s="97">
        <f t="shared" si="247"/>
        <v>0.67534382911243829</v>
      </c>
      <c r="DC74" s="98">
        <f t="shared" si="248"/>
        <v>8149.0509340659346</v>
      </c>
      <c r="DD74" s="94">
        <f t="shared" si="249"/>
        <v>7.2283447058899636E-2</v>
      </c>
      <c r="DE74" s="100">
        <f t="shared" si="250"/>
        <v>4.3908116787791752E-2</v>
      </c>
      <c r="DF74" s="95">
        <f t="shared" si="251"/>
        <v>529.8182417582417</v>
      </c>
      <c r="DG74" s="99">
        <f t="shared" si="252"/>
        <v>1.6430711702955592E-3</v>
      </c>
      <c r="DH74" s="98">
        <f t="shared" si="253"/>
        <v>19.826153846153847</v>
      </c>
      <c r="DI74" s="94">
        <f t="shared" si="254"/>
        <v>2.8716357972706209E-2</v>
      </c>
      <c r="DJ74" s="100">
        <f t="shared" si="255"/>
        <v>1.7443567661600302E-2</v>
      </c>
      <c r="DK74" s="95">
        <f t="shared" si="256"/>
        <v>210.48318681318682</v>
      </c>
      <c r="DL74" s="99">
        <f t="shared" si="257"/>
        <v>6.2474068337767721E-3</v>
      </c>
      <c r="DM74" s="97">
        <f t="shared" si="258"/>
        <v>3.7949472533427716E-3</v>
      </c>
      <c r="DN74" s="102">
        <f t="shared" si="259"/>
        <v>45.791813186813187</v>
      </c>
      <c r="DO74" s="94">
        <f t="shared" si="260"/>
        <v>3.7302246115510175E-2</v>
      </c>
      <c r="DP74" s="100">
        <f t="shared" si="261"/>
        <v>3.0981970614339958E-2</v>
      </c>
      <c r="DQ74" s="100">
        <f t="shared" si="262"/>
        <v>2.2659010403200123E-2</v>
      </c>
      <c r="DR74" s="95">
        <f t="shared" si="263"/>
        <v>273.41543956043955</v>
      </c>
      <c r="DS74" s="99">
        <f t="shared" si="264"/>
        <v>4.6145793285721484E-4</v>
      </c>
      <c r="DT74" s="97">
        <f t="shared" si="265"/>
        <v>2.8030966470148305E-4</v>
      </c>
      <c r="DU74" s="98">
        <f t="shared" si="266"/>
        <v>3.3823626373626374</v>
      </c>
      <c r="DV74" s="94">
        <f t="shared" si="267"/>
        <v>0.13539743511427629</v>
      </c>
      <c r="DW74" s="100">
        <f t="shared" si="268"/>
        <v>8.2246304453643754E-2</v>
      </c>
      <c r="DX74" s="95">
        <f t="shared" si="269"/>
        <v>992.42681318681309</v>
      </c>
      <c r="DY74" s="99">
        <f t="shared" si="270"/>
        <v>2.8193117043744685E-2</v>
      </c>
      <c r="DZ74" s="98">
        <f t="shared" si="271"/>
        <v>340.19285714285712</v>
      </c>
      <c r="EA74" s="94">
        <f t="shared" si="226"/>
        <v>1.5141525849374164E-2</v>
      </c>
      <c r="EB74" s="95">
        <f t="shared" si="227"/>
        <v>182.70554945054948</v>
      </c>
      <c r="EC74" s="103">
        <f>IFERROR(VLOOKUP(A74,PP!$E$3:$S$130,14,0),0)</f>
        <v>50</v>
      </c>
    </row>
    <row r="75" spans="1:227">
      <c r="A75" s="26">
        <v>2057</v>
      </c>
      <c r="B75" s="125">
        <v>10103</v>
      </c>
      <c r="C75" s="26" t="s">
        <v>97</v>
      </c>
      <c r="D75" s="88">
        <f>IFERROR(_xlfn.XLOOKUP($A75,CFR20252026_BenchMarkDataReport!$B:$B,CFR20252026_BenchMarkDataReport!S:S),0)</f>
        <v>3062263.13</v>
      </c>
      <c r="E75" s="88">
        <f>IFERROR(_xlfn.XLOOKUP($A75,CFR20252026_BenchMarkDataReport!$B:$B,CFR20252026_BenchMarkDataReport!T:T),0)</f>
        <v>0</v>
      </c>
      <c r="F75" s="88">
        <f>IFERROR(_xlfn.XLOOKUP($A75,CFR20252026_BenchMarkDataReport!$B:$B,CFR20252026_BenchMarkDataReport!U:U),0)</f>
        <v>232809.63</v>
      </c>
      <c r="G75" s="88">
        <f>IFERROR(_xlfn.XLOOKUP($A75,CFR20252026_BenchMarkDataReport!$B:$B,CFR20252026_BenchMarkDataReport!V:V),0)</f>
        <v>0</v>
      </c>
      <c r="H75" s="88">
        <f>IFERROR(_xlfn.XLOOKUP($A75,CFR20252026_BenchMarkDataReport!$B:$B,CFR20252026_BenchMarkDataReport!W:W),0)</f>
        <v>266640</v>
      </c>
      <c r="I75" s="88">
        <f>IFERROR(_xlfn.XLOOKUP($A75,CFR20252026_BenchMarkDataReport!$B:$B,CFR20252026_BenchMarkDataReport!X:X),0)</f>
        <v>79386.61</v>
      </c>
      <c r="J75" s="88">
        <f>IFERROR(_xlfn.XLOOKUP($A75,CFR20252026_BenchMarkDataReport!$B:$B,CFR20252026_BenchMarkDataReport!Y:Y),0)</f>
        <v>94056.27</v>
      </c>
      <c r="K75" s="88">
        <f>IFERROR(_xlfn.XLOOKUP($A75,CFR20252026_BenchMarkDataReport!$B:$B,CFR20252026_BenchMarkDataReport!Z:Z),0)</f>
        <v>13893.13</v>
      </c>
      <c r="L75" s="88">
        <f>IFERROR(_xlfn.XLOOKUP($A75,CFR20252026_BenchMarkDataReport!$B:$B,CFR20252026_BenchMarkDataReport!AA:AA),0)</f>
        <v>65643.09</v>
      </c>
      <c r="M75" s="88">
        <f>IFERROR(_xlfn.XLOOKUP($A75,CFR20252026_BenchMarkDataReport!$B:$B,CFR20252026_BenchMarkDataReport!AB:AB),0)</f>
        <v>0</v>
      </c>
      <c r="N75" s="88">
        <f>IFERROR(_xlfn.XLOOKUP($A75,CFR20252026_BenchMarkDataReport!$B:$B,CFR20252026_BenchMarkDataReport!AC:AC),0)</f>
        <v>0</v>
      </c>
      <c r="O75" s="88">
        <f>IFERROR(_xlfn.XLOOKUP($A75,CFR20252026_BenchMarkDataReport!$B:$B,CFR20252026_BenchMarkDataReport!AD:AD),0)</f>
        <v>0</v>
      </c>
      <c r="P75" s="88">
        <f>IFERROR(_xlfn.XLOOKUP($A75,CFR20252026_BenchMarkDataReport!$B:$B,CFR20252026_BenchMarkDataReport!AE:AE),0)</f>
        <v>40950.18</v>
      </c>
      <c r="Q75" s="88">
        <f>IFERROR(_xlfn.XLOOKUP($A75,CFR20252026_BenchMarkDataReport!$B:$B,CFR20252026_BenchMarkDataReport!AF:AF),0)</f>
        <v>27386.52</v>
      </c>
      <c r="R75" s="88">
        <f>IFERROR(_xlfn.XLOOKUP($A75,CFR20252026_BenchMarkDataReport!$B:$B,CFR20252026_BenchMarkDataReport!AG:AG),0)</f>
        <v>0</v>
      </c>
      <c r="S75" s="88">
        <f>IFERROR(_xlfn.XLOOKUP($A75,CFR20252026_BenchMarkDataReport!$B:$B,CFR20252026_BenchMarkDataReport!AH:AH),0)</f>
        <v>249367.6</v>
      </c>
      <c r="T75" s="88">
        <f>IFERROR(_xlfn.XLOOKUP($A75,CFR20252026_BenchMarkDataReport!$B:$B,CFR20252026_BenchMarkDataReport!AI:AI),0)</f>
        <v>0</v>
      </c>
      <c r="U75" s="88">
        <f>IFERROR(_xlfn.XLOOKUP($A75,CFR20252026_BenchMarkDataReport!$B:$B,CFR20252026_BenchMarkDataReport!AJ:AJ),0)</f>
        <v>1646789.25</v>
      </c>
      <c r="V75" s="88">
        <f>IFERROR(_xlfn.XLOOKUP($A75,CFR20252026_BenchMarkDataReport!$B:$B,CFR20252026_BenchMarkDataReport!AK:AK),0)</f>
        <v>0</v>
      </c>
      <c r="W75" s="88">
        <f>IFERROR(_xlfn.XLOOKUP($A75,CFR20252026_BenchMarkDataReport!$B:$B,CFR20252026_BenchMarkDataReport!AL:AL),0)</f>
        <v>852262.81</v>
      </c>
      <c r="X75" s="88">
        <f>IFERROR(_xlfn.XLOOKUP($A75,CFR20252026_BenchMarkDataReport!$B:$B,CFR20252026_BenchMarkDataReport!AM:AM),0)</f>
        <v>83428.460000000006</v>
      </c>
      <c r="Y75" s="88">
        <f>IFERROR(_xlfn.XLOOKUP($A75,CFR20252026_BenchMarkDataReport!$B:$B,CFR20252026_BenchMarkDataReport!AN:AN),0)</f>
        <v>116967.67</v>
      </c>
      <c r="Z75" s="88">
        <f>IFERROR(_xlfn.XLOOKUP($A75,CFR20252026_BenchMarkDataReport!$B:$B,CFR20252026_BenchMarkDataReport!AO:AO),0)</f>
        <v>0</v>
      </c>
      <c r="AA75" s="88">
        <f>IFERROR(_xlfn.XLOOKUP($A75,CFR20252026_BenchMarkDataReport!$B:$B,CFR20252026_BenchMarkDataReport!AP:AP),0)</f>
        <v>106969.31</v>
      </c>
      <c r="AB75" s="88">
        <f>IFERROR(_xlfn.XLOOKUP($A75,CFR20252026_BenchMarkDataReport!$B:$B,CFR20252026_BenchMarkDataReport!AQ:AQ),0)</f>
        <v>17627.71</v>
      </c>
      <c r="AC75" s="88">
        <f>IFERROR(_xlfn.XLOOKUP($A75,CFR20252026_BenchMarkDataReport!$B:$B,CFR20252026_BenchMarkDataReport!AR:AR),0)</f>
        <v>3257</v>
      </c>
      <c r="AD75" s="88">
        <f>IFERROR(_xlfn.XLOOKUP($A75,CFR20252026_BenchMarkDataReport!$B:$B,CFR20252026_BenchMarkDataReport!AS:AS),0)</f>
        <v>745.56</v>
      </c>
      <c r="AE75" s="88">
        <f>IFERROR(_xlfn.XLOOKUP($A75,CFR20252026_BenchMarkDataReport!$B:$B,CFR20252026_BenchMarkDataReport!AT:AT),0)</f>
        <v>0</v>
      </c>
      <c r="AF75" s="88">
        <f>IFERROR(_xlfn.XLOOKUP($A75,CFR20252026_BenchMarkDataReport!$B:$B,CFR20252026_BenchMarkDataReport!AU:AU),0)</f>
        <v>43134.27</v>
      </c>
      <c r="AG75" s="88">
        <f>IFERROR(_xlfn.XLOOKUP($A75,CFR20252026_BenchMarkDataReport!$B:$B,CFR20252026_BenchMarkDataReport!AV:AV),0)</f>
        <v>10980</v>
      </c>
      <c r="AH75" s="88">
        <f>IFERROR(_xlfn.XLOOKUP($A75,CFR20252026_BenchMarkDataReport!$B:$B,CFR20252026_BenchMarkDataReport!AW:AW),0)</f>
        <v>21709.14</v>
      </c>
      <c r="AI75" s="88">
        <f>IFERROR(_xlfn.XLOOKUP($A75,CFR20252026_BenchMarkDataReport!$B:$B,CFR20252026_BenchMarkDataReport!AX:AX),0)</f>
        <v>5770.18</v>
      </c>
      <c r="AJ75" s="88">
        <f>IFERROR(_xlfn.XLOOKUP($A75,CFR20252026_BenchMarkDataReport!$B:$B,CFR20252026_BenchMarkDataReport!AY:AY),0)</f>
        <v>41619.300000000003</v>
      </c>
      <c r="AK75" s="88">
        <f>IFERROR(_xlfn.XLOOKUP($A75,CFR20252026_BenchMarkDataReport!$B:$B,CFR20252026_BenchMarkDataReport!AZ:AZ),0)</f>
        <v>78466.39</v>
      </c>
      <c r="AL75" s="88">
        <f>IFERROR(_xlfn.XLOOKUP($A75,CFR20252026_BenchMarkDataReport!$B:$B,CFR20252026_BenchMarkDataReport!BA:BA),0)</f>
        <v>21231.68</v>
      </c>
      <c r="AM75" s="88">
        <f>IFERROR(_xlfn.XLOOKUP($A75,CFR20252026_BenchMarkDataReport!$B:$B,CFR20252026_BenchMarkDataReport!BB:BB),0)</f>
        <v>70019.839999999997</v>
      </c>
      <c r="AN75" s="88">
        <f>IFERROR(_xlfn.XLOOKUP($A75,CFR20252026_BenchMarkDataReport!$B:$B,CFR20252026_BenchMarkDataReport!BC:BC),0)</f>
        <v>4524.1899999999996</v>
      </c>
      <c r="AO75" s="88">
        <f>IFERROR(_xlfn.XLOOKUP($A75,CFR20252026_BenchMarkDataReport!$B:$B,CFR20252026_BenchMarkDataReport!BD:BD),0)</f>
        <v>50.12</v>
      </c>
      <c r="AP75" s="88">
        <f>IFERROR(_xlfn.XLOOKUP($A75,CFR20252026_BenchMarkDataReport!$B:$B,CFR20252026_BenchMarkDataReport!BE:BE),0)</f>
        <v>6770.83</v>
      </c>
      <c r="AQ75" s="88">
        <f>IFERROR(_xlfn.XLOOKUP($A75,CFR20252026_BenchMarkDataReport!$B:$B,CFR20252026_BenchMarkDataReport!BF:BF),0)</f>
        <v>10834.85</v>
      </c>
      <c r="AR75" s="88">
        <f>IFERROR(_xlfn.XLOOKUP($A75,CFR20252026_BenchMarkDataReport!$B:$B,CFR20252026_BenchMarkDataReport!BG:BG),0)</f>
        <v>0</v>
      </c>
      <c r="AS75" s="88">
        <f>IFERROR(_xlfn.XLOOKUP($A75,CFR20252026_BenchMarkDataReport!$B:$B,CFR20252026_BenchMarkDataReport!BH:BH),0)</f>
        <v>144.44999999999999</v>
      </c>
      <c r="AT75" s="88">
        <f>IFERROR(_xlfn.XLOOKUP($A75,CFR20252026_BenchMarkDataReport!$B:$B,CFR20252026_BenchMarkDataReport!BI:BI),0)</f>
        <v>16381.32</v>
      </c>
      <c r="AU75" s="88">
        <f>IFERROR(_xlfn.XLOOKUP($A75,CFR20252026_BenchMarkDataReport!$B:$B,CFR20252026_BenchMarkDataReport!BJ:BJ),0)</f>
        <v>0</v>
      </c>
      <c r="AV75" s="88">
        <f>IFERROR(_xlfn.XLOOKUP($A75,CFR20252026_BenchMarkDataReport!$B:$B,CFR20252026_BenchMarkDataReport!BK:BK),0)</f>
        <v>11570.25</v>
      </c>
      <c r="AW75" s="88">
        <f>IFERROR(_xlfn.XLOOKUP($A75,CFR20252026_BenchMarkDataReport!$B:$B,CFR20252026_BenchMarkDataReport!BL:BL),0)</f>
        <v>17216.73</v>
      </c>
      <c r="AX75" s="88">
        <f>IFERROR(_xlfn.XLOOKUP($A75,CFR20252026_BenchMarkDataReport!$B:$B,CFR20252026_BenchMarkDataReport!BM:BM),0)</f>
        <v>18577.32</v>
      </c>
      <c r="AY75" s="88">
        <f>IFERROR(_xlfn.XLOOKUP($A75,CFR20252026_BenchMarkDataReport!$B:$B,CFR20252026_BenchMarkDataReport!BN:BN),0)</f>
        <v>142801.20000000001</v>
      </c>
      <c r="AZ75" s="88">
        <f>IFERROR(_xlfn.XLOOKUP($A75,CFR20252026_BenchMarkDataReport!$B:$B,CFR20252026_BenchMarkDataReport!BO:BO),0)</f>
        <v>60131.86</v>
      </c>
      <c r="BA75" s="88">
        <f>IFERROR(_xlfn.XLOOKUP($A75,CFR20252026_BenchMarkDataReport!$B:$B,CFR20252026_BenchMarkDataReport!BP:BP),0)</f>
        <v>281168.28000000003</v>
      </c>
      <c r="BB75" s="88">
        <f>IFERROR(_xlfn.XLOOKUP($A75,CFR20252026_BenchMarkDataReport!$B:$B,CFR20252026_BenchMarkDataReport!BQ:BQ),0)</f>
        <v>34259.589999999997</v>
      </c>
      <c r="BC75" s="88">
        <f>IFERROR(_xlfn.XLOOKUP($A75,CFR20252026_BenchMarkDataReport!$B:$B,CFR20252026_BenchMarkDataReport!BR:BR),0)</f>
        <v>0</v>
      </c>
      <c r="BD75" s="88">
        <f>IFERROR(_xlfn.XLOOKUP($A75,CFR20252026_BenchMarkDataReport!$B:$B,CFR20252026_BenchMarkDataReport!BS:BS),0)</f>
        <v>0</v>
      </c>
      <c r="BE75" s="88">
        <f>IFERROR(_xlfn.XLOOKUP($A75,CFR20252026_BenchMarkDataReport!$B:$B,CFR20252026_BenchMarkDataReport!BT:BT),0)</f>
        <v>0</v>
      </c>
      <c r="BF75" s="88">
        <f>IFERROR(_xlfn.XLOOKUP($A75,CFR20252026_BenchMarkDataReport!$B:$B,CFR20252026_BenchMarkDataReport!BU:BU),0)</f>
        <v>161643.24</v>
      </c>
      <c r="BG75" s="88">
        <f>IFERROR(_xlfn.XLOOKUP($A75,CFR20252026_BenchMarkDataReport!$B:$B,CFR20252026_BenchMarkDataReport!BV:BV),0)</f>
        <v>97527.360000000001</v>
      </c>
      <c r="BH75" s="89">
        <f t="shared" si="228"/>
        <v>3883028.5599999996</v>
      </c>
      <c r="BI75" s="90">
        <f t="shared" si="223"/>
        <v>3725409.5600000005</v>
      </c>
      <c r="BJ75" s="126">
        <f t="shared" si="224"/>
        <v>157618.99999999907</v>
      </c>
      <c r="BK75" s="88">
        <f>IFERROR(_xlfn.XLOOKUP(A75,CFR20252026_BenchMarkDataReport!$B:$B,CFR20252026_BenchMarkDataReport!P:P)+_xlfn.XLOOKUP(A75,CFR20252026_BenchMarkDataReport!$B:$B,CFR20252026_BenchMarkDataReport!Q:Q),0)</f>
        <v>564519</v>
      </c>
      <c r="BL75" s="89">
        <f t="shared" si="225"/>
        <v>722137.99999999907</v>
      </c>
      <c r="BM75" s="91">
        <f>SUMIFS(PP!I:I,PP!E:E,A75)</f>
        <v>436</v>
      </c>
      <c r="BN75" s="90">
        <f t="shared" si="272"/>
        <v>3295072.76</v>
      </c>
      <c r="BO75" t="s">
        <v>173</v>
      </c>
      <c r="BP75" s="92">
        <f t="shared" si="203"/>
        <v>0.78862750625764133</v>
      </c>
      <c r="BQ75" s="93">
        <f t="shared" si="204"/>
        <v>7023.5392889908253</v>
      </c>
      <c r="BR75" s="94">
        <f t="shared" si="205"/>
        <v>0</v>
      </c>
      <c r="BS75" s="95">
        <f t="shared" si="206"/>
        <v>0</v>
      </c>
      <c r="BT75" s="92">
        <f t="shared" si="207"/>
        <v>5.9955683148516431E-2</v>
      </c>
      <c r="BU75" s="93">
        <f t="shared" si="208"/>
        <v>533.96704128440365</v>
      </c>
      <c r="BV75" s="94">
        <f t="shared" si="209"/>
        <v>0</v>
      </c>
      <c r="BW75" s="95">
        <f t="shared" si="210"/>
        <v>0</v>
      </c>
      <c r="BX75" s="92">
        <f t="shared" si="211"/>
        <v>6.8668050177823056E-2</v>
      </c>
      <c r="BY75" s="93">
        <f t="shared" si="212"/>
        <v>611.55963302752298</v>
      </c>
      <c r="BZ75" s="94">
        <f t="shared" si="213"/>
        <v>2.0444508396816944E-2</v>
      </c>
      <c r="CA75" s="95">
        <f t="shared" si="214"/>
        <v>182.07938073394496</v>
      </c>
      <c r="CB75" s="92">
        <f t="shared" si="215"/>
        <v>2.4222399744595238E-2</v>
      </c>
      <c r="CC75" s="93">
        <f t="shared" si="216"/>
        <v>215.72538990825689</v>
      </c>
      <c r="CD75" s="94">
        <f t="shared" si="217"/>
        <v>2.0483037600938999E-2</v>
      </c>
      <c r="CE75" s="96">
        <f t="shared" si="218"/>
        <v>182.42252293577982</v>
      </c>
      <c r="CF75" s="97">
        <f t="shared" si="219"/>
        <v>1.0545938400205845E-2</v>
      </c>
      <c r="CG75" s="98">
        <f t="shared" si="220"/>
        <v>93.922431192660554</v>
      </c>
      <c r="CH75" s="94">
        <f t="shared" si="221"/>
        <v>7.052876273462177E-3</v>
      </c>
      <c r="CI75" s="95">
        <f t="shared" si="222"/>
        <v>62.813119266055047</v>
      </c>
      <c r="CJ75" s="99">
        <f t="shared" si="229"/>
        <v>0.51802228185091737</v>
      </c>
      <c r="CK75" s="97">
        <f t="shared" si="230"/>
        <v>0.43958500011650709</v>
      </c>
      <c r="CL75" s="97">
        <f t="shared" si="231"/>
        <v>0.45818347822138511</v>
      </c>
      <c r="CM75" s="98">
        <f t="shared" si="232"/>
        <v>3914.9566743119267</v>
      </c>
      <c r="CN75" s="94">
        <f t="shared" si="233"/>
        <v>0.25864764515852456</v>
      </c>
      <c r="CO75" s="100">
        <f t="shared" si="234"/>
        <v>0.21948404366101293</v>
      </c>
      <c r="CP75" s="100">
        <f t="shared" si="235"/>
        <v>0.22877023217817694</v>
      </c>
      <c r="CQ75" s="101">
        <f t="shared" si="236"/>
        <v>1954.7312155963305</v>
      </c>
      <c r="CR75" s="99">
        <f t="shared" si="237"/>
        <v>2.5319155623137139E-2</v>
      </c>
      <c r="CS75" s="97">
        <f t="shared" si="238"/>
        <v>2.1485409831752567E-2</v>
      </c>
      <c r="CT75" s="97">
        <f t="shared" si="239"/>
        <v>2.2394439767315141E-2</v>
      </c>
      <c r="CU75" s="98">
        <f t="shared" si="240"/>
        <v>191.34967889908259</v>
      </c>
      <c r="CV75" s="94">
        <f t="shared" si="241"/>
        <v>3.549775028336552E-2</v>
      </c>
      <c r="CW75" s="100">
        <f t="shared" si="242"/>
        <v>3.0122794152201655E-2</v>
      </c>
      <c r="CX75" s="100">
        <f t="shared" si="243"/>
        <v>3.1397264680879805E-2</v>
      </c>
      <c r="CY75" s="95">
        <f t="shared" si="244"/>
        <v>268.27447247706419</v>
      </c>
      <c r="CZ75" s="99">
        <f t="shared" si="245"/>
        <v>0.85170122313171626</v>
      </c>
      <c r="DA75" s="97">
        <f t="shared" si="246"/>
        <v>0.72273934034623744</v>
      </c>
      <c r="DB75" s="97">
        <f t="shared" si="247"/>
        <v>0.75331784460229911</v>
      </c>
      <c r="DC75" s="98">
        <f t="shared" si="248"/>
        <v>6436.7373853211011</v>
      </c>
      <c r="DD75" s="94">
        <f t="shared" si="249"/>
        <v>1.3090536428700894E-2</v>
      </c>
      <c r="DE75" s="100">
        <f t="shared" si="250"/>
        <v>1.1578396765589444E-2</v>
      </c>
      <c r="DF75" s="95">
        <f t="shared" si="251"/>
        <v>98.931811926605491</v>
      </c>
      <c r="DG75" s="99">
        <f t="shared" si="252"/>
        <v>1.5488713138965583E-3</v>
      </c>
      <c r="DH75" s="98">
        <f t="shared" si="253"/>
        <v>13.234357798165139</v>
      </c>
      <c r="DI75" s="94">
        <f t="shared" si="254"/>
        <v>1.2630768129077673E-2</v>
      </c>
      <c r="DJ75" s="100">
        <f t="shared" si="255"/>
        <v>1.1171738121593267E-2</v>
      </c>
      <c r="DK75" s="95">
        <f t="shared" si="256"/>
        <v>95.457110091743132</v>
      </c>
      <c r="DL75" s="99">
        <f t="shared" si="257"/>
        <v>6.4434631786400983E-3</v>
      </c>
      <c r="DM75" s="97">
        <f t="shared" si="258"/>
        <v>5.6991532496094193E-3</v>
      </c>
      <c r="DN75" s="102">
        <f t="shared" si="259"/>
        <v>48.696513761467891</v>
      </c>
      <c r="DO75" s="94">
        <f t="shared" si="260"/>
        <v>2.1249861566031095E-2</v>
      </c>
      <c r="DP75" s="100">
        <f t="shared" si="261"/>
        <v>1.8032275302141996E-2</v>
      </c>
      <c r="DQ75" s="100">
        <f t="shared" si="262"/>
        <v>1.8795205969246501E-2</v>
      </c>
      <c r="DR75" s="95">
        <f t="shared" si="263"/>
        <v>160.5959633027523</v>
      </c>
      <c r="DS75" s="99">
        <f t="shared" si="264"/>
        <v>3.5113792145821995E-3</v>
      </c>
      <c r="DT75" s="97">
        <f t="shared" si="265"/>
        <v>3.1057659067155016E-3</v>
      </c>
      <c r="DU75" s="98">
        <f t="shared" si="266"/>
        <v>26.537270642201836</v>
      </c>
      <c r="DV75" s="94">
        <f t="shared" si="267"/>
        <v>8.5329915446237387E-2</v>
      </c>
      <c r="DW75" s="100">
        <f t="shared" si="268"/>
        <v>7.5473119256181859E-2</v>
      </c>
      <c r="DX75" s="95">
        <f t="shared" si="269"/>
        <v>644.88137614678908</v>
      </c>
      <c r="DY75" s="99">
        <f t="shared" si="270"/>
        <v>3.8331678088032818E-2</v>
      </c>
      <c r="DZ75" s="98">
        <f t="shared" si="271"/>
        <v>327.52568807339452</v>
      </c>
      <c r="EA75" s="94">
        <f t="shared" si="226"/>
        <v>5.8273163394147722E-3</v>
      </c>
      <c r="EB75" s="95">
        <f t="shared" si="227"/>
        <v>49.791605504587153</v>
      </c>
      <c r="EC75" s="103">
        <f>IFERROR(VLOOKUP(A75,PP!$E$3:$S$130,14,0),0)</f>
        <v>176</v>
      </c>
    </row>
    <row r="76" spans="1:227">
      <c r="A76" s="26">
        <v>2076</v>
      </c>
      <c r="B76" s="125">
        <v>10124</v>
      </c>
      <c r="C76" s="26" t="s">
        <v>98</v>
      </c>
      <c r="D76" s="88">
        <f>IFERROR(_xlfn.XLOOKUP($A76,CFR20252026_BenchMarkDataReport!$B:$B,CFR20252026_BenchMarkDataReport!S:S),0)</f>
        <v>1717542.45</v>
      </c>
      <c r="E76" s="88">
        <f>IFERROR(_xlfn.XLOOKUP($A76,CFR20252026_BenchMarkDataReport!$B:$B,CFR20252026_BenchMarkDataReport!T:T),0)</f>
        <v>0</v>
      </c>
      <c r="F76" s="88">
        <f>IFERROR(_xlfn.XLOOKUP($A76,CFR20252026_BenchMarkDataReport!$B:$B,CFR20252026_BenchMarkDataReport!U:U),0)</f>
        <v>192404.03</v>
      </c>
      <c r="G76" s="88">
        <f>IFERROR(_xlfn.XLOOKUP($A76,CFR20252026_BenchMarkDataReport!$B:$B,CFR20252026_BenchMarkDataReport!V:V),0)</f>
        <v>0</v>
      </c>
      <c r="H76" s="88">
        <f>IFERROR(_xlfn.XLOOKUP($A76,CFR20252026_BenchMarkDataReport!$B:$B,CFR20252026_BenchMarkDataReport!W:W),0)</f>
        <v>121200</v>
      </c>
      <c r="I76" s="88">
        <f>IFERROR(_xlfn.XLOOKUP($A76,CFR20252026_BenchMarkDataReport!$B:$B,CFR20252026_BenchMarkDataReport!X:X),0)</f>
        <v>53278.06</v>
      </c>
      <c r="J76" s="88">
        <f>IFERROR(_xlfn.XLOOKUP($A76,CFR20252026_BenchMarkDataReport!$B:$B,CFR20252026_BenchMarkDataReport!Y:Y),0)</f>
        <v>54132.88</v>
      </c>
      <c r="K76" s="88">
        <f>IFERROR(_xlfn.XLOOKUP($A76,CFR20252026_BenchMarkDataReport!$B:$B,CFR20252026_BenchMarkDataReport!Z:Z),0)</f>
        <v>117872.25</v>
      </c>
      <c r="L76" s="88">
        <f>IFERROR(_xlfn.XLOOKUP($A76,CFR20252026_BenchMarkDataReport!$B:$B,CFR20252026_BenchMarkDataReport!AA:AA),0)</f>
        <v>22725.25</v>
      </c>
      <c r="M76" s="88">
        <f>IFERROR(_xlfn.XLOOKUP($A76,CFR20252026_BenchMarkDataReport!$B:$B,CFR20252026_BenchMarkDataReport!AB:AB),0)</f>
        <v>628.96</v>
      </c>
      <c r="N76" s="88">
        <f>IFERROR(_xlfn.XLOOKUP($A76,CFR20252026_BenchMarkDataReport!$B:$B,CFR20252026_BenchMarkDataReport!AC:AC),0)</f>
        <v>0</v>
      </c>
      <c r="O76" s="88">
        <f>IFERROR(_xlfn.XLOOKUP($A76,CFR20252026_BenchMarkDataReport!$B:$B,CFR20252026_BenchMarkDataReport!AD:AD),0)</f>
        <v>3595</v>
      </c>
      <c r="P76" s="88">
        <f>IFERROR(_xlfn.XLOOKUP($A76,CFR20252026_BenchMarkDataReport!$B:$B,CFR20252026_BenchMarkDataReport!AE:AE),0)</f>
        <v>4007.7</v>
      </c>
      <c r="Q76" s="88">
        <f>IFERROR(_xlfn.XLOOKUP($A76,CFR20252026_BenchMarkDataReport!$B:$B,CFR20252026_BenchMarkDataReport!AF:AF),0)</f>
        <v>14230.42</v>
      </c>
      <c r="R76" s="88">
        <f>IFERROR(_xlfn.XLOOKUP($A76,CFR20252026_BenchMarkDataReport!$B:$B,CFR20252026_BenchMarkDataReport!AG:AG),0)</f>
        <v>0</v>
      </c>
      <c r="S76" s="88">
        <f>IFERROR(_xlfn.XLOOKUP($A76,CFR20252026_BenchMarkDataReport!$B:$B,CFR20252026_BenchMarkDataReport!AH:AH),0)</f>
        <v>0</v>
      </c>
      <c r="T76" s="88">
        <f>IFERROR(_xlfn.XLOOKUP($A76,CFR20252026_BenchMarkDataReport!$B:$B,CFR20252026_BenchMarkDataReport!AI:AI),0)</f>
        <v>0</v>
      </c>
      <c r="U76" s="88">
        <f>IFERROR(_xlfn.XLOOKUP($A76,CFR20252026_BenchMarkDataReport!$B:$B,CFR20252026_BenchMarkDataReport!AJ:AJ),0)</f>
        <v>886179.19</v>
      </c>
      <c r="V76" s="88">
        <f>IFERROR(_xlfn.XLOOKUP($A76,CFR20252026_BenchMarkDataReport!$B:$B,CFR20252026_BenchMarkDataReport!AK:AK),0)</f>
        <v>0</v>
      </c>
      <c r="W76" s="88">
        <f>IFERROR(_xlfn.XLOOKUP($A76,CFR20252026_BenchMarkDataReport!$B:$B,CFR20252026_BenchMarkDataReport!AL:AL),0)</f>
        <v>434004.04</v>
      </c>
      <c r="X76" s="88">
        <f>IFERROR(_xlfn.XLOOKUP($A76,CFR20252026_BenchMarkDataReport!$B:$B,CFR20252026_BenchMarkDataReport!AM:AM),0)</f>
        <v>18556.599999999999</v>
      </c>
      <c r="Y76" s="88">
        <f>IFERROR(_xlfn.XLOOKUP($A76,CFR20252026_BenchMarkDataReport!$B:$B,CFR20252026_BenchMarkDataReport!AN:AN),0)</f>
        <v>163848.01</v>
      </c>
      <c r="Z76" s="88">
        <f>IFERROR(_xlfn.XLOOKUP($A76,CFR20252026_BenchMarkDataReport!$B:$B,CFR20252026_BenchMarkDataReport!AO:AO),0)</f>
        <v>0</v>
      </c>
      <c r="AA76" s="88">
        <f>IFERROR(_xlfn.XLOOKUP($A76,CFR20252026_BenchMarkDataReport!$B:$B,CFR20252026_BenchMarkDataReport!AP:AP),0)</f>
        <v>34547.519999999997</v>
      </c>
      <c r="AB76" s="88">
        <f>IFERROR(_xlfn.XLOOKUP($A76,CFR20252026_BenchMarkDataReport!$B:$B,CFR20252026_BenchMarkDataReport!AQ:AQ),0)</f>
        <v>38728.99</v>
      </c>
      <c r="AC76" s="88">
        <f>IFERROR(_xlfn.XLOOKUP($A76,CFR20252026_BenchMarkDataReport!$B:$B,CFR20252026_BenchMarkDataReport!AR:AR),0)</f>
        <v>2270.75</v>
      </c>
      <c r="AD76" s="88">
        <f>IFERROR(_xlfn.XLOOKUP($A76,CFR20252026_BenchMarkDataReport!$B:$B,CFR20252026_BenchMarkDataReport!AS:AS),0)</f>
        <v>395.01</v>
      </c>
      <c r="AE76" s="88">
        <f>IFERROR(_xlfn.XLOOKUP($A76,CFR20252026_BenchMarkDataReport!$B:$B,CFR20252026_BenchMarkDataReport!AT:AT),0)</f>
        <v>0</v>
      </c>
      <c r="AF76" s="88">
        <f>IFERROR(_xlfn.XLOOKUP($A76,CFR20252026_BenchMarkDataReport!$B:$B,CFR20252026_BenchMarkDataReport!AU:AU),0)</f>
        <v>53559.53</v>
      </c>
      <c r="AG76" s="88">
        <f>IFERROR(_xlfn.XLOOKUP($A76,CFR20252026_BenchMarkDataReport!$B:$B,CFR20252026_BenchMarkDataReport!AV:AV),0)</f>
        <v>369.89</v>
      </c>
      <c r="AH76" s="88">
        <f>IFERROR(_xlfn.XLOOKUP($A76,CFR20252026_BenchMarkDataReport!$B:$B,CFR20252026_BenchMarkDataReport!AW:AW),0)</f>
        <v>92164.92</v>
      </c>
      <c r="AI76" s="88">
        <f>IFERROR(_xlfn.XLOOKUP($A76,CFR20252026_BenchMarkDataReport!$B:$B,CFR20252026_BenchMarkDataReport!AX:AX),0)</f>
        <v>23965.72</v>
      </c>
      <c r="AJ76" s="88">
        <f>IFERROR(_xlfn.XLOOKUP($A76,CFR20252026_BenchMarkDataReport!$B:$B,CFR20252026_BenchMarkDataReport!AY:AY),0)</f>
        <v>66374.960000000006</v>
      </c>
      <c r="AK76" s="88">
        <f>IFERROR(_xlfn.XLOOKUP($A76,CFR20252026_BenchMarkDataReport!$B:$B,CFR20252026_BenchMarkDataReport!AZ:AZ),0)</f>
        <v>41678.49</v>
      </c>
      <c r="AL76" s="88">
        <f>IFERROR(_xlfn.XLOOKUP($A76,CFR20252026_BenchMarkDataReport!$B:$B,CFR20252026_BenchMarkDataReport!BA:BA),0)</f>
        <v>13302.41</v>
      </c>
      <c r="AM76" s="88">
        <f>IFERROR(_xlfn.XLOOKUP($A76,CFR20252026_BenchMarkDataReport!$B:$B,CFR20252026_BenchMarkDataReport!BB:BB),0)</f>
        <v>30470.23</v>
      </c>
      <c r="AN76" s="88">
        <f>IFERROR(_xlfn.XLOOKUP($A76,CFR20252026_BenchMarkDataReport!$B:$B,CFR20252026_BenchMarkDataReport!BC:BC),0)</f>
        <v>6695</v>
      </c>
      <c r="AO76" s="88">
        <f>IFERROR(_xlfn.XLOOKUP($A76,CFR20252026_BenchMarkDataReport!$B:$B,CFR20252026_BenchMarkDataReport!BD:BD),0)</f>
        <v>0</v>
      </c>
      <c r="AP76" s="88">
        <f>IFERROR(_xlfn.XLOOKUP($A76,CFR20252026_BenchMarkDataReport!$B:$B,CFR20252026_BenchMarkDataReport!BE:BE),0)</f>
        <v>5448.39</v>
      </c>
      <c r="AQ76" s="88">
        <f>IFERROR(_xlfn.XLOOKUP($A76,CFR20252026_BenchMarkDataReport!$B:$B,CFR20252026_BenchMarkDataReport!BF:BF),0)</f>
        <v>10270.02</v>
      </c>
      <c r="AR76" s="88">
        <f>IFERROR(_xlfn.XLOOKUP($A76,CFR20252026_BenchMarkDataReport!$B:$B,CFR20252026_BenchMarkDataReport!BG:BG),0)</f>
        <v>4864.08</v>
      </c>
      <c r="AS76" s="88">
        <f>IFERROR(_xlfn.XLOOKUP($A76,CFR20252026_BenchMarkDataReport!$B:$B,CFR20252026_BenchMarkDataReport!BH:BH),0)</f>
        <v>715.57</v>
      </c>
      <c r="AT76" s="88">
        <f>IFERROR(_xlfn.XLOOKUP($A76,CFR20252026_BenchMarkDataReport!$B:$B,CFR20252026_BenchMarkDataReport!BI:BI),0)</f>
        <v>14011.07</v>
      </c>
      <c r="AU76" s="88">
        <f>IFERROR(_xlfn.XLOOKUP($A76,CFR20252026_BenchMarkDataReport!$B:$B,CFR20252026_BenchMarkDataReport!BJ:BJ),0)</f>
        <v>0</v>
      </c>
      <c r="AV76" s="88">
        <f>IFERROR(_xlfn.XLOOKUP($A76,CFR20252026_BenchMarkDataReport!$B:$B,CFR20252026_BenchMarkDataReport!BK:BK),0)</f>
        <v>3573.53</v>
      </c>
      <c r="AW76" s="88">
        <f>IFERROR(_xlfn.XLOOKUP($A76,CFR20252026_BenchMarkDataReport!$B:$B,CFR20252026_BenchMarkDataReport!BL:BL),0)</f>
        <v>10196.280000000001</v>
      </c>
      <c r="AX76" s="88">
        <f>IFERROR(_xlfn.XLOOKUP($A76,CFR20252026_BenchMarkDataReport!$B:$B,CFR20252026_BenchMarkDataReport!BM:BM),0)</f>
        <v>7294.84</v>
      </c>
      <c r="AY76" s="88">
        <f>IFERROR(_xlfn.XLOOKUP($A76,CFR20252026_BenchMarkDataReport!$B:$B,CFR20252026_BenchMarkDataReport!BN:BN),0)</f>
        <v>93811.77</v>
      </c>
      <c r="AZ76" s="88">
        <f>IFERROR(_xlfn.XLOOKUP($A76,CFR20252026_BenchMarkDataReport!$B:$B,CFR20252026_BenchMarkDataReport!BO:BO),0)</f>
        <v>71617.679999999993</v>
      </c>
      <c r="BA76" s="88">
        <f>IFERROR(_xlfn.XLOOKUP($A76,CFR20252026_BenchMarkDataReport!$B:$B,CFR20252026_BenchMarkDataReport!BP:BP),0)</f>
        <v>207902.29</v>
      </c>
      <c r="BB76" s="88">
        <f>IFERROR(_xlfn.XLOOKUP($A76,CFR20252026_BenchMarkDataReport!$B:$B,CFR20252026_BenchMarkDataReport!BQ:BQ),0)</f>
        <v>64137.22</v>
      </c>
      <c r="BC76" s="88">
        <f>IFERROR(_xlfn.XLOOKUP($A76,CFR20252026_BenchMarkDataReport!$B:$B,CFR20252026_BenchMarkDataReport!BR:BR),0)</f>
        <v>0</v>
      </c>
      <c r="BD76" s="88">
        <f>IFERROR(_xlfn.XLOOKUP($A76,CFR20252026_BenchMarkDataReport!$B:$B,CFR20252026_BenchMarkDataReport!BS:BS),0)</f>
        <v>0</v>
      </c>
      <c r="BE76" s="88">
        <f>IFERROR(_xlfn.XLOOKUP($A76,CFR20252026_BenchMarkDataReport!$B:$B,CFR20252026_BenchMarkDataReport!BT:BT),0)</f>
        <v>8134</v>
      </c>
      <c r="BF76" s="88">
        <f>IFERROR(_xlfn.XLOOKUP($A76,CFR20252026_BenchMarkDataReport!$B:$B,CFR20252026_BenchMarkDataReport!BU:BU),0)</f>
        <v>0</v>
      </c>
      <c r="BG76" s="88">
        <f>IFERROR(_xlfn.XLOOKUP($A76,CFR20252026_BenchMarkDataReport!$B:$B,CFR20252026_BenchMarkDataReport!BV:BV),0)</f>
        <v>0</v>
      </c>
      <c r="BH76" s="89">
        <f t="shared" si="228"/>
        <v>2301617</v>
      </c>
      <c r="BI76" s="90">
        <f t="shared" si="223"/>
        <v>2409088.0000000005</v>
      </c>
      <c r="BJ76" s="126">
        <f t="shared" si="224"/>
        <v>-107471.00000000047</v>
      </c>
      <c r="BK76" s="88">
        <f>IFERROR(_xlfn.XLOOKUP(A76,CFR20252026_BenchMarkDataReport!$B:$B,CFR20252026_BenchMarkDataReport!P:P)+_xlfn.XLOOKUP(A76,CFR20252026_BenchMarkDataReport!$B:$B,CFR20252026_BenchMarkDataReport!Q:Q),0)</f>
        <v>118605</v>
      </c>
      <c r="BL76" s="89">
        <f t="shared" si="225"/>
        <v>11133.999999999534</v>
      </c>
      <c r="BM76" s="91">
        <f>SUMIFS(PP!I:I,PP!E:E,A76)</f>
        <v>231</v>
      </c>
      <c r="BN76" s="90">
        <f t="shared" si="272"/>
        <v>1909946.48</v>
      </c>
      <c r="BO76" t="s">
        <v>173</v>
      </c>
      <c r="BP76" s="92">
        <f t="shared" si="203"/>
        <v>0.74623295274583046</v>
      </c>
      <c r="BQ76" s="93">
        <f t="shared" si="204"/>
        <v>7435.2487012987012</v>
      </c>
      <c r="BR76" s="94">
        <f t="shared" si="205"/>
        <v>0</v>
      </c>
      <c r="BS76" s="95">
        <f t="shared" si="206"/>
        <v>0</v>
      </c>
      <c r="BT76" s="92">
        <f t="shared" si="207"/>
        <v>8.3595155058378529E-2</v>
      </c>
      <c r="BU76" s="93">
        <f t="shared" si="208"/>
        <v>832.91787878787875</v>
      </c>
      <c r="BV76" s="94">
        <f t="shared" si="209"/>
        <v>0</v>
      </c>
      <c r="BW76" s="95">
        <f t="shared" si="210"/>
        <v>0</v>
      </c>
      <c r="BX76" s="92">
        <f t="shared" si="211"/>
        <v>5.2658630866907918E-2</v>
      </c>
      <c r="BY76" s="93">
        <f t="shared" si="212"/>
        <v>524.67532467532465</v>
      </c>
      <c r="BZ76" s="94">
        <f t="shared" si="213"/>
        <v>2.3148099792450264E-2</v>
      </c>
      <c r="CA76" s="95">
        <f t="shared" si="214"/>
        <v>230.64095238095237</v>
      </c>
      <c r="CB76" s="92">
        <f t="shared" si="215"/>
        <v>2.3519499551836815E-2</v>
      </c>
      <c r="CC76" s="93">
        <f t="shared" si="216"/>
        <v>234.34147186147186</v>
      </c>
      <c r="CD76" s="94">
        <f t="shared" si="217"/>
        <v>6.1086401429951205E-2</v>
      </c>
      <c r="CE76" s="96">
        <f t="shared" si="218"/>
        <v>608.64718614718618</v>
      </c>
      <c r="CF76" s="97">
        <f t="shared" si="219"/>
        <v>1.7412540835421357E-3</v>
      </c>
      <c r="CG76" s="98">
        <f t="shared" si="220"/>
        <v>17.349350649350647</v>
      </c>
      <c r="CH76" s="94">
        <f t="shared" si="221"/>
        <v>6.1827923585896349E-3</v>
      </c>
      <c r="CI76" s="95">
        <f t="shared" si="222"/>
        <v>61.603549783549781</v>
      </c>
      <c r="CJ76" s="99">
        <f t="shared" si="229"/>
        <v>0.50147838173978565</v>
      </c>
      <c r="CK76" s="97">
        <f t="shared" si="230"/>
        <v>0.41614085662384309</v>
      </c>
      <c r="CL76" s="97">
        <f t="shared" si="231"/>
        <v>0.39757653933770776</v>
      </c>
      <c r="CM76" s="98">
        <f t="shared" si="232"/>
        <v>4146.3067965367964</v>
      </c>
      <c r="CN76" s="94">
        <f t="shared" si="233"/>
        <v>0.22723361337329201</v>
      </c>
      <c r="CO76" s="100">
        <f t="shared" si="234"/>
        <v>0.1885648394150721</v>
      </c>
      <c r="CP76" s="100">
        <f t="shared" si="235"/>
        <v>0.18015283792040801</v>
      </c>
      <c r="CQ76" s="101">
        <f t="shared" si="236"/>
        <v>1878.8053679653679</v>
      </c>
      <c r="CR76" s="99">
        <f t="shared" si="237"/>
        <v>9.7157696272201291E-3</v>
      </c>
      <c r="CS76" s="97">
        <f t="shared" si="238"/>
        <v>8.062418725617684E-3</v>
      </c>
      <c r="CT76" s="97">
        <f t="shared" si="239"/>
        <v>7.7027489240741702E-3</v>
      </c>
      <c r="CU76" s="98">
        <f t="shared" si="240"/>
        <v>80.331601731601722</v>
      </c>
      <c r="CV76" s="94">
        <f t="shared" si="241"/>
        <v>8.5786702253562636E-2</v>
      </c>
      <c r="CW76" s="100">
        <f t="shared" si="242"/>
        <v>7.1188216805836937E-2</v>
      </c>
      <c r="CX76" s="100">
        <f t="shared" si="243"/>
        <v>6.8012463637691936E-2</v>
      </c>
      <c r="CY76" s="95">
        <f t="shared" si="244"/>
        <v>709.29874458874463</v>
      </c>
      <c r="CZ76" s="99">
        <f t="shared" si="245"/>
        <v>0.80480546240227635</v>
      </c>
      <c r="DA76" s="97">
        <f t="shared" si="246"/>
        <v>0.66785019401577239</v>
      </c>
      <c r="DB76" s="97">
        <f t="shared" si="247"/>
        <v>0.63805695765368464</v>
      </c>
      <c r="DC76" s="98">
        <f t="shared" si="248"/>
        <v>6654.2656277056285</v>
      </c>
      <c r="DD76" s="94">
        <f t="shared" si="249"/>
        <v>2.8042424518617926E-2</v>
      </c>
      <c r="DE76" s="100">
        <f t="shared" si="250"/>
        <v>2.2232284582381377E-2</v>
      </c>
      <c r="DF76" s="95">
        <f t="shared" si="251"/>
        <v>231.85943722943722</v>
      </c>
      <c r="DG76" s="99">
        <f t="shared" si="252"/>
        <v>9.9480467297168047E-3</v>
      </c>
      <c r="DH76" s="98">
        <f t="shared" si="253"/>
        <v>103.74770562770563</v>
      </c>
      <c r="DI76" s="94">
        <f t="shared" si="254"/>
        <v>3.4752261749240225E-2</v>
      </c>
      <c r="DJ76" s="100">
        <f t="shared" si="255"/>
        <v>2.7551903458902287E-2</v>
      </c>
      <c r="DK76" s="95">
        <f t="shared" si="256"/>
        <v>287.3374891774892</v>
      </c>
      <c r="DL76" s="99">
        <f t="shared" si="257"/>
        <v>6.9648077259211998E-3</v>
      </c>
      <c r="DM76" s="97">
        <f t="shared" si="258"/>
        <v>5.5217617621274098E-3</v>
      </c>
      <c r="DN76" s="102">
        <f t="shared" si="259"/>
        <v>57.586190476190474</v>
      </c>
      <c r="DO76" s="94">
        <f t="shared" si="260"/>
        <v>1.595344703062046E-2</v>
      </c>
      <c r="DP76" s="100">
        <f t="shared" si="261"/>
        <v>1.3238618762374452E-2</v>
      </c>
      <c r="DQ76" s="100">
        <f t="shared" si="262"/>
        <v>1.2648035273099194E-2</v>
      </c>
      <c r="DR76" s="95">
        <f t="shared" si="263"/>
        <v>131.90575757575758</v>
      </c>
      <c r="DS76" s="99">
        <f t="shared" si="264"/>
        <v>1.8710105426619076E-3</v>
      </c>
      <c r="DT76" s="97">
        <f t="shared" si="265"/>
        <v>1.4833538666914614E-3</v>
      </c>
      <c r="DU76" s="98">
        <f t="shared" si="266"/>
        <v>15.46982683982684</v>
      </c>
      <c r="DV76" s="94">
        <f t="shared" si="267"/>
        <v>0.10885241663944427</v>
      </c>
      <c r="DW76" s="100">
        <f t="shared" si="268"/>
        <v>8.6299167983900943E-2</v>
      </c>
      <c r="DX76" s="95">
        <f t="shared" si="269"/>
        <v>900.00991341991346</v>
      </c>
      <c r="DY76" s="99">
        <f t="shared" si="270"/>
        <v>3.8940781739811907E-2</v>
      </c>
      <c r="DZ76" s="98">
        <f t="shared" si="271"/>
        <v>406.11155844155849</v>
      </c>
      <c r="EA76" s="94">
        <f t="shared" si="226"/>
        <v>3.8257182801126395E-2</v>
      </c>
      <c r="EB76" s="95">
        <f t="shared" si="227"/>
        <v>398.98233766233767</v>
      </c>
      <c r="EC76" s="103">
        <f>IFERROR(VLOOKUP(A76,PP!$E$3:$S$130,14,0),0)</f>
        <v>80</v>
      </c>
    </row>
    <row r="77" spans="1:227">
      <c r="A77" s="26">
        <v>2060</v>
      </c>
      <c r="B77" s="125">
        <v>10105</v>
      </c>
      <c r="C77" s="26" t="s">
        <v>99</v>
      </c>
      <c r="D77" s="88">
        <f>IFERROR(_xlfn.XLOOKUP($A77,CFR20252026_BenchMarkDataReport!$B:$B,CFR20252026_BenchMarkDataReport!S:S),0)</f>
        <v>3103903.93</v>
      </c>
      <c r="E77" s="88">
        <f>IFERROR(_xlfn.XLOOKUP($A77,CFR20252026_BenchMarkDataReport!$B:$B,CFR20252026_BenchMarkDataReport!T:T),0)</f>
        <v>0</v>
      </c>
      <c r="F77" s="88">
        <f>IFERROR(_xlfn.XLOOKUP($A77,CFR20252026_BenchMarkDataReport!$B:$B,CFR20252026_BenchMarkDataReport!U:U),0)</f>
        <v>346454.28</v>
      </c>
      <c r="G77" s="88">
        <f>IFERROR(_xlfn.XLOOKUP($A77,CFR20252026_BenchMarkDataReport!$B:$B,CFR20252026_BenchMarkDataReport!V:V),0)</f>
        <v>0</v>
      </c>
      <c r="H77" s="88">
        <f>IFERROR(_xlfn.XLOOKUP($A77,CFR20252026_BenchMarkDataReport!$B:$B,CFR20252026_BenchMarkDataReport!W:W),0)</f>
        <v>183030</v>
      </c>
      <c r="I77" s="88">
        <f>IFERROR(_xlfn.XLOOKUP($A77,CFR20252026_BenchMarkDataReport!$B:$B,CFR20252026_BenchMarkDataReport!X:X),0)</f>
        <v>97928.48</v>
      </c>
      <c r="J77" s="88">
        <f>IFERROR(_xlfn.XLOOKUP($A77,CFR20252026_BenchMarkDataReport!$B:$B,CFR20252026_BenchMarkDataReport!Y:Y),0)</f>
        <v>111940.66</v>
      </c>
      <c r="K77" s="88">
        <f>IFERROR(_xlfn.XLOOKUP($A77,CFR20252026_BenchMarkDataReport!$B:$B,CFR20252026_BenchMarkDataReport!Z:Z),0)</f>
        <v>137305.63</v>
      </c>
      <c r="L77" s="88">
        <f>IFERROR(_xlfn.XLOOKUP($A77,CFR20252026_BenchMarkDataReport!$B:$B,CFR20252026_BenchMarkDataReport!AA:AA),0)</f>
        <v>8555.76</v>
      </c>
      <c r="M77" s="88">
        <f>IFERROR(_xlfn.XLOOKUP($A77,CFR20252026_BenchMarkDataReport!$B:$B,CFR20252026_BenchMarkDataReport!AB:AB),0)</f>
        <v>1377.73</v>
      </c>
      <c r="N77" s="88">
        <f>IFERROR(_xlfn.XLOOKUP($A77,CFR20252026_BenchMarkDataReport!$B:$B,CFR20252026_BenchMarkDataReport!AC:AC),0)</f>
        <v>0</v>
      </c>
      <c r="O77" s="88">
        <f>IFERROR(_xlfn.XLOOKUP($A77,CFR20252026_BenchMarkDataReport!$B:$B,CFR20252026_BenchMarkDataReport!AD:AD),0)</f>
        <v>0</v>
      </c>
      <c r="P77" s="88">
        <f>IFERROR(_xlfn.XLOOKUP($A77,CFR20252026_BenchMarkDataReport!$B:$B,CFR20252026_BenchMarkDataReport!AE:AE),0)</f>
        <v>56640</v>
      </c>
      <c r="Q77" s="88">
        <f>IFERROR(_xlfn.XLOOKUP($A77,CFR20252026_BenchMarkDataReport!$B:$B,CFR20252026_BenchMarkDataReport!AF:AF),0)</f>
        <v>14464.41</v>
      </c>
      <c r="R77" s="88">
        <f>IFERROR(_xlfn.XLOOKUP($A77,CFR20252026_BenchMarkDataReport!$B:$B,CFR20252026_BenchMarkDataReport!AG:AG),0)</f>
        <v>0</v>
      </c>
      <c r="S77" s="88">
        <f>IFERROR(_xlfn.XLOOKUP($A77,CFR20252026_BenchMarkDataReport!$B:$B,CFR20252026_BenchMarkDataReport!AH:AH),0)</f>
        <v>0</v>
      </c>
      <c r="T77" s="88">
        <f>IFERROR(_xlfn.XLOOKUP($A77,CFR20252026_BenchMarkDataReport!$B:$B,CFR20252026_BenchMarkDataReport!AI:AI),0)</f>
        <v>0</v>
      </c>
      <c r="U77" s="88">
        <f>IFERROR(_xlfn.XLOOKUP($A77,CFR20252026_BenchMarkDataReport!$B:$B,CFR20252026_BenchMarkDataReport!AJ:AJ),0)</f>
        <v>1498930.13</v>
      </c>
      <c r="V77" s="88">
        <f>IFERROR(_xlfn.XLOOKUP($A77,CFR20252026_BenchMarkDataReport!$B:$B,CFR20252026_BenchMarkDataReport!AK:AK),0)</f>
        <v>0</v>
      </c>
      <c r="W77" s="88">
        <f>IFERROR(_xlfn.XLOOKUP($A77,CFR20252026_BenchMarkDataReport!$B:$B,CFR20252026_BenchMarkDataReport!AL:AL),0)</f>
        <v>1222595.95</v>
      </c>
      <c r="X77" s="88">
        <f>IFERROR(_xlfn.XLOOKUP($A77,CFR20252026_BenchMarkDataReport!$B:$B,CFR20252026_BenchMarkDataReport!AM:AM),0)</f>
        <v>68168.84</v>
      </c>
      <c r="Y77" s="88">
        <f>IFERROR(_xlfn.XLOOKUP($A77,CFR20252026_BenchMarkDataReport!$B:$B,CFR20252026_BenchMarkDataReport!AN:AN),0)</f>
        <v>125104.37</v>
      </c>
      <c r="Z77" s="88">
        <f>IFERROR(_xlfn.XLOOKUP($A77,CFR20252026_BenchMarkDataReport!$B:$B,CFR20252026_BenchMarkDataReport!AO:AO),0)</f>
        <v>0</v>
      </c>
      <c r="AA77" s="88">
        <f>IFERROR(_xlfn.XLOOKUP($A77,CFR20252026_BenchMarkDataReport!$B:$B,CFR20252026_BenchMarkDataReport!AP:AP),0)</f>
        <v>81417.31</v>
      </c>
      <c r="AB77" s="88">
        <f>IFERROR(_xlfn.XLOOKUP($A77,CFR20252026_BenchMarkDataReport!$B:$B,CFR20252026_BenchMarkDataReport!AQ:AQ),0)</f>
        <v>13916.83</v>
      </c>
      <c r="AC77" s="88">
        <f>IFERROR(_xlfn.XLOOKUP($A77,CFR20252026_BenchMarkDataReport!$B:$B,CFR20252026_BenchMarkDataReport!AR:AR),0)</f>
        <v>6031.19</v>
      </c>
      <c r="AD77" s="88">
        <f>IFERROR(_xlfn.XLOOKUP($A77,CFR20252026_BenchMarkDataReport!$B:$B,CFR20252026_BenchMarkDataReport!AS:AS),0)</f>
        <v>713.07</v>
      </c>
      <c r="AE77" s="88">
        <f>IFERROR(_xlfn.XLOOKUP($A77,CFR20252026_BenchMarkDataReport!$B:$B,CFR20252026_BenchMarkDataReport!AT:AT),0)</f>
        <v>0</v>
      </c>
      <c r="AF77" s="88">
        <f>IFERROR(_xlfn.XLOOKUP($A77,CFR20252026_BenchMarkDataReport!$B:$B,CFR20252026_BenchMarkDataReport!AU:AU),0)</f>
        <v>87288.44</v>
      </c>
      <c r="AG77" s="88">
        <f>IFERROR(_xlfn.XLOOKUP($A77,CFR20252026_BenchMarkDataReport!$B:$B,CFR20252026_BenchMarkDataReport!AV:AV),0)</f>
        <v>7557</v>
      </c>
      <c r="AH77" s="88">
        <f>IFERROR(_xlfn.XLOOKUP($A77,CFR20252026_BenchMarkDataReport!$B:$B,CFR20252026_BenchMarkDataReport!AW:AW),0)</f>
        <v>43204.27</v>
      </c>
      <c r="AI77" s="88">
        <f>IFERROR(_xlfn.XLOOKUP($A77,CFR20252026_BenchMarkDataReport!$B:$B,CFR20252026_BenchMarkDataReport!AX:AX),0)</f>
        <v>12392.91</v>
      </c>
      <c r="AJ77" s="88">
        <f>IFERROR(_xlfn.XLOOKUP($A77,CFR20252026_BenchMarkDataReport!$B:$B,CFR20252026_BenchMarkDataReport!AY:AY),0)</f>
        <v>96838.36</v>
      </c>
      <c r="AK77" s="88">
        <f>IFERROR(_xlfn.XLOOKUP($A77,CFR20252026_BenchMarkDataReport!$B:$B,CFR20252026_BenchMarkDataReport!AZ:AZ),0)</f>
        <v>129119.94</v>
      </c>
      <c r="AL77" s="88">
        <f>IFERROR(_xlfn.XLOOKUP($A77,CFR20252026_BenchMarkDataReport!$B:$B,CFR20252026_BenchMarkDataReport!BA:BA),0)</f>
        <v>15718.96</v>
      </c>
      <c r="AM77" s="88">
        <f>IFERROR(_xlfn.XLOOKUP($A77,CFR20252026_BenchMarkDataReport!$B:$B,CFR20252026_BenchMarkDataReport!BB:BB),0)</f>
        <v>90730</v>
      </c>
      <c r="AN77" s="88">
        <f>IFERROR(_xlfn.XLOOKUP($A77,CFR20252026_BenchMarkDataReport!$B:$B,CFR20252026_BenchMarkDataReport!BC:BC),0)</f>
        <v>6251.6</v>
      </c>
      <c r="AO77" s="88">
        <f>IFERROR(_xlfn.XLOOKUP($A77,CFR20252026_BenchMarkDataReport!$B:$B,CFR20252026_BenchMarkDataReport!BD:BD),0)</f>
        <v>0</v>
      </c>
      <c r="AP77" s="88">
        <f>IFERROR(_xlfn.XLOOKUP($A77,CFR20252026_BenchMarkDataReport!$B:$B,CFR20252026_BenchMarkDataReport!BE:BE),0)</f>
        <v>6160.55</v>
      </c>
      <c r="AQ77" s="88">
        <f>IFERROR(_xlfn.XLOOKUP($A77,CFR20252026_BenchMarkDataReport!$B:$B,CFR20252026_BenchMarkDataReport!BF:BF),0)</f>
        <v>17269.759999999998</v>
      </c>
      <c r="AR77" s="88">
        <f>IFERROR(_xlfn.XLOOKUP($A77,CFR20252026_BenchMarkDataReport!$B:$B,CFR20252026_BenchMarkDataReport!BG:BG),0)</f>
        <v>3110</v>
      </c>
      <c r="AS77" s="88">
        <f>IFERROR(_xlfn.XLOOKUP($A77,CFR20252026_BenchMarkDataReport!$B:$B,CFR20252026_BenchMarkDataReport!BH:BH),0)</f>
        <v>2575.27</v>
      </c>
      <c r="AT77" s="88">
        <f>IFERROR(_xlfn.XLOOKUP($A77,CFR20252026_BenchMarkDataReport!$B:$B,CFR20252026_BenchMarkDataReport!BI:BI),0)</f>
        <v>13775</v>
      </c>
      <c r="AU77" s="88">
        <f>IFERROR(_xlfn.XLOOKUP($A77,CFR20252026_BenchMarkDataReport!$B:$B,CFR20252026_BenchMarkDataReport!BJ:BJ),0)</f>
        <v>0</v>
      </c>
      <c r="AV77" s="88">
        <f>IFERROR(_xlfn.XLOOKUP($A77,CFR20252026_BenchMarkDataReport!$B:$B,CFR20252026_BenchMarkDataReport!BK:BK),0)</f>
        <v>2686.82</v>
      </c>
      <c r="AW77" s="88">
        <f>IFERROR(_xlfn.XLOOKUP($A77,CFR20252026_BenchMarkDataReport!$B:$B,CFR20252026_BenchMarkDataReport!BL:BL),0)</f>
        <v>20326.48</v>
      </c>
      <c r="AX77" s="88">
        <f>IFERROR(_xlfn.XLOOKUP($A77,CFR20252026_BenchMarkDataReport!$B:$B,CFR20252026_BenchMarkDataReport!BM:BM),0)</f>
        <v>6858.13</v>
      </c>
      <c r="AY77" s="88">
        <f>IFERROR(_xlfn.XLOOKUP($A77,CFR20252026_BenchMarkDataReport!$B:$B,CFR20252026_BenchMarkDataReport!BN:BN),0)</f>
        <v>173065.25</v>
      </c>
      <c r="AZ77" s="88">
        <f>IFERROR(_xlfn.XLOOKUP($A77,CFR20252026_BenchMarkDataReport!$B:$B,CFR20252026_BenchMarkDataReport!BO:BO),0)</f>
        <v>33154</v>
      </c>
      <c r="BA77" s="88">
        <f>IFERROR(_xlfn.XLOOKUP($A77,CFR20252026_BenchMarkDataReport!$B:$B,CFR20252026_BenchMarkDataReport!BP:BP),0)</f>
        <v>93920.86</v>
      </c>
      <c r="BB77" s="88">
        <f>IFERROR(_xlfn.XLOOKUP($A77,CFR20252026_BenchMarkDataReport!$B:$B,CFR20252026_BenchMarkDataReport!BQ:BQ),0)</f>
        <v>41522.589999999997</v>
      </c>
      <c r="BC77" s="88">
        <f>IFERROR(_xlfn.XLOOKUP($A77,CFR20252026_BenchMarkDataReport!$B:$B,CFR20252026_BenchMarkDataReport!BR:BR),0)</f>
        <v>0</v>
      </c>
      <c r="BD77" s="88">
        <f>IFERROR(_xlfn.XLOOKUP($A77,CFR20252026_BenchMarkDataReport!$B:$B,CFR20252026_BenchMarkDataReport!BS:BS),0)</f>
        <v>0</v>
      </c>
      <c r="BE77" s="88">
        <f>IFERROR(_xlfn.XLOOKUP($A77,CFR20252026_BenchMarkDataReport!$B:$B,CFR20252026_BenchMarkDataReport!BT:BT),0)</f>
        <v>0</v>
      </c>
      <c r="BF77" s="88">
        <f>IFERROR(_xlfn.XLOOKUP($A77,CFR20252026_BenchMarkDataReport!$B:$B,CFR20252026_BenchMarkDataReport!BU:BU),0)</f>
        <v>0</v>
      </c>
      <c r="BG77" s="88">
        <f>IFERROR(_xlfn.XLOOKUP($A77,CFR20252026_BenchMarkDataReport!$B:$B,CFR20252026_BenchMarkDataReport!BV:BV),0)</f>
        <v>0</v>
      </c>
      <c r="BH77" s="89">
        <f t="shared" si="228"/>
        <v>4061600.88</v>
      </c>
      <c r="BI77" s="90">
        <f t="shared" si="223"/>
        <v>3920403.879999999</v>
      </c>
      <c r="BJ77" s="126">
        <f t="shared" si="224"/>
        <v>141197.00000000093</v>
      </c>
      <c r="BK77" s="88">
        <f>IFERROR(_xlfn.XLOOKUP(A77,CFR20252026_BenchMarkDataReport!$B:$B,CFR20252026_BenchMarkDataReport!P:P)+_xlfn.XLOOKUP(A77,CFR20252026_BenchMarkDataReport!$B:$B,CFR20252026_BenchMarkDataReport!Q:Q),0)</f>
        <v>452661</v>
      </c>
      <c r="BL77" s="89">
        <f t="shared" si="225"/>
        <v>593858.00000000093</v>
      </c>
      <c r="BM77" s="91">
        <f>SUMIFS(PP!I:I,PP!E:E,A77)</f>
        <v>417</v>
      </c>
      <c r="BN77" s="90">
        <f t="shared" si="272"/>
        <v>3450358.21</v>
      </c>
      <c r="BO77" t="s">
        <v>173</v>
      </c>
      <c r="BP77" s="92">
        <f t="shared" si="203"/>
        <v>0.76420702617141456</v>
      </c>
      <c r="BQ77" s="93">
        <f t="shared" si="204"/>
        <v>7443.4147002398086</v>
      </c>
      <c r="BR77" s="94">
        <f t="shared" si="205"/>
        <v>0</v>
      </c>
      <c r="BS77" s="95">
        <f t="shared" si="206"/>
        <v>0</v>
      </c>
      <c r="BT77" s="92">
        <f t="shared" si="207"/>
        <v>8.5299932276949875E-2</v>
      </c>
      <c r="BU77" s="93">
        <f t="shared" si="208"/>
        <v>830.82561151079142</v>
      </c>
      <c r="BV77" s="94">
        <f t="shared" si="209"/>
        <v>0</v>
      </c>
      <c r="BW77" s="95">
        <f t="shared" si="210"/>
        <v>0</v>
      </c>
      <c r="BX77" s="92">
        <f t="shared" si="211"/>
        <v>4.5063512001208748E-2</v>
      </c>
      <c r="BY77" s="93">
        <f t="shared" si="212"/>
        <v>438.92086330935251</v>
      </c>
      <c r="BZ77" s="94">
        <f t="shared" si="213"/>
        <v>2.4110808248593841E-2</v>
      </c>
      <c r="CA77" s="95">
        <f t="shared" si="214"/>
        <v>234.84047961630694</v>
      </c>
      <c r="CB77" s="92">
        <f t="shared" si="215"/>
        <v>2.7560723790270601E-2</v>
      </c>
      <c r="CC77" s="93">
        <f t="shared" si="216"/>
        <v>268.44282973621102</v>
      </c>
      <c r="CD77" s="94">
        <f t="shared" si="217"/>
        <v>3.5912290328241218E-2</v>
      </c>
      <c r="CE77" s="96">
        <f t="shared" si="218"/>
        <v>349.78750599520384</v>
      </c>
      <c r="CF77" s="97">
        <f t="shared" si="219"/>
        <v>1.3945240232467154E-2</v>
      </c>
      <c r="CG77" s="98">
        <f t="shared" si="220"/>
        <v>135.82733812949641</v>
      </c>
      <c r="CH77" s="94">
        <f t="shared" si="221"/>
        <v>3.5612583381161764E-3</v>
      </c>
      <c r="CI77" s="95">
        <f t="shared" si="222"/>
        <v>34.6868345323741</v>
      </c>
      <c r="CJ77" s="99">
        <f t="shared" si="229"/>
        <v>0.44403625268809405</v>
      </c>
      <c r="CK77" s="97">
        <f t="shared" si="230"/>
        <v>0.37721188646187215</v>
      </c>
      <c r="CL77" s="97">
        <f t="shared" si="231"/>
        <v>0.39079752415712848</v>
      </c>
      <c r="CM77" s="98">
        <f t="shared" si="232"/>
        <v>3674.0626618705032</v>
      </c>
      <c r="CN77" s="94">
        <f t="shared" si="233"/>
        <v>0.35433884703814561</v>
      </c>
      <c r="CO77" s="100">
        <f t="shared" si="234"/>
        <v>0.30101331620747529</v>
      </c>
      <c r="CP77" s="100">
        <f t="shared" si="235"/>
        <v>0.31185459136929544</v>
      </c>
      <c r="CQ77" s="101">
        <f t="shared" si="236"/>
        <v>2931.884772182254</v>
      </c>
      <c r="CR77" s="99">
        <f t="shared" si="237"/>
        <v>1.9757032705308587E-2</v>
      </c>
      <c r="CS77" s="97">
        <f t="shared" si="238"/>
        <v>1.6783736761451559E-2</v>
      </c>
      <c r="CT77" s="97">
        <f t="shared" si="239"/>
        <v>1.7388218685264644E-2</v>
      </c>
      <c r="CU77" s="98">
        <f t="shared" si="240"/>
        <v>163.47443645083931</v>
      </c>
      <c r="CV77" s="94">
        <f t="shared" si="241"/>
        <v>3.6258371561948638E-2</v>
      </c>
      <c r="CW77" s="100">
        <f t="shared" si="242"/>
        <v>3.0801738943881656E-2</v>
      </c>
      <c r="CX77" s="100">
        <f t="shared" si="243"/>
        <v>3.1911092282665539E-2</v>
      </c>
      <c r="CY77" s="95">
        <f t="shared" si="244"/>
        <v>300.01047961630695</v>
      </c>
      <c r="CZ77" s="99">
        <f t="shared" si="245"/>
        <v>0.86837841686008599</v>
      </c>
      <c r="DA77" s="97">
        <f t="shared" si="246"/>
        <v>0.73769350768901754</v>
      </c>
      <c r="DB77" s="97">
        <f t="shared" si="247"/>
        <v>0.76426222698259372</v>
      </c>
      <c r="DC77" s="98">
        <f t="shared" si="248"/>
        <v>7185.1717026378901</v>
      </c>
      <c r="DD77" s="94">
        <f t="shared" si="249"/>
        <v>2.5298370397315938E-2</v>
      </c>
      <c r="DE77" s="100">
        <f t="shared" si="250"/>
        <v>2.2265165190072208E-2</v>
      </c>
      <c r="DF77" s="95">
        <f t="shared" si="251"/>
        <v>209.32479616306955</v>
      </c>
      <c r="DG77" s="99">
        <f t="shared" si="252"/>
        <v>3.1611309393969897E-3</v>
      </c>
      <c r="DH77" s="98">
        <f t="shared" si="253"/>
        <v>29.719208633093526</v>
      </c>
      <c r="DI77" s="94">
        <f t="shared" si="254"/>
        <v>2.8066175772514936E-2</v>
      </c>
      <c r="DJ77" s="100">
        <f t="shared" si="255"/>
        <v>2.4701118293965169E-2</v>
      </c>
      <c r="DK77" s="95">
        <f t="shared" si="256"/>
        <v>232.2262829736211</v>
      </c>
      <c r="DL77" s="99">
        <f t="shared" si="257"/>
        <v>4.5557472712376718E-3</v>
      </c>
      <c r="DM77" s="97">
        <f t="shared" si="258"/>
        <v>4.0095256716254461E-3</v>
      </c>
      <c r="DN77" s="102">
        <f t="shared" si="259"/>
        <v>37.695347721822543</v>
      </c>
      <c r="DO77" s="94">
        <f t="shared" si="260"/>
        <v>2.6295820456276625E-2</v>
      </c>
      <c r="DP77" s="100">
        <f t="shared" si="261"/>
        <v>2.2338482455715836E-2</v>
      </c>
      <c r="DQ77" s="100">
        <f t="shared" si="262"/>
        <v>2.3143023723361897E-2</v>
      </c>
      <c r="DR77" s="95">
        <f t="shared" si="263"/>
        <v>217.57793764988008</v>
      </c>
      <c r="DS77" s="99">
        <f t="shared" si="264"/>
        <v>7.7870755338182703E-4</v>
      </c>
      <c r="DT77" s="97">
        <f t="shared" si="265"/>
        <v>6.8534265403288007E-4</v>
      </c>
      <c r="DU77" s="98">
        <f t="shared" si="266"/>
        <v>6.4432134292565948</v>
      </c>
      <c r="DV77" s="94">
        <f t="shared" si="267"/>
        <v>2.722061139269363E-2</v>
      </c>
      <c r="DW77" s="100">
        <f t="shared" si="268"/>
        <v>2.3956934763568295E-2</v>
      </c>
      <c r="DX77" s="95">
        <f t="shared" si="269"/>
        <v>225.22988009592325</v>
      </c>
      <c r="DY77" s="99">
        <f t="shared" si="270"/>
        <v>4.4144750208746364E-2</v>
      </c>
      <c r="DZ77" s="98">
        <f t="shared" si="271"/>
        <v>415.0245803357314</v>
      </c>
      <c r="EA77" s="94">
        <f t="shared" si="226"/>
        <v>1.1020362014334097E-2</v>
      </c>
      <c r="EB77" s="95">
        <f t="shared" si="227"/>
        <v>103.60736211031174</v>
      </c>
      <c r="EC77" s="103">
        <f>IFERROR(VLOOKUP(A77,PP!$E$3:$S$130,14,0),0)</f>
        <v>116</v>
      </c>
    </row>
    <row r="78" spans="1:227">
      <c r="A78" s="26">
        <v>3518</v>
      </c>
      <c r="B78" s="125">
        <v>10123</v>
      </c>
      <c r="C78" s="26" t="s">
        <v>100</v>
      </c>
      <c r="D78" s="88">
        <f>IFERROR(_xlfn.XLOOKUP($A78,CFR20252026_BenchMarkDataReport!$B:$B,CFR20252026_BenchMarkDataReport!S:S),0)</f>
        <v>2655311.48</v>
      </c>
      <c r="E78" s="88">
        <f>IFERROR(_xlfn.XLOOKUP($A78,CFR20252026_BenchMarkDataReport!$B:$B,CFR20252026_BenchMarkDataReport!T:T),0)</f>
        <v>0</v>
      </c>
      <c r="F78" s="88">
        <f>IFERROR(_xlfn.XLOOKUP($A78,CFR20252026_BenchMarkDataReport!$B:$B,CFR20252026_BenchMarkDataReport!U:U),0)</f>
        <v>227480.26</v>
      </c>
      <c r="G78" s="88">
        <f>IFERROR(_xlfn.XLOOKUP($A78,CFR20252026_BenchMarkDataReport!$B:$B,CFR20252026_BenchMarkDataReport!V:V),0)</f>
        <v>0</v>
      </c>
      <c r="H78" s="88">
        <f>IFERROR(_xlfn.XLOOKUP($A78,CFR20252026_BenchMarkDataReport!$B:$B,CFR20252026_BenchMarkDataReport!W:W),0)</f>
        <v>199809</v>
      </c>
      <c r="I78" s="88">
        <f>IFERROR(_xlfn.XLOOKUP($A78,CFR20252026_BenchMarkDataReport!$B:$B,CFR20252026_BenchMarkDataReport!X:X),0)</f>
        <v>52260.5</v>
      </c>
      <c r="J78" s="88">
        <f>IFERROR(_xlfn.XLOOKUP($A78,CFR20252026_BenchMarkDataReport!$B:$B,CFR20252026_BenchMarkDataReport!Y:Y),0)</f>
        <v>89877.14</v>
      </c>
      <c r="K78" s="88">
        <f>IFERROR(_xlfn.XLOOKUP($A78,CFR20252026_BenchMarkDataReport!$B:$B,CFR20252026_BenchMarkDataReport!Z:Z),0)</f>
        <v>13200</v>
      </c>
      <c r="L78" s="88">
        <f>IFERROR(_xlfn.XLOOKUP($A78,CFR20252026_BenchMarkDataReport!$B:$B,CFR20252026_BenchMarkDataReport!AA:AA),0)</f>
        <v>22806.85</v>
      </c>
      <c r="M78" s="88">
        <f>IFERROR(_xlfn.XLOOKUP($A78,CFR20252026_BenchMarkDataReport!$B:$B,CFR20252026_BenchMarkDataReport!AB:AB),0)</f>
        <v>2120.29</v>
      </c>
      <c r="N78" s="88">
        <f>IFERROR(_xlfn.XLOOKUP($A78,CFR20252026_BenchMarkDataReport!$B:$B,CFR20252026_BenchMarkDataReport!AC:AC),0)</f>
        <v>0</v>
      </c>
      <c r="O78" s="88">
        <f>IFERROR(_xlfn.XLOOKUP($A78,CFR20252026_BenchMarkDataReport!$B:$B,CFR20252026_BenchMarkDataReport!AD:AD),0)</f>
        <v>0</v>
      </c>
      <c r="P78" s="88">
        <f>IFERROR(_xlfn.XLOOKUP($A78,CFR20252026_BenchMarkDataReport!$B:$B,CFR20252026_BenchMarkDataReport!AE:AE),0)</f>
        <v>18542.5</v>
      </c>
      <c r="Q78" s="88">
        <f>IFERROR(_xlfn.XLOOKUP($A78,CFR20252026_BenchMarkDataReport!$B:$B,CFR20252026_BenchMarkDataReport!AF:AF),0)</f>
        <v>763</v>
      </c>
      <c r="R78" s="88">
        <f>IFERROR(_xlfn.XLOOKUP($A78,CFR20252026_BenchMarkDataReport!$B:$B,CFR20252026_BenchMarkDataReport!AG:AG),0)</f>
        <v>0</v>
      </c>
      <c r="S78" s="88">
        <f>IFERROR(_xlfn.XLOOKUP($A78,CFR20252026_BenchMarkDataReport!$B:$B,CFR20252026_BenchMarkDataReport!AH:AH),0)</f>
        <v>0</v>
      </c>
      <c r="T78" s="88">
        <f>IFERROR(_xlfn.XLOOKUP($A78,CFR20252026_BenchMarkDataReport!$B:$B,CFR20252026_BenchMarkDataReport!AI:AI),0)</f>
        <v>0</v>
      </c>
      <c r="U78" s="88">
        <f>IFERROR(_xlfn.XLOOKUP($A78,CFR20252026_BenchMarkDataReport!$B:$B,CFR20252026_BenchMarkDataReport!AJ:AJ),0)</f>
        <v>1513874.99</v>
      </c>
      <c r="V78" s="88">
        <f>IFERROR(_xlfn.XLOOKUP($A78,CFR20252026_BenchMarkDataReport!$B:$B,CFR20252026_BenchMarkDataReport!AK:AK),0)</f>
        <v>9483.92</v>
      </c>
      <c r="W78" s="88">
        <f>IFERROR(_xlfn.XLOOKUP($A78,CFR20252026_BenchMarkDataReport!$B:$B,CFR20252026_BenchMarkDataReport!AL:AL),0)</f>
        <v>816166.82</v>
      </c>
      <c r="X78" s="88">
        <f>IFERROR(_xlfn.XLOOKUP($A78,CFR20252026_BenchMarkDataReport!$B:$B,CFR20252026_BenchMarkDataReport!AM:AM),0)</f>
        <v>20610.72</v>
      </c>
      <c r="Y78" s="88">
        <f>IFERROR(_xlfn.XLOOKUP($A78,CFR20252026_BenchMarkDataReport!$B:$B,CFR20252026_BenchMarkDataReport!AN:AN),0)</f>
        <v>63123.56</v>
      </c>
      <c r="Z78" s="88">
        <f>IFERROR(_xlfn.XLOOKUP($A78,CFR20252026_BenchMarkDataReport!$B:$B,CFR20252026_BenchMarkDataReport!AO:AO),0)</f>
        <v>0</v>
      </c>
      <c r="AA78" s="88">
        <f>IFERROR(_xlfn.XLOOKUP($A78,CFR20252026_BenchMarkDataReport!$B:$B,CFR20252026_BenchMarkDataReport!AP:AP),0)</f>
        <v>226481.23</v>
      </c>
      <c r="AB78" s="88">
        <f>IFERROR(_xlfn.XLOOKUP($A78,CFR20252026_BenchMarkDataReport!$B:$B,CFR20252026_BenchMarkDataReport!AQ:AQ),0)</f>
        <v>15695.39</v>
      </c>
      <c r="AC78" s="88">
        <f>IFERROR(_xlfn.XLOOKUP($A78,CFR20252026_BenchMarkDataReport!$B:$B,CFR20252026_BenchMarkDataReport!AR:AR),0)</f>
        <v>2153.23</v>
      </c>
      <c r="AD78" s="88">
        <f>IFERROR(_xlfn.XLOOKUP($A78,CFR20252026_BenchMarkDataReport!$B:$B,CFR20252026_BenchMarkDataReport!AS:AS),0)</f>
        <v>649.79999999999995</v>
      </c>
      <c r="AE78" s="88">
        <f>IFERROR(_xlfn.XLOOKUP($A78,CFR20252026_BenchMarkDataReport!$B:$B,CFR20252026_BenchMarkDataReport!AT:AT),0)</f>
        <v>0</v>
      </c>
      <c r="AF78" s="88">
        <f>IFERROR(_xlfn.XLOOKUP($A78,CFR20252026_BenchMarkDataReport!$B:$B,CFR20252026_BenchMarkDataReport!AU:AU),0)</f>
        <v>46325.59</v>
      </c>
      <c r="AG78" s="88">
        <f>IFERROR(_xlfn.XLOOKUP($A78,CFR20252026_BenchMarkDataReport!$B:$B,CFR20252026_BenchMarkDataReport!AV:AV),0)</f>
        <v>5640.19</v>
      </c>
      <c r="AH78" s="88">
        <f>IFERROR(_xlfn.XLOOKUP($A78,CFR20252026_BenchMarkDataReport!$B:$B,CFR20252026_BenchMarkDataReport!AW:AW),0)</f>
        <v>75105.86</v>
      </c>
      <c r="AI78" s="88">
        <f>IFERROR(_xlfn.XLOOKUP($A78,CFR20252026_BenchMarkDataReport!$B:$B,CFR20252026_BenchMarkDataReport!AX:AX),0)</f>
        <v>2208.54</v>
      </c>
      <c r="AJ78" s="88">
        <f>IFERROR(_xlfn.XLOOKUP($A78,CFR20252026_BenchMarkDataReport!$B:$B,CFR20252026_BenchMarkDataReport!AY:AY),0)</f>
        <v>57407.71</v>
      </c>
      <c r="AK78" s="88">
        <f>IFERROR(_xlfn.XLOOKUP($A78,CFR20252026_BenchMarkDataReport!$B:$B,CFR20252026_BenchMarkDataReport!AZ:AZ),0)</f>
        <v>45339.49</v>
      </c>
      <c r="AL78" s="88">
        <f>IFERROR(_xlfn.XLOOKUP($A78,CFR20252026_BenchMarkDataReport!$B:$B,CFR20252026_BenchMarkDataReport!BA:BA),0)</f>
        <v>11122.41</v>
      </c>
      <c r="AM78" s="88">
        <f>IFERROR(_xlfn.XLOOKUP($A78,CFR20252026_BenchMarkDataReport!$B:$B,CFR20252026_BenchMarkDataReport!BB:BB),0)</f>
        <v>32491.62</v>
      </c>
      <c r="AN78" s="88">
        <f>IFERROR(_xlfn.XLOOKUP($A78,CFR20252026_BenchMarkDataReport!$B:$B,CFR20252026_BenchMarkDataReport!BC:BC),0)</f>
        <v>11099.43</v>
      </c>
      <c r="AO78" s="88">
        <f>IFERROR(_xlfn.XLOOKUP($A78,CFR20252026_BenchMarkDataReport!$B:$B,CFR20252026_BenchMarkDataReport!BD:BD),0)</f>
        <v>0</v>
      </c>
      <c r="AP78" s="88">
        <f>IFERROR(_xlfn.XLOOKUP($A78,CFR20252026_BenchMarkDataReport!$B:$B,CFR20252026_BenchMarkDataReport!BE:BE),0)</f>
        <v>7335.8</v>
      </c>
      <c r="AQ78" s="88">
        <f>IFERROR(_xlfn.XLOOKUP($A78,CFR20252026_BenchMarkDataReport!$B:$B,CFR20252026_BenchMarkDataReport!BF:BF),0)</f>
        <v>7201.62</v>
      </c>
      <c r="AR78" s="88">
        <f>IFERROR(_xlfn.XLOOKUP($A78,CFR20252026_BenchMarkDataReport!$B:$B,CFR20252026_BenchMarkDataReport!BG:BG),0)</f>
        <v>0</v>
      </c>
      <c r="AS78" s="88">
        <f>IFERROR(_xlfn.XLOOKUP($A78,CFR20252026_BenchMarkDataReport!$B:$B,CFR20252026_BenchMarkDataReport!BH:BH),0)</f>
        <v>1878.36</v>
      </c>
      <c r="AT78" s="88">
        <f>IFERROR(_xlfn.XLOOKUP($A78,CFR20252026_BenchMarkDataReport!$B:$B,CFR20252026_BenchMarkDataReport!BI:BI),0)</f>
        <v>18045</v>
      </c>
      <c r="AU78" s="88">
        <f>IFERROR(_xlfn.XLOOKUP($A78,CFR20252026_BenchMarkDataReport!$B:$B,CFR20252026_BenchMarkDataReport!BJ:BJ),0)</f>
        <v>0</v>
      </c>
      <c r="AV78" s="88">
        <f>IFERROR(_xlfn.XLOOKUP($A78,CFR20252026_BenchMarkDataReport!$B:$B,CFR20252026_BenchMarkDataReport!BK:BK),0)</f>
        <v>12412.96</v>
      </c>
      <c r="AW78" s="88">
        <f>IFERROR(_xlfn.XLOOKUP($A78,CFR20252026_BenchMarkDataReport!$B:$B,CFR20252026_BenchMarkDataReport!BL:BL),0)</f>
        <v>17744.400000000001</v>
      </c>
      <c r="AX78" s="88">
        <f>IFERROR(_xlfn.XLOOKUP($A78,CFR20252026_BenchMarkDataReport!$B:$B,CFR20252026_BenchMarkDataReport!BM:BM),0)</f>
        <v>21189.91</v>
      </c>
      <c r="AY78" s="88">
        <f>IFERROR(_xlfn.XLOOKUP($A78,CFR20252026_BenchMarkDataReport!$B:$B,CFR20252026_BenchMarkDataReport!BN:BN),0)</f>
        <v>154663.01</v>
      </c>
      <c r="AZ78" s="88">
        <f>IFERROR(_xlfn.XLOOKUP($A78,CFR20252026_BenchMarkDataReport!$B:$B,CFR20252026_BenchMarkDataReport!BO:BO),0)</f>
        <v>88838.83</v>
      </c>
      <c r="BA78" s="88">
        <f>IFERROR(_xlfn.XLOOKUP($A78,CFR20252026_BenchMarkDataReport!$B:$B,CFR20252026_BenchMarkDataReport!BP:BP),0)</f>
        <v>209655.3</v>
      </c>
      <c r="BB78" s="88">
        <f>IFERROR(_xlfn.XLOOKUP($A78,CFR20252026_BenchMarkDataReport!$B:$B,CFR20252026_BenchMarkDataReport!BQ:BQ),0)</f>
        <v>53252.04</v>
      </c>
      <c r="BC78" s="88">
        <f>IFERROR(_xlfn.XLOOKUP($A78,CFR20252026_BenchMarkDataReport!$B:$B,CFR20252026_BenchMarkDataReport!BR:BR),0)</f>
        <v>0</v>
      </c>
      <c r="BD78" s="88">
        <f>IFERROR(_xlfn.XLOOKUP($A78,CFR20252026_BenchMarkDataReport!$B:$B,CFR20252026_BenchMarkDataReport!BS:BS),0)</f>
        <v>0</v>
      </c>
      <c r="BE78" s="88">
        <f>IFERROR(_xlfn.XLOOKUP($A78,CFR20252026_BenchMarkDataReport!$B:$B,CFR20252026_BenchMarkDataReport!BT:BT),0)</f>
        <v>0</v>
      </c>
      <c r="BF78" s="88">
        <f>IFERROR(_xlfn.XLOOKUP($A78,CFR20252026_BenchMarkDataReport!$B:$B,CFR20252026_BenchMarkDataReport!BU:BU),0)</f>
        <v>0</v>
      </c>
      <c r="BG78" s="88">
        <f>IFERROR(_xlfn.XLOOKUP($A78,CFR20252026_BenchMarkDataReport!$B:$B,CFR20252026_BenchMarkDataReport!BV:BV),0)</f>
        <v>0</v>
      </c>
      <c r="BH78" s="89">
        <f t="shared" si="228"/>
        <v>3282171.0200000005</v>
      </c>
      <c r="BI78" s="90">
        <f t="shared" si="223"/>
        <v>3547197.7300000004</v>
      </c>
      <c r="BJ78" s="126">
        <f t="shared" si="224"/>
        <v>-265026.70999999996</v>
      </c>
      <c r="BK78" s="88">
        <f>IFERROR(_xlfn.XLOOKUP(A78,CFR20252026_BenchMarkDataReport!$B:$B,CFR20252026_BenchMarkDataReport!P:P)+_xlfn.XLOOKUP(A78,CFR20252026_BenchMarkDataReport!$B:$B,CFR20252026_BenchMarkDataReport!Q:Q),0)</f>
        <v>-324676</v>
      </c>
      <c r="BL78" s="89">
        <f t="shared" si="225"/>
        <v>-589702.71</v>
      </c>
      <c r="BM78" s="91">
        <f>SUMIFS(PP!I:I,PP!E:E,A78)</f>
        <v>380</v>
      </c>
      <c r="BN78" s="90">
        <f t="shared" si="272"/>
        <v>2882791.74</v>
      </c>
      <c r="BO78" t="s">
        <v>173</v>
      </c>
      <c r="BP78" s="92">
        <f t="shared" si="203"/>
        <v>0.80901070170316702</v>
      </c>
      <c r="BQ78" s="93">
        <f t="shared" si="204"/>
        <v>6987.6617894736837</v>
      </c>
      <c r="BR78" s="94">
        <f t="shared" si="205"/>
        <v>0</v>
      </c>
      <c r="BS78" s="95">
        <f t="shared" si="206"/>
        <v>0</v>
      </c>
      <c r="BT78" s="92">
        <f t="shared" si="207"/>
        <v>6.930786318380204E-2</v>
      </c>
      <c r="BU78" s="93">
        <f t="shared" si="208"/>
        <v>598.63226315789473</v>
      </c>
      <c r="BV78" s="94">
        <f t="shared" si="209"/>
        <v>0</v>
      </c>
      <c r="BW78" s="95">
        <f t="shared" si="210"/>
        <v>0</v>
      </c>
      <c r="BX78" s="92">
        <f t="shared" si="211"/>
        <v>6.0877083729780776E-2</v>
      </c>
      <c r="BY78" s="93">
        <f t="shared" si="212"/>
        <v>525.81315789473683</v>
      </c>
      <c r="BZ78" s="94">
        <f t="shared" si="213"/>
        <v>1.5922540197189358E-2</v>
      </c>
      <c r="CA78" s="95">
        <f t="shared" si="214"/>
        <v>137.52763157894736</v>
      </c>
      <c r="CB78" s="92">
        <f t="shared" si="215"/>
        <v>2.7383442073045904E-2</v>
      </c>
      <c r="CC78" s="93">
        <f t="shared" si="216"/>
        <v>236.51878947368422</v>
      </c>
      <c r="CD78" s="94">
        <f t="shared" si="217"/>
        <v>1.097043687869744E-2</v>
      </c>
      <c r="CE78" s="96">
        <f t="shared" si="218"/>
        <v>94.754868421052635</v>
      </c>
      <c r="CF78" s="97">
        <f t="shared" si="219"/>
        <v>5.649461861374913E-3</v>
      </c>
      <c r="CG78" s="98">
        <f t="shared" si="220"/>
        <v>48.796052631578945</v>
      </c>
      <c r="CH78" s="94">
        <f t="shared" si="221"/>
        <v>2.3246808144689545E-4</v>
      </c>
      <c r="CI78" s="95">
        <f t="shared" si="222"/>
        <v>2.0078947368421054</v>
      </c>
      <c r="CJ78" s="99">
        <f t="shared" si="229"/>
        <v>0.55924877181728005</v>
      </c>
      <c r="CK78" s="97">
        <f t="shared" si="230"/>
        <v>0.49119857867735356</v>
      </c>
      <c r="CL78" s="97">
        <f t="shared" si="231"/>
        <v>0.45449897714047077</v>
      </c>
      <c r="CM78" s="98">
        <f t="shared" si="232"/>
        <v>4242.6256315789469</v>
      </c>
      <c r="CN78" s="94">
        <f t="shared" si="233"/>
        <v>0.28311681647873732</v>
      </c>
      <c r="CO78" s="100">
        <f t="shared" si="234"/>
        <v>0.24866675594497201</v>
      </c>
      <c r="CP78" s="100">
        <f t="shared" si="235"/>
        <v>0.23008777128417926</v>
      </c>
      <c r="CQ78" s="101">
        <f t="shared" si="236"/>
        <v>2147.8074210526315</v>
      </c>
      <c r="CR78" s="99">
        <f t="shared" si="237"/>
        <v>7.1495695349813922E-3</v>
      </c>
      <c r="CS78" s="97">
        <f t="shared" si="238"/>
        <v>6.2795996535244519E-3</v>
      </c>
      <c r="CT78" s="97">
        <f t="shared" si="239"/>
        <v>5.8104232041217502E-3</v>
      </c>
      <c r="CU78" s="98">
        <f t="shared" si="240"/>
        <v>54.238736842105268</v>
      </c>
      <c r="CV78" s="94">
        <f t="shared" si="241"/>
        <v>2.1896677142553486E-2</v>
      </c>
      <c r="CW78" s="100">
        <f t="shared" si="242"/>
        <v>1.9232258043640878E-2</v>
      </c>
      <c r="CX78" s="100">
        <f t="shared" si="243"/>
        <v>1.7795331640562365E-2</v>
      </c>
      <c r="CY78" s="95">
        <f t="shared" si="244"/>
        <v>166.11463157894735</v>
      </c>
      <c r="CZ78" s="99">
        <f t="shared" si="245"/>
        <v>0.91915805197915545</v>
      </c>
      <c r="DA78" s="97">
        <f t="shared" si="246"/>
        <v>0.80731358111863405</v>
      </c>
      <c r="DB78" s="97">
        <f t="shared" si="247"/>
        <v>0.74699564041500444</v>
      </c>
      <c r="DC78" s="98">
        <f t="shared" si="248"/>
        <v>6973.0032631578952</v>
      </c>
      <c r="DD78" s="94">
        <f t="shared" si="249"/>
        <v>1.6069697077736179E-2</v>
      </c>
      <c r="DE78" s="100">
        <f t="shared" si="250"/>
        <v>1.3059770987167381E-2</v>
      </c>
      <c r="DF78" s="95">
        <f t="shared" si="251"/>
        <v>121.90944736842104</v>
      </c>
      <c r="DG78" s="99">
        <f t="shared" si="252"/>
        <v>6.2261541873505865E-4</v>
      </c>
      <c r="DH78" s="98">
        <f t="shared" si="253"/>
        <v>5.8119473684210528</v>
      </c>
      <c r="DI78" s="94">
        <f t="shared" si="254"/>
        <v>1.9913928988848844E-2</v>
      </c>
      <c r="DJ78" s="100">
        <f t="shared" si="255"/>
        <v>1.6183961078482082E-2</v>
      </c>
      <c r="DK78" s="95">
        <f t="shared" si="256"/>
        <v>151.07292105263159</v>
      </c>
      <c r="DL78" s="99">
        <f t="shared" si="257"/>
        <v>3.8582079467176489E-3</v>
      </c>
      <c r="DM78" s="97">
        <f t="shared" si="258"/>
        <v>3.135548352981157E-3</v>
      </c>
      <c r="DN78" s="102">
        <f t="shared" si="259"/>
        <v>29.269500000000001</v>
      </c>
      <c r="DO78" s="94">
        <f t="shared" si="260"/>
        <v>1.1270887018706386E-2</v>
      </c>
      <c r="DP78" s="100">
        <f t="shared" si="261"/>
        <v>9.8994293112733642E-3</v>
      </c>
      <c r="DQ78" s="100">
        <f t="shared" si="262"/>
        <v>9.1597995017886971E-3</v>
      </c>
      <c r="DR78" s="95">
        <f t="shared" si="263"/>
        <v>85.504263157894741</v>
      </c>
      <c r="DS78" s="99">
        <f t="shared" si="264"/>
        <v>4.3058816312551247E-3</v>
      </c>
      <c r="DT78" s="97">
        <f t="shared" si="265"/>
        <v>3.499370755404717E-3</v>
      </c>
      <c r="DU78" s="98">
        <f t="shared" si="266"/>
        <v>32.665684210526315</v>
      </c>
      <c r="DV78" s="94">
        <f t="shared" si="267"/>
        <v>7.2726481448847205E-2</v>
      </c>
      <c r="DW78" s="100">
        <f t="shared" si="268"/>
        <v>5.9104486402566561E-2</v>
      </c>
      <c r="DX78" s="95">
        <f t="shared" si="269"/>
        <v>551.72447368421047</v>
      </c>
      <c r="DY78" s="99">
        <f t="shared" si="270"/>
        <v>4.3601462836975823E-2</v>
      </c>
      <c r="DZ78" s="98">
        <f t="shared" si="271"/>
        <v>407.00792105263162</v>
      </c>
      <c r="EA78" s="94">
        <f t="shared" si="226"/>
        <v>2.1173293883450919E-2</v>
      </c>
      <c r="EB78" s="95">
        <f t="shared" si="227"/>
        <v>197.64699999999999</v>
      </c>
      <c r="EC78" s="103">
        <f>IFERROR(VLOOKUP(A78,PP!$E$3:$S$130,14,0),0)</f>
        <v>131</v>
      </c>
    </row>
    <row r="79" spans="1:227">
      <c r="A79" s="26">
        <v>2054</v>
      </c>
      <c r="B79" s="125">
        <v>10109</v>
      </c>
      <c r="C79" s="26" t="s">
        <v>101</v>
      </c>
      <c r="D79" s="88">
        <f>IFERROR(_xlfn.XLOOKUP($A79,CFR20252026_BenchMarkDataReport!$B:$B,CFR20252026_BenchMarkDataReport!S:S),0)</f>
        <v>1224893.43</v>
      </c>
      <c r="E79" s="88">
        <f>IFERROR(_xlfn.XLOOKUP($A79,CFR20252026_BenchMarkDataReport!$B:$B,CFR20252026_BenchMarkDataReport!T:T),0)</f>
        <v>0</v>
      </c>
      <c r="F79" s="88">
        <f>IFERROR(_xlfn.XLOOKUP($A79,CFR20252026_BenchMarkDataReport!$B:$B,CFR20252026_BenchMarkDataReport!U:U),0)</f>
        <v>93611.09</v>
      </c>
      <c r="G79" s="88">
        <f>IFERROR(_xlfn.XLOOKUP($A79,CFR20252026_BenchMarkDataReport!$B:$B,CFR20252026_BenchMarkDataReport!V:V),0)</f>
        <v>0</v>
      </c>
      <c r="H79" s="88">
        <f>IFERROR(_xlfn.XLOOKUP($A79,CFR20252026_BenchMarkDataReport!$B:$B,CFR20252026_BenchMarkDataReport!W:W),0)</f>
        <v>19295</v>
      </c>
      <c r="I79" s="88">
        <f>IFERROR(_xlfn.XLOOKUP($A79,CFR20252026_BenchMarkDataReport!$B:$B,CFR20252026_BenchMarkDataReport!X:X),0)</f>
        <v>58414.42</v>
      </c>
      <c r="J79" s="88">
        <f>IFERROR(_xlfn.XLOOKUP($A79,CFR20252026_BenchMarkDataReport!$B:$B,CFR20252026_BenchMarkDataReport!Y:Y),0)</f>
        <v>57176.21</v>
      </c>
      <c r="K79" s="88">
        <f>IFERROR(_xlfn.XLOOKUP($A79,CFR20252026_BenchMarkDataReport!$B:$B,CFR20252026_BenchMarkDataReport!Z:Z),0)</f>
        <v>40576.44</v>
      </c>
      <c r="L79" s="88">
        <f>IFERROR(_xlfn.XLOOKUP($A79,CFR20252026_BenchMarkDataReport!$B:$B,CFR20252026_BenchMarkDataReport!AA:AA),0)</f>
        <v>51507.93</v>
      </c>
      <c r="M79" s="88">
        <f>IFERROR(_xlfn.XLOOKUP($A79,CFR20252026_BenchMarkDataReport!$B:$B,CFR20252026_BenchMarkDataReport!AB:AB),0)</f>
        <v>1499.81</v>
      </c>
      <c r="N79" s="88">
        <f>IFERROR(_xlfn.XLOOKUP($A79,CFR20252026_BenchMarkDataReport!$B:$B,CFR20252026_BenchMarkDataReport!AC:AC),0)</f>
        <v>9000</v>
      </c>
      <c r="O79" s="88">
        <f>IFERROR(_xlfn.XLOOKUP($A79,CFR20252026_BenchMarkDataReport!$B:$B,CFR20252026_BenchMarkDataReport!AD:AD),0)</f>
        <v>0</v>
      </c>
      <c r="P79" s="88">
        <f>IFERROR(_xlfn.XLOOKUP($A79,CFR20252026_BenchMarkDataReport!$B:$B,CFR20252026_BenchMarkDataReport!AE:AE),0)</f>
        <v>28903.9</v>
      </c>
      <c r="Q79" s="88">
        <f>IFERROR(_xlfn.XLOOKUP($A79,CFR20252026_BenchMarkDataReport!$B:$B,CFR20252026_BenchMarkDataReport!AF:AF),0)</f>
        <v>33228.01</v>
      </c>
      <c r="R79" s="88">
        <f>IFERROR(_xlfn.XLOOKUP($A79,CFR20252026_BenchMarkDataReport!$B:$B,CFR20252026_BenchMarkDataReport!AG:AG),0)</f>
        <v>0</v>
      </c>
      <c r="S79" s="88">
        <f>IFERROR(_xlfn.XLOOKUP($A79,CFR20252026_BenchMarkDataReport!$B:$B,CFR20252026_BenchMarkDataReport!AH:AH),0)</f>
        <v>0</v>
      </c>
      <c r="T79" s="88">
        <f>IFERROR(_xlfn.XLOOKUP($A79,CFR20252026_BenchMarkDataReport!$B:$B,CFR20252026_BenchMarkDataReport!AI:AI),0)</f>
        <v>0</v>
      </c>
      <c r="U79" s="88">
        <f>IFERROR(_xlfn.XLOOKUP($A79,CFR20252026_BenchMarkDataReport!$B:$B,CFR20252026_BenchMarkDataReport!AJ:AJ),0)</f>
        <v>735977.81</v>
      </c>
      <c r="V79" s="88">
        <f>IFERROR(_xlfn.XLOOKUP($A79,CFR20252026_BenchMarkDataReport!$B:$B,CFR20252026_BenchMarkDataReport!AK:AK),0)</f>
        <v>0</v>
      </c>
      <c r="W79" s="88">
        <f>IFERROR(_xlfn.XLOOKUP($A79,CFR20252026_BenchMarkDataReport!$B:$B,CFR20252026_BenchMarkDataReport!AL:AL),0)</f>
        <v>177396.94</v>
      </c>
      <c r="X79" s="88">
        <f>IFERROR(_xlfn.XLOOKUP($A79,CFR20252026_BenchMarkDataReport!$B:$B,CFR20252026_BenchMarkDataReport!AM:AM),0)</f>
        <v>44066.49</v>
      </c>
      <c r="Y79" s="88">
        <f>IFERROR(_xlfn.XLOOKUP($A79,CFR20252026_BenchMarkDataReport!$B:$B,CFR20252026_BenchMarkDataReport!AN:AN),0)</f>
        <v>74046.080000000002</v>
      </c>
      <c r="Z79" s="88">
        <f>IFERROR(_xlfn.XLOOKUP($A79,CFR20252026_BenchMarkDataReport!$B:$B,CFR20252026_BenchMarkDataReport!AO:AO),0)</f>
        <v>0</v>
      </c>
      <c r="AA79" s="88">
        <f>IFERROR(_xlfn.XLOOKUP($A79,CFR20252026_BenchMarkDataReport!$B:$B,CFR20252026_BenchMarkDataReport!AP:AP),0)</f>
        <v>66435.649999999994</v>
      </c>
      <c r="AB79" s="88">
        <f>IFERROR(_xlfn.XLOOKUP($A79,CFR20252026_BenchMarkDataReport!$B:$B,CFR20252026_BenchMarkDataReport!AQ:AQ),0)</f>
        <v>4517.42</v>
      </c>
      <c r="AC79" s="88">
        <f>IFERROR(_xlfn.XLOOKUP($A79,CFR20252026_BenchMarkDataReport!$B:$B,CFR20252026_BenchMarkDataReport!AR:AR),0)</f>
        <v>1744</v>
      </c>
      <c r="AD79" s="88">
        <f>IFERROR(_xlfn.XLOOKUP($A79,CFR20252026_BenchMarkDataReport!$B:$B,CFR20252026_BenchMarkDataReport!AS:AS),0)</f>
        <v>355.68</v>
      </c>
      <c r="AE79" s="88">
        <f>IFERROR(_xlfn.XLOOKUP($A79,CFR20252026_BenchMarkDataReport!$B:$B,CFR20252026_BenchMarkDataReport!AT:AT),0)</f>
        <v>9124.2099999999991</v>
      </c>
      <c r="AF79" s="88">
        <f>IFERROR(_xlfn.XLOOKUP($A79,CFR20252026_BenchMarkDataReport!$B:$B,CFR20252026_BenchMarkDataReport!AU:AU),0)</f>
        <v>15693.37</v>
      </c>
      <c r="AG79" s="88">
        <f>IFERROR(_xlfn.XLOOKUP($A79,CFR20252026_BenchMarkDataReport!$B:$B,CFR20252026_BenchMarkDataReport!AV:AV),0)</f>
        <v>650</v>
      </c>
      <c r="AH79" s="88">
        <f>IFERROR(_xlfn.XLOOKUP($A79,CFR20252026_BenchMarkDataReport!$B:$B,CFR20252026_BenchMarkDataReport!AW:AW),0)</f>
        <v>18864.34</v>
      </c>
      <c r="AI79" s="88">
        <f>IFERROR(_xlfn.XLOOKUP($A79,CFR20252026_BenchMarkDataReport!$B:$B,CFR20252026_BenchMarkDataReport!AX:AX),0)</f>
        <v>3410.31</v>
      </c>
      <c r="AJ79" s="88">
        <f>IFERROR(_xlfn.XLOOKUP($A79,CFR20252026_BenchMarkDataReport!$B:$B,CFR20252026_BenchMarkDataReport!AY:AY),0)</f>
        <v>21414.74</v>
      </c>
      <c r="AK79" s="88">
        <f>IFERROR(_xlfn.XLOOKUP($A79,CFR20252026_BenchMarkDataReport!$B:$B,CFR20252026_BenchMarkDataReport!AZ:AZ),0)</f>
        <v>23407.360000000001</v>
      </c>
      <c r="AL79" s="88">
        <f>IFERROR(_xlfn.XLOOKUP($A79,CFR20252026_BenchMarkDataReport!$B:$B,CFR20252026_BenchMarkDataReport!BA:BA),0)</f>
        <v>11164.95</v>
      </c>
      <c r="AM79" s="88">
        <f>IFERROR(_xlfn.XLOOKUP($A79,CFR20252026_BenchMarkDataReport!$B:$B,CFR20252026_BenchMarkDataReport!BB:BB),0)</f>
        <v>45950.83</v>
      </c>
      <c r="AN79" s="88">
        <f>IFERROR(_xlfn.XLOOKUP($A79,CFR20252026_BenchMarkDataReport!$B:$B,CFR20252026_BenchMarkDataReport!BC:BC),0)</f>
        <v>5641.8</v>
      </c>
      <c r="AO79" s="88">
        <f>IFERROR(_xlfn.XLOOKUP($A79,CFR20252026_BenchMarkDataReport!$B:$B,CFR20252026_BenchMarkDataReport!BD:BD),0)</f>
        <v>1190</v>
      </c>
      <c r="AP79" s="88">
        <f>IFERROR(_xlfn.XLOOKUP($A79,CFR20252026_BenchMarkDataReport!$B:$B,CFR20252026_BenchMarkDataReport!BE:BE),0)</f>
        <v>4648.78</v>
      </c>
      <c r="AQ79" s="88">
        <f>IFERROR(_xlfn.XLOOKUP($A79,CFR20252026_BenchMarkDataReport!$B:$B,CFR20252026_BenchMarkDataReport!BF:BF),0)</f>
        <v>6811.99</v>
      </c>
      <c r="AR79" s="88">
        <f>IFERROR(_xlfn.XLOOKUP($A79,CFR20252026_BenchMarkDataReport!$B:$B,CFR20252026_BenchMarkDataReport!BG:BG),0)</f>
        <v>1026.0999999999999</v>
      </c>
      <c r="AS79" s="88">
        <f>IFERROR(_xlfn.XLOOKUP($A79,CFR20252026_BenchMarkDataReport!$B:$B,CFR20252026_BenchMarkDataReport!BH:BH),0)</f>
        <v>3949.85</v>
      </c>
      <c r="AT79" s="88">
        <f>IFERROR(_xlfn.XLOOKUP($A79,CFR20252026_BenchMarkDataReport!$B:$B,CFR20252026_BenchMarkDataReport!BI:BI),0)</f>
        <v>4030</v>
      </c>
      <c r="AU79" s="88">
        <f>IFERROR(_xlfn.XLOOKUP($A79,CFR20252026_BenchMarkDataReport!$B:$B,CFR20252026_BenchMarkDataReport!BJ:BJ),0)</f>
        <v>0</v>
      </c>
      <c r="AV79" s="88">
        <f>IFERROR(_xlfn.XLOOKUP($A79,CFR20252026_BenchMarkDataReport!$B:$B,CFR20252026_BenchMarkDataReport!BK:BK),0)</f>
        <v>1552.05</v>
      </c>
      <c r="AW79" s="88">
        <f>IFERROR(_xlfn.XLOOKUP($A79,CFR20252026_BenchMarkDataReport!$B:$B,CFR20252026_BenchMarkDataReport!BL:BL),0)</f>
        <v>9470.2099999999991</v>
      </c>
      <c r="AX79" s="88">
        <f>IFERROR(_xlfn.XLOOKUP($A79,CFR20252026_BenchMarkDataReport!$B:$B,CFR20252026_BenchMarkDataReport!BM:BM),0)</f>
        <v>10126.23</v>
      </c>
      <c r="AY79" s="88">
        <f>IFERROR(_xlfn.XLOOKUP($A79,CFR20252026_BenchMarkDataReport!$B:$B,CFR20252026_BenchMarkDataReport!BN:BN),0)</f>
        <v>92540.72</v>
      </c>
      <c r="AZ79" s="88">
        <f>IFERROR(_xlfn.XLOOKUP($A79,CFR20252026_BenchMarkDataReport!$B:$B,CFR20252026_BenchMarkDataReport!BO:BO),0)</f>
        <v>20841.080000000002</v>
      </c>
      <c r="BA79" s="88">
        <f>IFERROR(_xlfn.XLOOKUP($A79,CFR20252026_BenchMarkDataReport!$B:$B,CFR20252026_BenchMarkDataReport!BP:BP),0)</f>
        <v>222604.35</v>
      </c>
      <c r="BB79" s="88">
        <f>IFERROR(_xlfn.XLOOKUP($A79,CFR20252026_BenchMarkDataReport!$B:$B,CFR20252026_BenchMarkDataReport!BQ:BQ),0)</f>
        <v>15390.9</v>
      </c>
      <c r="BC79" s="88">
        <f>IFERROR(_xlfn.XLOOKUP($A79,CFR20252026_BenchMarkDataReport!$B:$B,CFR20252026_BenchMarkDataReport!BR:BR),0)</f>
        <v>0</v>
      </c>
      <c r="BD79" s="88">
        <f>IFERROR(_xlfn.XLOOKUP($A79,CFR20252026_BenchMarkDataReport!$B:$B,CFR20252026_BenchMarkDataReport!BS:BS),0)</f>
        <v>0</v>
      </c>
      <c r="BE79" s="88">
        <f>IFERROR(_xlfn.XLOOKUP($A79,CFR20252026_BenchMarkDataReport!$B:$B,CFR20252026_BenchMarkDataReport!BT:BT),0)</f>
        <v>0</v>
      </c>
      <c r="BF79" s="88">
        <f>IFERROR(_xlfn.XLOOKUP($A79,CFR20252026_BenchMarkDataReport!$B:$B,CFR20252026_BenchMarkDataReport!BU:BU),0)</f>
        <v>0</v>
      </c>
      <c r="BG79" s="88">
        <f>IFERROR(_xlfn.XLOOKUP($A79,CFR20252026_BenchMarkDataReport!$B:$B,CFR20252026_BenchMarkDataReport!BV:BV),0)</f>
        <v>0</v>
      </c>
      <c r="BH79" s="89">
        <f t="shared" si="228"/>
        <v>1618106.2399999998</v>
      </c>
      <c r="BI79" s="90">
        <f t="shared" si="223"/>
        <v>1654044.2400000005</v>
      </c>
      <c r="BJ79" s="126">
        <f t="shared" si="224"/>
        <v>-35938.000000000698</v>
      </c>
      <c r="BK79" s="88">
        <f>IFERROR(_xlfn.XLOOKUP(A79,CFR20252026_BenchMarkDataReport!$B:$B,CFR20252026_BenchMarkDataReport!P:P)+_xlfn.XLOOKUP(A79,CFR20252026_BenchMarkDataReport!$B:$B,CFR20252026_BenchMarkDataReport!Q:Q),0)</f>
        <v>59527</v>
      </c>
      <c r="BL79" s="89">
        <f>SUM(BJ79:BK79)</f>
        <v>23588.999999999302</v>
      </c>
      <c r="BM79" s="91">
        <f>SUMIFS(PP!I:I,PP!E:E,A79)</f>
        <v>208</v>
      </c>
      <c r="BN79" s="90">
        <f t="shared" si="272"/>
        <v>1318504.52</v>
      </c>
      <c r="BO79" t="s">
        <v>173</v>
      </c>
      <c r="BP79" s="92">
        <f t="shared" si="203"/>
        <v>0.75699196982269845</v>
      </c>
      <c r="BQ79" s="93">
        <f t="shared" si="204"/>
        <v>5888.9107211538458</v>
      </c>
      <c r="BR79" s="94">
        <f t="shared" si="205"/>
        <v>0</v>
      </c>
      <c r="BS79" s="95">
        <f t="shared" si="206"/>
        <v>0</v>
      </c>
      <c r="BT79" s="92">
        <f t="shared" si="207"/>
        <v>5.7852252025182231E-2</v>
      </c>
      <c r="BU79" s="93">
        <f t="shared" si="208"/>
        <v>450.05331730769228</v>
      </c>
      <c r="BV79" s="94">
        <f t="shared" si="209"/>
        <v>0</v>
      </c>
      <c r="BW79" s="95">
        <f t="shared" si="210"/>
        <v>0</v>
      </c>
      <c r="BX79" s="92">
        <f t="shared" si="211"/>
        <v>1.1924433342522679E-2</v>
      </c>
      <c r="BY79" s="93">
        <f t="shared" si="212"/>
        <v>92.76442307692308</v>
      </c>
      <c r="BZ79" s="94">
        <f t="shared" si="213"/>
        <v>3.6100484971864397E-2</v>
      </c>
      <c r="CA79" s="95">
        <f t="shared" si="214"/>
        <v>280.83855769230769</v>
      </c>
      <c r="CB79" s="92">
        <f t="shared" si="215"/>
        <v>3.5335263276656051E-2</v>
      </c>
      <c r="CC79" s="93">
        <f t="shared" si="216"/>
        <v>274.885625</v>
      </c>
      <c r="CD79" s="94">
        <f t="shared" si="217"/>
        <v>5.6908729305685149E-2</v>
      </c>
      <c r="CE79" s="96">
        <f t="shared" si="218"/>
        <v>442.71331730769231</v>
      </c>
      <c r="CF79" s="97">
        <f t="shared" si="219"/>
        <v>1.7862794967035047E-2</v>
      </c>
      <c r="CG79" s="98">
        <f t="shared" si="220"/>
        <v>138.96105769230769</v>
      </c>
      <c r="CH79" s="94">
        <f t="shared" si="221"/>
        <v>2.0535122588736823E-2</v>
      </c>
      <c r="CI79" s="95">
        <f t="shared" si="222"/>
        <v>159.75004807692309</v>
      </c>
      <c r="CJ79" s="99">
        <f t="shared" si="229"/>
        <v>0.5739979488276612</v>
      </c>
      <c r="CK79" s="97">
        <f t="shared" si="230"/>
        <v>0.46771891195475529</v>
      </c>
      <c r="CL79" s="97">
        <f t="shared" si="231"/>
        <v>0.45755661892090616</v>
      </c>
      <c r="CM79" s="98">
        <f t="shared" si="232"/>
        <v>3638.5523557692309</v>
      </c>
      <c r="CN79" s="94">
        <f t="shared" si="233"/>
        <v>0.1345440514682498</v>
      </c>
      <c r="CO79" s="100">
        <f t="shared" si="234"/>
        <v>0.10963244292290723</v>
      </c>
      <c r="CP79" s="100">
        <f t="shared" si="235"/>
        <v>0.10725042033942209</v>
      </c>
      <c r="CQ79" s="101">
        <f t="shared" si="236"/>
        <v>852.86990384615387</v>
      </c>
      <c r="CR79" s="99">
        <f t="shared" si="237"/>
        <v>3.3421569157760643E-2</v>
      </c>
      <c r="CS79" s="97">
        <f t="shared" si="238"/>
        <v>2.72333725132906E-2</v>
      </c>
      <c r="CT79" s="97">
        <f t="shared" si="239"/>
        <v>2.6641663466026751E-2</v>
      </c>
      <c r="CU79" s="98">
        <f t="shared" si="240"/>
        <v>211.858125</v>
      </c>
      <c r="CV79" s="94">
        <f t="shared" si="241"/>
        <v>5.6159140053611646E-2</v>
      </c>
      <c r="CW79" s="100">
        <f t="shared" si="242"/>
        <v>4.5760950776631337E-2</v>
      </c>
      <c r="CX79" s="100">
        <f t="shared" si="243"/>
        <v>4.4766686530706083E-2</v>
      </c>
      <c r="CY79" s="95">
        <f t="shared" si="244"/>
        <v>355.99076923076922</v>
      </c>
      <c r="CZ79" s="99">
        <f t="shared" si="245"/>
        <v>0.83270322804809194</v>
      </c>
      <c r="DA79" s="97">
        <f t="shared" si="246"/>
        <v>0.6785234138890659</v>
      </c>
      <c r="DB79" s="97">
        <f t="shared" si="247"/>
        <v>0.66378089742025259</v>
      </c>
      <c r="DC79" s="98">
        <f t="shared" si="248"/>
        <v>5278.4758173076925</v>
      </c>
      <c r="DD79" s="94">
        <f t="shared" si="249"/>
        <v>1.1902401366056751E-2</v>
      </c>
      <c r="DE79" s="100">
        <f t="shared" si="250"/>
        <v>9.4878780267691008E-3</v>
      </c>
      <c r="DF79" s="95">
        <f t="shared" si="251"/>
        <v>75.448894230769241</v>
      </c>
      <c r="DG79" s="99">
        <f t="shared" si="252"/>
        <v>2.0618009588425513E-3</v>
      </c>
      <c r="DH79" s="98">
        <f t="shared" si="253"/>
        <v>16.395721153846154</v>
      </c>
      <c r="DI79" s="94">
        <f t="shared" si="254"/>
        <v>1.6241688727771673E-2</v>
      </c>
      <c r="DJ79" s="100">
        <f t="shared" si="255"/>
        <v>1.2946896752894588E-2</v>
      </c>
      <c r="DK79" s="95">
        <f t="shared" si="256"/>
        <v>102.95548076923077</v>
      </c>
      <c r="DL79" s="99">
        <f t="shared" si="257"/>
        <v>8.467889059644634E-3</v>
      </c>
      <c r="DM79" s="97">
        <f t="shared" si="258"/>
        <v>6.7500915211312594E-3</v>
      </c>
      <c r="DN79" s="102">
        <f t="shared" si="259"/>
        <v>53.677644230769232</v>
      </c>
      <c r="DO79" s="94">
        <f t="shared" si="260"/>
        <v>3.4850718600494449E-2</v>
      </c>
      <c r="DP79" s="100">
        <f t="shared" si="261"/>
        <v>2.8397906678859362E-2</v>
      </c>
      <c r="DQ79" s="100">
        <f t="shared" si="262"/>
        <v>2.7780895388868191E-2</v>
      </c>
      <c r="DR79" s="95">
        <f t="shared" si="263"/>
        <v>220.91745192307692</v>
      </c>
      <c r="DS79" s="99">
        <f t="shared" si="264"/>
        <v>1.1771290704411085E-3</v>
      </c>
      <c r="DT79" s="97">
        <f t="shared" si="265"/>
        <v>9.383364498158765E-4</v>
      </c>
      <c r="DU79" s="98">
        <f t="shared" si="266"/>
        <v>7.4617788461538463</v>
      </c>
      <c r="DV79" s="94">
        <f t="shared" si="267"/>
        <v>0.16883093430730142</v>
      </c>
      <c r="DW79" s="100">
        <f t="shared" si="268"/>
        <v>0.13458185979354453</v>
      </c>
      <c r="DX79" s="95">
        <f t="shared" si="269"/>
        <v>1070.2132211538462</v>
      </c>
      <c r="DY79" s="99">
        <f t="shared" si="270"/>
        <v>5.5948152874073051E-2</v>
      </c>
      <c r="DZ79" s="98">
        <f t="shared" si="271"/>
        <v>444.90730769230771</v>
      </c>
      <c r="EA79" s="94">
        <f t="shared" si="226"/>
        <v>1.1404979107451198E-2</v>
      </c>
      <c r="EB79" s="95">
        <f t="shared" si="227"/>
        <v>90.693942307692311</v>
      </c>
      <c r="EC79" s="103">
        <f>IFERROR(VLOOKUP(A79,PP!$E$3:$S$130,14,0),0)</f>
        <v>11</v>
      </c>
    </row>
    <row r="80" spans="1:227" s="12" customFormat="1" ht="16.2" thickBot="1">
      <c r="A80" s="105">
        <v>5999</v>
      </c>
      <c r="B80" s="106"/>
      <c r="C80" s="107" t="s">
        <v>174</v>
      </c>
      <c r="D80" s="108">
        <f t="shared" ref="D80:AH80" si="273">AVERAGE(D9:D79)</f>
        <v>2006752.0956338032</v>
      </c>
      <c r="E80" s="108">
        <f t="shared" si="273"/>
        <v>0</v>
      </c>
      <c r="F80" s="108">
        <f t="shared" si="273"/>
        <v>191701.62873239437</v>
      </c>
      <c r="G80" s="108">
        <f t="shared" si="273"/>
        <v>0</v>
      </c>
      <c r="H80" s="108">
        <f t="shared" si="273"/>
        <v>98065.944788732391</v>
      </c>
      <c r="I80" s="108">
        <f t="shared" si="273"/>
        <v>72653.502957746488</v>
      </c>
      <c r="J80" s="108">
        <f t="shared" si="273"/>
        <v>89365.720563380281</v>
      </c>
      <c r="K80" s="108">
        <f t="shared" si="273"/>
        <v>25670.226056338033</v>
      </c>
      <c r="L80" s="108">
        <f t="shared" si="273"/>
        <v>47405.134788732379</v>
      </c>
      <c r="M80" s="108">
        <f t="shared" si="273"/>
        <v>6438.4540845070433</v>
      </c>
      <c r="N80" s="108">
        <f t="shared" si="273"/>
        <v>1116.6352112676057</v>
      </c>
      <c r="O80" s="108">
        <f t="shared" si="273"/>
        <v>5219.8338028169019</v>
      </c>
      <c r="P80" s="108">
        <f t="shared" si="273"/>
        <v>47336.271690140842</v>
      </c>
      <c r="Q80" s="108">
        <f t="shared" si="273"/>
        <v>81603.012112676035</v>
      </c>
      <c r="R80" s="108">
        <f t="shared" si="273"/>
        <v>0</v>
      </c>
      <c r="S80" s="108">
        <f t="shared" si="273"/>
        <v>9354.486056338028</v>
      </c>
      <c r="T80" s="108">
        <f t="shared" si="273"/>
        <v>0</v>
      </c>
      <c r="U80" s="108">
        <f t="shared" si="273"/>
        <v>1178288.6469014082</v>
      </c>
      <c r="V80" s="108">
        <f t="shared" si="273"/>
        <v>2487.631971830986</v>
      </c>
      <c r="W80" s="108">
        <f t="shared" si="273"/>
        <v>564759.3038028169</v>
      </c>
      <c r="X80" s="108">
        <f t="shared" si="273"/>
        <v>63663.614366197173</v>
      </c>
      <c r="Y80" s="108">
        <f t="shared" si="273"/>
        <v>108814.81394366204</v>
      </c>
      <c r="Z80" s="108">
        <f t="shared" si="273"/>
        <v>4063.5035211267605</v>
      </c>
      <c r="AA80" s="108">
        <f t="shared" si="273"/>
        <v>64432.472816901398</v>
      </c>
      <c r="AB80" s="108">
        <f t="shared" si="273"/>
        <v>11963.42042253521</v>
      </c>
      <c r="AC80" s="108">
        <f t="shared" si="273"/>
        <v>4646.9560563380282</v>
      </c>
      <c r="AD80" s="108">
        <f t="shared" si="273"/>
        <v>1846.0443661971835</v>
      </c>
      <c r="AE80" s="108">
        <f t="shared" si="273"/>
        <v>458.91</v>
      </c>
      <c r="AF80" s="108">
        <f t="shared" si="273"/>
        <v>35418.922676056332</v>
      </c>
      <c r="AG80" s="108">
        <f t="shared" si="273"/>
        <v>4222.2664788732391</v>
      </c>
      <c r="AH80" s="108">
        <f t="shared" si="273"/>
        <v>36329.537042253527</v>
      </c>
      <c r="AI80" s="108">
        <f t="shared" ref="AI80:BN80" si="274">AVERAGE(AI9:AI79)</f>
        <v>7834.393239436622</v>
      </c>
      <c r="AJ80" s="108">
        <f t="shared" si="274"/>
        <v>40139.080845070406</v>
      </c>
      <c r="AK80" s="108">
        <f t="shared" si="274"/>
        <v>27211.756197183084</v>
      </c>
      <c r="AL80" s="108">
        <f t="shared" si="274"/>
        <v>25643.124929577461</v>
      </c>
      <c r="AM80" s="108">
        <f t="shared" si="274"/>
        <v>74471.461126760565</v>
      </c>
      <c r="AN80" s="108">
        <f t="shared" si="274"/>
        <v>8080.3595774647911</v>
      </c>
      <c r="AO80" s="108"/>
      <c r="AP80" s="108"/>
      <c r="AQ80" s="108"/>
      <c r="AR80" s="108"/>
      <c r="AS80" s="108"/>
      <c r="AT80" s="108"/>
      <c r="AU80" s="108">
        <f t="shared" si="274"/>
        <v>0</v>
      </c>
      <c r="AV80" s="108">
        <f t="shared" si="274"/>
        <v>10511.173802816898</v>
      </c>
      <c r="AW80" s="108">
        <f t="shared" si="274"/>
        <v>14486.456338028171</v>
      </c>
      <c r="AX80" s="108">
        <f t="shared" si="274"/>
        <v>14803.229436619715</v>
      </c>
      <c r="AY80" s="108">
        <f t="shared" si="274"/>
        <v>126107.52</v>
      </c>
      <c r="AZ80" s="108">
        <f t="shared" si="274"/>
        <v>61175.92605633803</v>
      </c>
      <c r="BA80" s="108">
        <f t="shared" si="274"/>
        <v>165391.40732394365</v>
      </c>
      <c r="BB80" s="108">
        <f t="shared" si="274"/>
        <v>36975.605774647891</v>
      </c>
      <c r="BC80" s="108">
        <f t="shared" si="274"/>
        <v>1002.5743661971831</v>
      </c>
      <c r="BD80" s="108">
        <f t="shared" si="274"/>
        <v>0</v>
      </c>
      <c r="BE80" s="108">
        <f t="shared" si="274"/>
        <v>3678.8091549295782</v>
      </c>
      <c r="BF80" s="108">
        <f t="shared" si="274"/>
        <v>5766.6442253521127</v>
      </c>
      <c r="BG80" s="108">
        <f t="shared" si="274"/>
        <v>1908.2784507042252</v>
      </c>
      <c r="BH80" s="108">
        <f t="shared" si="274"/>
        <v>2673328.460422535</v>
      </c>
      <c r="BI80" s="108">
        <f t="shared" si="274"/>
        <v>2723968.0845070421</v>
      </c>
      <c r="BJ80" s="108">
        <f t="shared" si="274"/>
        <v>-50639.624084507079</v>
      </c>
      <c r="BK80" s="108">
        <f t="shared" si="274"/>
        <v>7932.5905633802759</v>
      </c>
      <c r="BL80" s="108">
        <f t="shared" si="274"/>
        <v>-42707.033521126796</v>
      </c>
      <c r="BM80" s="108">
        <f t="shared" si="274"/>
        <v>300.21126760563379</v>
      </c>
      <c r="BN80" s="108">
        <f t="shared" si="274"/>
        <v>2198453.7243661969</v>
      </c>
      <c r="BO80" s="12" t="s">
        <v>173</v>
      </c>
      <c r="BP80" s="109">
        <f t="shared" ref="BP80:CU80" si="275">AVERAGE(BP9:BP79)</f>
        <v>0.74955796460287727</v>
      </c>
      <c r="BQ80" s="110">
        <f t="shared" si="275"/>
        <v>6789.9641796488404</v>
      </c>
      <c r="BR80" s="111">
        <f t="shared" si="275"/>
        <v>0</v>
      </c>
      <c r="BS80" s="112">
        <f t="shared" si="275"/>
        <v>0</v>
      </c>
      <c r="BT80" s="109">
        <f t="shared" si="275"/>
        <v>7.0161524507500114E-2</v>
      </c>
      <c r="BU80" s="110">
        <f t="shared" si="275"/>
        <v>669.97913744965388</v>
      </c>
      <c r="BV80" s="111">
        <f t="shared" si="275"/>
        <v>0</v>
      </c>
      <c r="BW80" s="112">
        <f t="shared" si="275"/>
        <v>0</v>
      </c>
      <c r="BX80" s="109">
        <f t="shared" si="275"/>
        <v>3.4005077230865891E-2</v>
      </c>
      <c r="BY80" s="110">
        <f t="shared" si="275"/>
        <v>309.47882632743858</v>
      </c>
      <c r="BZ80" s="111">
        <f t="shared" si="275"/>
        <v>2.8753972073604174E-2</v>
      </c>
      <c r="CA80" s="112">
        <f t="shared" si="275"/>
        <v>264.84914095685889</v>
      </c>
      <c r="CB80" s="109">
        <f t="shared" si="275"/>
        <v>3.4148446091133614E-2</v>
      </c>
      <c r="CC80" s="110">
        <f t="shared" si="275"/>
        <v>303.19415662932931</v>
      </c>
      <c r="CD80" s="111">
        <f t="shared" si="275"/>
        <v>2.7342237613505658E-2</v>
      </c>
      <c r="CE80" s="113">
        <f t="shared" si="275"/>
        <v>244.91194993208785</v>
      </c>
      <c r="CF80" s="114">
        <f t="shared" si="275"/>
        <v>1.7861169682537991E-2</v>
      </c>
      <c r="CG80" s="115">
        <f t="shared" si="275"/>
        <v>161.34342289888599</v>
      </c>
      <c r="CH80" s="111">
        <f t="shared" si="275"/>
        <v>3.2728282843897061E-2</v>
      </c>
      <c r="CI80" s="116">
        <f t="shared" si="275"/>
        <v>335.36901410396626</v>
      </c>
      <c r="CJ80" s="117">
        <f t="shared" si="275"/>
        <v>0.57800268380845976</v>
      </c>
      <c r="CK80" s="114">
        <f t="shared" si="275"/>
        <v>0.47108862138555063</v>
      </c>
      <c r="CL80" s="114">
        <f t="shared" si="275"/>
        <v>0.46035589670595384</v>
      </c>
      <c r="CM80" s="115">
        <f t="shared" si="275"/>
        <v>4270.4617615959178</v>
      </c>
      <c r="CN80" s="111">
        <f t="shared" si="275"/>
        <v>0.25323717394598344</v>
      </c>
      <c r="CO80" s="118">
        <f t="shared" si="275"/>
        <v>0.20532144395009463</v>
      </c>
      <c r="CP80" s="118">
        <f t="shared" si="275"/>
        <v>0.20044462858551595</v>
      </c>
      <c r="CQ80" s="119">
        <f t="shared" si="275"/>
        <v>1914.5890179054502</v>
      </c>
      <c r="CR80" s="117">
        <f t="shared" si="275"/>
        <v>2.8317637997884264E-2</v>
      </c>
      <c r="CS80" s="114">
        <f t="shared" si="275"/>
        <v>2.3370892692267383E-2</v>
      </c>
      <c r="CT80" s="114">
        <f t="shared" si="275"/>
        <v>2.283922627680611E-2</v>
      </c>
      <c r="CU80" s="115">
        <f t="shared" si="275"/>
        <v>210.5985111895354</v>
      </c>
      <c r="CV80" s="111">
        <f t="shared" ref="CV80:EA80" si="276">AVERAGE(CV9:CV79)</f>
        <v>5.1902375072653738E-2</v>
      </c>
      <c r="CW80" s="118">
        <f t="shared" si="276"/>
        <v>4.1920048743474651E-2</v>
      </c>
      <c r="CX80" s="118">
        <f t="shared" si="276"/>
        <v>4.105033640414258E-2</v>
      </c>
      <c r="CY80" s="116">
        <f t="shared" si="276"/>
        <v>381.58138181995787</v>
      </c>
      <c r="CZ80" s="117">
        <f t="shared" si="276"/>
        <v>0.9104461347565026</v>
      </c>
      <c r="DA80" s="114">
        <f t="shared" si="276"/>
        <v>0.74084749695380048</v>
      </c>
      <c r="DB80" s="114">
        <f t="shared" si="276"/>
        <v>0.72375697685340623</v>
      </c>
      <c r="DC80" s="115">
        <f t="shared" si="276"/>
        <v>6768.6879726834777</v>
      </c>
      <c r="DD80" s="111">
        <f t="shared" si="276"/>
        <v>1.6709066711265191E-2</v>
      </c>
      <c r="DE80" s="118">
        <f t="shared" si="276"/>
        <v>1.2810619481076686E-2</v>
      </c>
      <c r="DF80" s="116">
        <f t="shared" si="276"/>
        <v>122.17855698258849</v>
      </c>
      <c r="DG80" s="117">
        <f t="shared" si="276"/>
        <v>2.8623365141353199E-3</v>
      </c>
      <c r="DH80" s="115">
        <f t="shared" si="276"/>
        <v>27.138119663429759</v>
      </c>
      <c r="DI80" s="111">
        <f t="shared" si="276"/>
        <v>1.800193658066403E-2</v>
      </c>
      <c r="DJ80" s="118">
        <f t="shared" si="276"/>
        <v>1.4375270244186104E-2</v>
      </c>
      <c r="DK80" s="116">
        <f t="shared" si="276"/>
        <v>133.63725837608135</v>
      </c>
      <c r="DL80" s="117">
        <f t="shared" si="276"/>
        <v>1.3247008621479607E-2</v>
      </c>
      <c r="DM80" s="114">
        <f t="shared" si="276"/>
        <v>9.7719044266671058E-3</v>
      </c>
      <c r="DN80" s="115">
        <f t="shared" si="276"/>
        <v>96.514506088221637</v>
      </c>
      <c r="DO80" s="111">
        <f t="shared" si="276"/>
        <v>3.5890983199768071E-2</v>
      </c>
      <c r="DP80" s="118">
        <f t="shared" si="276"/>
        <v>2.8611261920056832E-2</v>
      </c>
      <c r="DQ80" s="118">
        <f t="shared" si="276"/>
        <v>2.814412664748497E-2</v>
      </c>
      <c r="DR80" s="116">
        <f t="shared" si="276"/>
        <v>259.62404726421437</v>
      </c>
      <c r="DS80" s="117">
        <f t="shared" si="276"/>
        <v>4.6484411205875639E-3</v>
      </c>
      <c r="DT80" s="114">
        <f t="shared" si="276"/>
        <v>3.6708546655086259E-3</v>
      </c>
      <c r="DU80" s="115">
        <f t="shared" si="276"/>
        <v>33.442401591707203</v>
      </c>
      <c r="DV80" s="111">
        <f t="shared" si="276"/>
        <v>7.7507958014893408E-2</v>
      </c>
      <c r="DW80" s="118">
        <f t="shared" si="276"/>
        <v>6.2229374730662784E-2</v>
      </c>
      <c r="DX80" s="116">
        <f t="shared" si="276"/>
        <v>599.0329392746936</v>
      </c>
      <c r="DY80" s="117">
        <f t="shared" si="276"/>
        <v>4.6973713241700792E-2</v>
      </c>
      <c r="DZ80" s="115">
        <f t="shared" si="276"/>
        <v>429.45011663286726</v>
      </c>
      <c r="EA80" s="111">
        <f t="shared" si="276"/>
        <v>1.3710090760148565E-2</v>
      </c>
      <c r="EB80" s="116">
        <f t="shared" ref="EB80:EC80" si="277">AVERAGE(EB9:EB79)</f>
        <v>129.49471932240115</v>
      </c>
      <c r="EC80" s="129">
        <f t="shared" si="277"/>
        <v>61.971830985915496</v>
      </c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</row>
    <row r="81" spans="1:227" ht="15.6" thickTop="1">
      <c r="A81" s="121">
        <v>5405</v>
      </c>
      <c r="B81" s="122">
        <v>10145</v>
      </c>
      <c r="C81" s="121" t="s">
        <v>102</v>
      </c>
      <c r="D81" s="88">
        <f>IFERROR(_xlfn.XLOOKUP($A81,CFR20252026_BenchMarkDataReport!$B:$B,CFR20252026_BenchMarkDataReport!S:S),0)</f>
        <v>6613597.0199999996</v>
      </c>
      <c r="E81" s="88">
        <f>IFERROR(_xlfn.XLOOKUP($A81,CFR20252026_BenchMarkDataReport!$B:$B,CFR20252026_BenchMarkDataReport!T:T),0)</f>
        <v>2033259.91</v>
      </c>
      <c r="F81" s="88">
        <f>IFERROR(_xlfn.XLOOKUP($A81,CFR20252026_BenchMarkDataReport!$B:$B,CFR20252026_BenchMarkDataReport!U:U),0)</f>
        <v>310505.59999999998</v>
      </c>
      <c r="G81" s="88">
        <f>IFERROR(_xlfn.XLOOKUP($A81,CFR20252026_BenchMarkDataReport!$B:$B,CFR20252026_BenchMarkDataReport!V:V),0)</f>
        <v>0</v>
      </c>
      <c r="H81" s="88">
        <f>IFERROR(_xlfn.XLOOKUP($A81,CFR20252026_BenchMarkDataReport!$B:$B,CFR20252026_BenchMarkDataReport!W:W),0)</f>
        <v>172045</v>
      </c>
      <c r="I81" s="88">
        <f>IFERROR(_xlfn.XLOOKUP($A81,CFR20252026_BenchMarkDataReport!$B:$B,CFR20252026_BenchMarkDataReport!X:X),0)</f>
        <v>14937.49</v>
      </c>
      <c r="J81" s="88">
        <f>IFERROR(_xlfn.XLOOKUP($A81,CFR20252026_BenchMarkDataReport!$B:$B,CFR20252026_BenchMarkDataReport!Y:Y),0)</f>
        <v>31600</v>
      </c>
      <c r="K81" s="88">
        <f>IFERROR(_xlfn.XLOOKUP($A81,CFR20252026_BenchMarkDataReport!$B:$B,CFR20252026_BenchMarkDataReport!Z:Z),0)</f>
        <v>14623.75</v>
      </c>
      <c r="L81" s="88">
        <f>IFERROR(_xlfn.XLOOKUP($A81,CFR20252026_BenchMarkDataReport!$B:$B,CFR20252026_BenchMarkDataReport!AA:AA),0)</f>
        <v>70732.59</v>
      </c>
      <c r="M81" s="88">
        <f>IFERROR(_xlfn.XLOOKUP($A81,CFR20252026_BenchMarkDataReport!$B:$B,CFR20252026_BenchMarkDataReport!AB:AB),0)</f>
        <v>446501.38</v>
      </c>
      <c r="N81" s="88">
        <f>IFERROR(_xlfn.XLOOKUP($A81,CFR20252026_BenchMarkDataReport!$B:$B,CFR20252026_BenchMarkDataReport!AC:AC),0)</f>
        <v>0</v>
      </c>
      <c r="O81" s="88">
        <f>IFERROR(_xlfn.XLOOKUP($A81,CFR20252026_BenchMarkDataReport!$B:$B,CFR20252026_BenchMarkDataReport!AD:AD),0)</f>
        <v>4315.8</v>
      </c>
      <c r="P81" s="88">
        <f>IFERROR(_xlfn.XLOOKUP($A81,CFR20252026_BenchMarkDataReport!$B:$B,CFR20252026_BenchMarkDataReport!AE:AE),0)</f>
        <v>91221.34</v>
      </c>
      <c r="Q81" s="88">
        <f>IFERROR(_xlfn.XLOOKUP($A81,CFR20252026_BenchMarkDataReport!$B:$B,CFR20252026_BenchMarkDataReport!AF:AF),0)</f>
        <v>1113.03</v>
      </c>
      <c r="R81" s="88">
        <f>IFERROR(_xlfn.XLOOKUP($A81,CFR20252026_BenchMarkDataReport!$B:$B,CFR20252026_BenchMarkDataReport!AG:AG),0)</f>
        <v>0</v>
      </c>
      <c r="S81" s="88">
        <f>IFERROR(_xlfn.XLOOKUP($A81,CFR20252026_BenchMarkDataReport!$B:$B,CFR20252026_BenchMarkDataReport!AH:AH),0)</f>
        <v>0</v>
      </c>
      <c r="T81" s="88">
        <f>IFERROR(_xlfn.XLOOKUP($A81,CFR20252026_BenchMarkDataReport!$B:$B,CFR20252026_BenchMarkDataReport!AI:AI),0)</f>
        <v>0</v>
      </c>
      <c r="U81" s="88">
        <f>IFERROR(_xlfn.XLOOKUP($A81,CFR20252026_BenchMarkDataReport!$B:$B,CFR20252026_BenchMarkDataReport!AJ:AJ),0)</f>
        <v>5941005.5700000003</v>
      </c>
      <c r="V81" s="88">
        <f>IFERROR(_xlfn.XLOOKUP($A81,CFR20252026_BenchMarkDataReport!$B:$B,CFR20252026_BenchMarkDataReport!AK:AK),0)</f>
        <v>0</v>
      </c>
      <c r="W81" s="88">
        <f>IFERROR(_xlfn.XLOOKUP($A81,CFR20252026_BenchMarkDataReport!$B:$B,CFR20252026_BenchMarkDataReport!AL:AL),0)</f>
        <v>815870.97</v>
      </c>
      <c r="X81" s="88">
        <f>IFERROR(_xlfn.XLOOKUP($A81,CFR20252026_BenchMarkDataReport!$B:$B,CFR20252026_BenchMarkDataReport!AM:AM),0)</f>
        <v>136787.35999999999</v>
      </c>
      <c r="Y81" s="88">
        <f>IFERROR(_xlfn.XLOOKUP($A81,CFR20252026_BenchMarkDataReport!$B:$B,CFR20252026_BenchMarkDataReport!AN:AN),0)</f>
        <v>784976.94</v>
      </c>
      <c r="Z81" s="88">
        <f>IFERROR(_xlfn.XLOOKUP($A81,CFR20252026_BenchMarkDataReport!$B:$B,CFR20252026_BenchMarkDataReport!AO:AO),0)</f>
        <v>184980.52</v>
      </c>
      <c r="AA81" s="88">
        <f>IFERROR(_xlfn.XLOOKUP($A81,CFR20252026_BenchMarkDataReport!$B:$B,CFR20252026_BenchMarkDataReport!AP:AP),0)</f>
        <v>0</v>
      </c>
      <c r="AB81" s="88">
        <f>IFERROR(_xlfn.XLOOKUP($A81,CFR20252026_BenchMarkDataReport!$B:$B,CFR20252026_BenchMarkDataReport!AQ:AQ),0)</f>
        <v>89997.98</v>
      </c>
      <c r="AC81" s="88">
        <f>IFERROR(_xlfn.XLOOKUP($A81,CFR20252026_BenchMarkDataReport!$B:$B,CFR20252026_BenchMarkDataReport!AR:AR),0)</f>
        <v>8411.83</v>
      </c>
      <c r="AD81" s="88">
        <f>IFERROR(_xlfn.XLOOKUP($A81,CFR20252026_BenchMarkDataReport!$B:$B,CFR20252026_BenchMarkDataReport!AS:AS),0)</f>
        <v>1284.8</v>
      </c>
      <c r="AE81" s="88">
        <f>IFERROR(_xlfn.XLOOKUP($A81,CFR20252026_BenchMarkDataReport!$B:$B,CFR20252026_BenchMarkDataReport!AT:AT),0)</f>
        <v>0</v>
      </c>
      <c r="AF81" s="88">
        <f>IFERROR(_xlfn.XLOOKUP($A81,CFR20252026_BenchMarkDataReport!$B:$B,CFR20252026_BenchMarkDataReport!AU:AU),0)</f>
        <v>100153.02</v>
      </c>
      <c r="AG81" s="88">
        <f>IFERROR(_xlfn.XLOOKUP($A81,CFR20252026_BenchMarkDataReport!$B:$B,CFR20252026_BenchMarkDataReport!AV:AV),0)</f>
        <v>34629.480000000003</v>
      </c>
      <c r="AH81" s="88">
        <f>IFERROR(_xlfn.XLOOKUP($A81,CFR20252026_BenchMarkDataReport!$B:$B,CFR20252026_BenchMarkDataReport!AW:AW),0)</f>
        <v>171254.98</v>
      </c>
      <c r="AI81" s="88">
        <f>IFERROR(_xlfn.XLOOKUP($A81,CFR20252026_BenchMarkDataReport!$B:$B,CFR20252026_BenchMarkDataReport!AX:AX),0)</f>
        <v>14168.77</v>
      </c>
      <c r="AJ81" s="88">
        <f>IFERROR(_xlfn.XLOOKUP($A81,CFR20252026_BenchMarkDataReport!$B:$B,CFR20252026_BenchMarkDataReport!AY:AY),0)</f>
        <v>213041.99</v>
      </c>
      <c r="AK81" s="88">
        <f>IFERROR(_xlfn.XLOOKUP($A81,CFR20252026_BenchMarkDataReport!$B:$B,CFR20252026_BenchMarkDataReport!AZ:AZ),0)</f>
        <v>35010.57</v>
      </c>
      <c r="AL81" s="88">
        <f>IFERROR(_xlfn.XLOOKUP($A81,CFR20252026_BenchMarkDataReport!$B:$B,CFR20252026_BenchMarkDataReport!BA:BA),0)</f>
        <v>47896.31</v>
      </c>
      <c r="AM81" s="88">
        <f>IFERROR(_xlfn.XLOOKUP($A81,CFR20252026_BenchMarkDataReport!$B:$B,CFR20252026_BenchMarkDataReport!BB:BB),0)</f>
        <v>226491.41</v>
      </c>
      <c r="AN81" s="88">
        <f>IFERROR(_xlfn.XLOOKUP($A81,CFR20252026_BenchMarkDataReport!$B:$B,CFR20252026_BenchMarkDataReport!BC:BC),0)</f>
        <v>9855</v>
      </c>
      <c r="AO81" s="88">
        <f>IFERROR(_xlfn.XLOOKUP($A81,CFR20252026_BenchMarkDataReport!$B:$B,CFR20252026_BenchMarkDataReport!BD:BD),0)</f>
        <v>0</v>
      </c>
      <c r="AP81" s="88">
        <f>IFERROR(_xlfn.XLOOKUP($A81,CFR20252026_BenchMarkDataReport!$B:$B,CFR20252026_BenchMarkDataReport!BE:BE),0)</f>
        <v>11851.34</v>
      </c>
      <c r="AQ81" s="88">
        <f>IFERROR(_xlfn.XLOOKUP($A81,CFR20252026_BenchMarkDataReport!$B:$B,CFR20252026_BenchMarkDataReport!BF:BF),0)</f>
        <v>76106.289999999994</v>
      </c>
      <c r="AR81" s="88">
        <f>IFERROR(_xlfn.XLOOKUP($A81,CFR20252026_BenchMarkDataReport!$B:$B,CFR20252026_BenchMarkDataReport!BG:BG),0)</f>
        <v>17522.37</v>
      </c>
      <c r="AS81" s="88">
        <f>IFERROR(_xlfn.XLOOKUP($A81,CFR20252026_BenchMarkDataReport!$B:$B,CFR20252026_BenchMarkDataReport!BH:BH),0)</f>
        <v>27526.82</v>
      </c>
      <c r="AT81" s="88">
        <f>IFERROR(_xlfn.XLOOKUP($A81,CFR20252026_BenchMarkDataReport!$B:$B,CFR20252026_BenchMarkDataReport!BI:BI),0)</f>
        <v>11634.96</v>
      </c>
      <c r="AU81" s="88">
        <f>IFERROR(_xlfn.XLOOKUP($A81,CFR20252026_BenchMarkDataReport!$B:$B,CFR20252026_BenchMarkDataReport!BJ:BJ),0)</f>
        <v>154841.93</v>
      </c>
      <c r="AV81" s="88">
        <f>IFERROR(_xlfn.XLOOKUP($A81,CFR20252026_BenchMarkDataReport!$B:$B,CFR20252026_BenchMarkDataReport!BK:BK),0)</f>
        <v>23105.73</v>
      </c>
      <c r="AW81" s="88">
        <f>IFERROR(_xlfn.XLOOKUP($A81,CFR20252026_BenchMarkDataReport!$B:$B,CFR20252026_BenchMarkDataReport!BL:BL),0)</f>
        <v>48292.73</v>
      </c>
      <c r="AX81" s="88">
        <f>IFERROR(_xlfn.XLOOKUP($A81,CFR20252026_BenchMarkDataReport!$B:$B,CFR20252026_BenchMarkDataReport!BM:BM),0)</f>
        <v>0</v>
      </c>
      <c r="AY81" s="88">
        <f>IFERROR(_xlfn.XLOOKUP($A81,CFR20252026_BenchMarkDataReport!$B:$B,CFR20252026_BenchMarkDataReport!BN:BN),0)</f>
        <v>297409.86</v>
      </c>
      <c r="AZ81" s="88">
        <f>IFERROR(_xlfn.XLOOKUP($A81,CFR20252026_BenchMarkDataReport!$B:$B,CFR20252026_BenchMarkDataReport!BO:BO),0)</f>
        <v>139644.46</v>
      </c>
      <c r="BA81" s="88">
        <f>IFERROR(_xlfn.XLOOKUP($A81,CFR20252026_BenchMarkDataReport!$B:$B,CFR20252026_BenchMarkDataReport!BP:BP),0)</f>
        <v>191838.62</v>
      </c>
      <c r="BB81" s="88">
        <f>IFERROR(_xlfn.XLOOKUP($A81,CFR20252026_BenchMarkDataReport!$B:$B,CFR20252026_BenchMarkDataReport!BQ:BQ),0)</f>
        <v>52686.3</v>
      </c>
      <c r="BC81" s="88">
        <f>IFERROR(_xlfn.XLOOKUP($A81,CFR20252026_BenchMarkDataReport!$B:$B,CFR20252026_BenchMarkDataReport!BR:BR),0)</f>
        <v>0</v>
      </c>
      <c r="BD81" s="88">
        <f>IFERROR(_xlfn.XLOOKUP($A81,CFR20252026_BenchMarkDataReport!$B:$B,CFR20252026_BenchMarkDataReport!BS:BS),0)</f>
        <v>0</v>
      </c>
      <c r="BE81" s="88">
        <f>IFERROR(_xlfn.XLOOKUP($A81,CFR20252026_BenchMarkDataReport!$B:$B,CFR20252026_BenchMarkDataReport!BT:BT),0)</f>
        <v>0</v>
      </c>
      <c r="BF81" s="88">
        <f>IFERROR(_xlfn.XLOOKUP($A81,CFR20252026_BenchMarkDataReport!$B:$B,CFR20252026_BenchMarkDataReport!BU:BU),0)</f>
        <v>0</v>
      </c>
      <c r="BG81" s="88">
        <f>IFERROR(_xlfn.XLOOKUP($A81,CFR20252026_BenchMarkDataReport!$B:$B,CFR20252026_BenchMarkDataReport!BV:BV),0)</f>
        <v>0</v>
      </c>
      <c r="BH81" s="89">
        <f t="shared" si="228"/>
        <v>9804452.9100000001</v>
      </c>
      <c r="BI81" s="90">
        <f>SUM(U81:BE81)</f>
        <v>9868278.9100000001</v>
      </c>
      <c r="BJ81" s="126">
        <f t="shared" si="224"/>
        <v>-63826</v>
      </c>
      <c r="BK81" s="88">
        <f>IFERROR(_xlfn.XLOOKUP(A81,CFR20252026_BenchMarkDataReport!$B:$B,CFR20252026_BenchMarkDataReport!P:P)+_xlfn.XLOOKUP(A81,CFR20252026_BenchMarkDataReport!$B:$B,CFR20252026_BenchMarkDataReport!Q:Q),0)</f>
        <v>1073731</v>
      </c>
      <c r="BL81" s="89">
        <f t="shared" si="225"/>
        <v>1009905</v>
      </c>
      <c r="BM81" s="91">
        <f>SUMIFS(PP!I:I,PP!E:E,A81)</f>
        <v>880</v>
      </c>
      <c r="BN81" s="90">
        <f t="shared" ref="BN81:BN86" si="278">D81+E81+F81</f>
        <v>8957362.5299999993</v>
      </c>
      <c r="BO81" t="s">
        <v>175</v>
      </c>
      <c r="BP81" s="92">
        <f t="shared" ref="BP81:BP86" si="279">IFERROR(D81/BH81,0)</f>
        <v>0.6745503375567744</v>
      </c>
      <c r="BQ81" s="93">
        <f t="shared" ref="BQ81:BQ86" si="280">D81/BM81</f>
        <v>7515.4511590909087</v>
      </c>
      <c r="BR81" s="94">
        <f t="shared" ref="BR81:BR86" si="281">E81/BH81</f>
        <v>0.20738127141456175</v>
      </c>
      <c r="BS81" s="95">
        <f t="shared" ref="BS81:BS86" si="282">E81/BM81</f>
        <v>2310.5226250000001</v>
      </c>
      <c r="BT81" s="92">
        <f t="shared" ref="BT81:BT86" si="283">F81/BH81</f>
        <v>3.1669854794580267E-2</v>
      </c>
      <c r="BU81" s="93">
        <f t="shared" ref="BU81:BU86" si="284">F81/BM81</f>
        <v>352.8472727272727</v>
      </c>
      <c r="BV81" s="94">
        <f t="shared" ref="BV81:BV86" si="285">G81/BH81</f>
        <v>0</v>
      </c>
      <c r="BW81" s="95">
        <f t="shared" ref="BW81:BW86" si="286">G81/BM81</f>
        <v>0</v>
      </c>
      <c r="BX81" s="92">
        <f t="shared" ref="BX81:BX86" si="287">H81/BH81</f>
        <v>1.7547638973769115E-2</v>
      </c>
      <c r="BY81" s="93">
        <f t="shared" ref="BY81:BY86" si="288">H81/BM81</f>
        <v>195.50568181818181</v>
      </c>
      <c r="BZ81" s="94">
        <f t="shared" ref="BZ81:BZ86" si="289">I81/BH81</f>
        <v>1.5235414089004992E-3</v>
      </c>
      <c r="CA81" s="95">
        <f t="shared" ref="CA81:CA86" si="290">I81/BM81</f>
        <v>16.974420454545456</v>
      </c>
      <c r="CB81" s="92">
        <f t="shared" ref="CB81:CB86" si="291">J81/BH81</f>
        <v>3.223025322276753E-3</v>
      </c>
      <c r="CC81" s="93">
        <f t="shared" ref="CC81:CC86" si="292">J81/BM81</f>
        <v>35.909090909090907</v>
      </c>
      <c r="CD81" s="94">
        <f t="shared" ref="CD81:CD86" si="293">IFERROR((K81+L81)/BH81,0)</f>
        <v>8.7058748492678511E-3</v>
      </c>
      <c r="CE81" s="96">
        <f t="shared" ref="CE81:CE86" si="294">IFERROR((K81+L81)/BM81,0)</f>
        <v>96.995840909090902</v>
      </c>
      <c r="CF81" s="97">
        <f t="shared" ref="CF81:CF86" si="295">P81/BH81</f>
        <v>9.3040724288613059E-3</v>
      </c>
      <c r="CG81" s="98">
        <f t="shared" ref="CG81:CG86" si="296">P81/BM81</f>
        <v>103.66061363636364</v>
      </c>
      <c r="CH81" s="94">
        <f t="shared" ref="CH81:CH86" si="297">Q81/BH81</f>
        <v>1.1352290741942071E-4</v>
      </c>
      <c r="CI81" s="95">
        <f t="shared" ref="CI81:CI86" si="298">Q81/BM81</f>
        <v>1.2648068181818182</v>
      </c>
      <c r="CJ81" s="99">
        <f t="shared" ref="CJ81:CJ86" si="299">(U81+V81+AZ81)/BN81</f>
        <v>0.67884380135722844</v>
      </c>
      <c r="CK81" s="97">
        <f t="shared" ref="CK81:CK86" si="300">(U81+V81+AZ81)/BH81</f>
        <v>0.62019269058838289</v>
      </c>
      <c r="CL81" s="97">
        <f t="shared" ref="CL81:CL86" si="301">(U81+V81+AZ81)/BI81</f>
        <v>0.6161814117189357</v>
      </c>
      <c r="CM81" s="98">
        <f t="shared" ref="CM81:CM86" si="302">(U81+V81+AZ81)/BM81</f>
        <v>6909.8295795454551</v>
      </c>
      <c r="CN81" s="94">
        <f t="shared" ref="CN81:CN86" si="303">W81/BN81</f>
        <v>9.1083839385475901E-2</v>
      </c>
      <c r="CO81" s="100">
        <f t="shared" ref="CO81:CO86" si="304">W81/BH81</f>
        <v>8.3214328987990416E-2</v>
      </c>
      <c r="CP81" s="100">
        <f t="shared" ref="CP81:CP86" si="305">W81/BI81</f>
        <v>8.2676115809134545E-2</v>
      </c>
      <c r="CQ81" s="101">
        <f t="shared" ref="CQ81:CR86" si="306">W81/BM81</f>
        <v>927.12610227272728</v>
      </c>
      <c r="CR81" s="99">
        <f t="shared" si="306"/>
        <v>1.5270941590437112E-2</v>
      </c>
      <c r="CS81" s="97">
        <f t="shared" ref="CS81:CS86" si="307">X81/BH81</f>
        <v>1.3951554590107159E-2</v>
      </c>
      <c r="CT81" s="97">
        <f t="shared" ref="CT81:CT86" si="308">X81/BI81</f>
        <v>1.386131880214561E-2</v>
      </c>
      <c r="CU81" s="98">
        <f t="shared" ref="CU81:CV86" si="309">X81/BM81</f>
        <v>155.4401818181818</v>
      </c>
      <c r="CV81" s="94">
        <f t="shared" si="309"/>
        <v>8.7634829713652329E-2</v>
      </c>
      <c r="CW81" s="100">
        <f t="shared" ref="CW81:CW86" si="310">Y81/BH81</f>
        <v>8.0063308703269595E-2</v>
      </c>
      <c r="CX81" s="100">
        <f t="shared" ref="CX81:CX86" si="311">Y81/BI81</f>
        <v>7.9545475676061933E-2</v>
      </c>
      <c r="CY81" s="95">
        <f t="shared" ref="CY81:CY86" si="312">Y81/BM81</f>
        <v>892.01924999999994</v>
      </c>
      <c r="CZ81" s="99">
        <f t="shared" ref="CZ81:CZ86" si="313">(U81+V81+W81+X81+Y81+Z81+AA81)/BN81</f>
        <v>0.87789473002383889</v>
      </c>
      <c r="DA81" s="97">
        <f t="shared" ref="DA81:DA86" si="314">(U81+V81+W81+X81+Y81+Z81+AA81)/BH81</f>
        <v>0.80204591038216322</v>
      </c>
      <c r="DB81" s="97">
        <f t="shared" ref="DB81:DB86" si="315">(U81+V81+W81+X81+Y81+Z81+AA81)/BI81</f>
        <v>0.79685844225900571</v>
      </c>
      <c r="DC81" s="98">
        <f t="shared" ref="DC81:DC86" si="316">(U81+V81+W81+X81+Y81+Z81+AA81)/BM81</f>
        <v>8935.9333636363626</v>
      </c>
      <c r="DD81" s="94">
        <f t="shared" ref="DD81:DD86" si="317">AF81/BN81</f>
        <v>1.1181083679997041E-2</v>
      </c>
      <c r="DE81" s="100">
        <f t="shared" ref="DE81:DE86" si="318">AF81/BI81</f>
        <v>1.0148985543822656E-2</v>
      </c>
      <c r="DF81" s="95">
        <f t="shared" ref="DF81:DF86" si="319">AF81/BM81</f>
        <v>113.81025000000001</v>
      </c>
      <c r="DG81" s="99">
        <f t="shared" ref="DG81:DG86" si="320">AI81/BI81</f>
        <v>1.4357893741371768E-3</v>
      </c>
      <c r="DH81" s="98">
        <f t="shared" ref="DH81:DI86" si="321">AI81/BM81</f>
        <v>16.100875000000002</v>
      </c>
      <c r="DI81" s="94">
        <f t="shared" si="321"/>
        <v>2.3784008885035048E-2</v>
      </c>
      <c r="DJ81" s="100">
        <f t="shared" ref="DJ81:DJ86" si="322">AJ81/BI81</f>
        <v>2.1588565943764959E-2</v>
      </c>
      <c r="DK81" s="95">
        <f t="shared" ref="DK81:DK86" si="323">AJ81/BM81</f>
        <v>242.09317045454546</v>
      </c>
      <c r="DL81" s="99">
        <f t="shared" ref="DL81:DL86" si="324">AL81/BN81</f>
        <v>5.3471443005221313E-3</v>
      </c>
      <c r="DM81" s="97">
        <f t="shared" ref="DM81:DM86" si="325">AL81/BI81</f>
        <v>4.8535626563477414E-3</v>
      </c>
      <c r="DN81" s="102">
        <f t="shared" ref="DN81:DO86" si="326">AL81/BM81</f>
        <v>54.427624999999999</v>
      </c>
      <c r="DO81" s="94">
        <f t="shared" si="326"/>
        <v>2.528550220463166E-2</v>
      </c>
      <c r="DP81" s="100">
        <f t="shared" ref="DP81:DP86" si="327">AM81/BH81</f>
        <v>2.3100871826207792E-2</v>
      </c>
      <c r="DQ81" s="100">
        <f t="shared" ref="DQ81:DQ86" si="328">AM81/BI81</f>
        <v>2.2951460134602135E-2</v>
      </c>
      <c r="DR81" s="95">
        <f t="shared" ref="DR81:DR86" si="329">AM81/BM81</f>
        <v>257.37660227272727</v>
      </c>
      <c r="DS81" s="99">
        <f t="shared" ref="DS81:DS86" si="330">AV81/BN81</f>
        <v>2.5795238188266118E-3</v>
      </c>
      <c r="DT81" s="97">
        <f t="shared" ref="DT81:DT86" si="331">IFERROR(AV81/BI81,0)</f>
        <v>2.3414143652330148E-3</v>
      </c>
      <c r="DU81" s="98">
        <f t="shared" ref="DU81:DU86" si="332">AV81/BM81</f>
        <v>26.256511363636363</v>
      </c>
      <c r="DV81" s="94">
        <f t="shared" ref="DV81:DV86" si="333">IFERROR(BA81/BN81,0)</f>
        <v>2.1416864546622297E-2</v>
      </c>
      <c r="DW81" s="100">
        <f t="shared" ref="DW81:DW86" si="334">IFERROR(BA81/BI81,0)</f>
        <v>1.9439926835225618E-2</v>
      </c>
      <c r="DX81" s="95">
        <f t="shared" ref="DX81:DX86" si="335">BA81/BM81</f>
        <v>217.99843181818181</v>
      </c>
      <c r="DY81" s="99">
        <f t="shared" ref="DY81:DY86" si="336">AY81/BI81</f>
        <v>3.0137966580841197E-2</v>
      </c>
      <c r="DZ81" s="98">
        <f t="shared" ref="DZ81:DZ86" si="337">AY81/BM81</f>
        <v>337.96574999999996</v>
      </c>
      <c r="EA81" s="94">
        <f t="shared" si="226"/>
        <v>1.7354087937913786E-2</v>
      </c>
      <c r="EB81" s="95">
        <f t="shared" si="227"/>
        <v>194.60793181818184</v>
      </c>
      <c r="EC81" s="103">
        <f>IFERROR(VLOOKUP(A81,PP!$E$3:$S$130,14,0),0)</f>
        <v>149</v>
      </c>
    </row>
    <row r="82" spans="1:227">
      <c r="A82" s="121">
        <v>4003</v>
      </c>
      <c r="B82" s="122">
        <v>10139</v>
      </c>
      <c r="C82" s="121" t="s">
        <v>103</v>
      </c>
      <c r="D82" s="88">
        <f>IFERROR(_xlfn.XLOOKUP($A82,CFR20252026_BenchMarkDataReport!$B:$B,CFR20252026_BenchMarkDataReport!S:S),0)</f>
        <v>5861071.8499999996</v>
      </c>
      <c r="E82" s="88">
        <f>IFERROR(_xlfn.XLOOKUP($A82,CFR20252026_BenchMarkDataReport!$B:$B,CFR20252026_BenchMarkDataReport!T:T),0)</f>
        <v>0</v>
      </c>
      <c r="F82" s="88">
        <f>IFERROR(_xlfn.XLOOKUP($A82,CFR20252026_BenchMarkDataReport!$B:$B,CFR20252026_BenchMarkDataReport!U:U),0)</f>
        <v>635861.93000000005</v>
      </c>
      <c r="G82" s="88">
        <f>IFERROR(_xlfn.XLOOKUP($A82,CFR20252026_BenchMarkDataReport!$B:$B,CFR20252026_BenchMarkDataReport!V:V),0)</f>
        <v>0</v>
      </c>
      <c r="H82" s="88">
        <f>IFERROR(_xlfn.XLOOKUP($A82,CFR20252026_BenchMarkDataReport!$B:$B,CFR20252026_BenchMarkDataReport!W:W),0)</f>
        <v>291575</v>
      </c>
      <c r="I82" s="88">
        <f>IFERROR(_xlfn.XLOOKUP($A82,CFR20252026_BenchMarkDataReport!$B:$B,CFR20252026_BenchMarkDataReport!X:X),0)</f>
        <v>25136.81</v>
      </c>
      <c r="J82" s="88">
        <f>IFERROR(_xlfn.XLOOKUP($A82,CFR20252026_BenchMarkDataReport!$B:$B,CFR20252026_BenchMarkDataReport!Y:Y),0)</f>
        <v>8801.94</v>
      </c>
      <c r="K82" s="88">
        <f>IFERROR(_xlfn.XLOOKUP($A82,CFR20252026_BenchMarkDataReport!$B:$B,CFR20252026_BenchMarkDataReport!Z:Z),0)</f>
        <v>2734.61</v>
      </c>
      <c r="L82" s="88">
        <f>IFERROR(_xlfn.XLOOKUP($A82,CFR20252026_BenchMarkDataReport!$B:$B,CFR20252026_BenchMarkDataReport!AA:AA),0)</f>
        <v>5111.24</v>
      </c>
      <c r="M82" s="88">
        <f>IFERROR(_xlfn.XLOOKUP($A82,CFR20252026_BenchMarkDataReport!$B:$B,CFR20252026_BenchMarkDataReport!AB:AB),0)</f>
        <v>113469.81</v>
      </c>
      <c r="N82" s="88">
        <f>IFERROR(_xlfn.XLOOKUP($A82,CFR20252026_BenchMarkDataReport!$B:$B,CFR20252026_BenchMarkDataReport!AC:AC),0)</f>
        <v>0</v>
      </c>
      <c r="O82" s="88">
        <f>IFERROR(_xlfn.XLOOKUP($A82,CFR20252026_BenchMarkDataReport!$B:$B,CFR20252026_BenchMarkDataReport!AD:AD),0)</f>
        <v>0</v>
      </c>
      <c r="P82" s="88">
        <f>IFERROR(_xlfn.XLOOKUP($A82,CFR20252026_BenchMarkDataReport!$B:$B,CFR20252026_BenchMarkDataReport!AE:AE),0)</f>
        <v>26920.38</v>
      </c>
      <c r="Q82" s="88">
        <f>IFERROR(_xlfn.XLOOKUP($A82,CFR20252026_BenchMarkDataReport!$B:$B,CFR20252026_BenchMarkDataReport!AF:AF),0)</f>
        <v>0</v>
      </c>
      <c r="R82" s="88">
        <f>IFERROR(_xlfn.XLOOKUP($A82,CFR20252026_BenchMarkDataReport!$B:$B,CFR20252026_BenchMarkDataReport!AG:AG),0)</f>
        <v>0</v>
      </c>
      <c r="S82" s="88">
        <f>IFERROR(_xlfn.XLOOKUP($A82,CFR20252026_BenchMarkDataReport!$B:$B,CFR20252026_BenchMarkDataReport!AH:AH),0)</f>
        <v>0</v>
      </c>
      <c r="T82" s="88">
        <f>IFERROR(_xlfn.XLOOKUP($A82,CFR20252026_BenchMarkDataReport!$B:$B,CFR20252026_BenchMarkDataReport!AI:AI),0)</f>
        <v>0</v>
      </c>
      <c r="U82" s="88">
        <f>IFERROR(_xlfn.XLOOKUP($A82,CFR20252026_BenchMarkDataReport!$B:$B,CFR20252026_BenchMarkDataReport!AJ:AJ),0)</f>
        <v>4345902.3099999996</v>
      </c>
      <c r="V82" s="88">
        <f>IFERROR(_xlfn.XLOOKUP($A82,CFR20252026_BenchMarkDataReport!$B:$B,CFR20252026_BenchMarkDataReport!AK:AK),0)</f>
        <v>124492.53</v>
      </c>
      <c r="W82" s="88">
        <f>IFERROR(_xlfn.XLOOKUP($A82,CFR20252026_BenchMarkDataReport!$B:$B,CFR20252026_BenchMarkDataReport!AL:AL),0)</f>
        <v>1096374.45</v>
      </c>
      <c r="X82" s="88">
        <f>IFERROR(_xlfn.XLOOKUP($A82,CFR20252026_BenchMarkDataReport!$B:$B,CFR20252026_BenchMarkDataReport!AM:AM),0)</f>
        <v>94579.48</v>
      </c>
      <c r="Y82" s="88">
        <f>IFERROR(_xlfn.XLOOKUP($A82,CFR20252026_BenchMarkDataReport!$B:$B,CFR20252026_BenchMarkDataReport!AN:AN),0)</f>
        <v>537994.28</v>
      </c>
      <c r="Z82" s="88">
        <f>IFERROR(_xlfn.XLOOKUP($A82,CFR20252026_BenchMarkDataReport!$B:$B,CFR20252026_BenchMarkDataReport!AO:AO),0)</f>
        <v>0</v>
      </c>
      <c r="AA82" s="88">
        <f>IFERROR(_xlfn.XLOOKUP($A82,CFR20252026_BenchMarkDataReport!$B:$B,CFR20252026_BenchMarkDataReport!AP:AP),0)</f>
        <v>47487.64</v>
      </c>
      <c r="AB82" s="88">
        <f>IFERROR(_xlfn.XLOOKUP($A82,CFR20252026_BenchMarkDataReport!$B:$B,CFR20252026_BenchMarkDataReport!AQ:AQ),0)</f>
        <v>31197.07</v>
      </c>
      <c r="AC82" s="88">
        <f>IFERROR(_xlfn.XLOOKUP($A82,CFR20252026_BenchMarkDataReport!$B:$B,CFR20252026_BenchMarkDataReport!AR:AR),0)</f>
        <v>8702.68</v>
      </c>
      <c r="AD82" s="88">
        <f>IFERROR(_xlfn.XLOOKUP($A82,CFR20252026_BenchMarkDataReport!$B:$B,CFR20252026_BenchMarkDataReport!AS:AS),0)</f>
        <v>947.56</v>
      </c>
      <c r="AE82" s="88">
        <f>IFERROR(_xlfn.XLOOKUP($A82,CFR20252026_BenchMarkDataReport!$B:$B,CFR20252026_BenchMarkDataReport!AT:AT),0)</f>
        <v>0</v>
      </c>
      <c r="AF82" s="88">
        <f>IFERROR(_xlfn.XLOOKUP($A82,CFR20252026_BenchMarkDataReport!$B:$B,CFR20252026_BenchMarkDataReport!AU:AU),0)</f>
        <v>61133.49</v>
      </c>
      <c r="AG82" s="88">
        <f>IFERROR(_xlfn.XLOOKUP($A82,CFR20252026_BenchMarkDataReport!$B:$B,CFR20252026_BenchMarkDataReport!AV:AV),0)</f>
        <v>9452.5400000000009</v>
      </c>
      <c r="AH82" s="88">
        <f>IFERROR(_xlfn.XLOOKUP($A82,CFR20252026_BenchMarkDataReport!$B:$B,CFR20252026_BenchMarkDataReport!AW:AW),0)</f>
        <v>89683.16</v>
      </c>
      <c r="AI82" s="88">
        <f>IFERROR(_xlfn.XLOOKUP($A82,CFR20252026_BenchMarkDataReport!$B:$B,CFR20252026_BenchMarkDataReport!AX:AX),0)</f>
        <v>801.72</v>
      </c>
      <c r="AJ82" s="88">
        <f>IFERROR(_xlfn.XLOOKUP($A82,CFR20252026_BenchMarkDataReport!$B:$B,CFR20252026_BenchMarkDataReport!AY:AY),0)</f>
        <v>123039.02</v>
      </c>
      <c r="AK82" s="88">
        <f>IFERROR(_xlfn.XLOOKUP($A82,CFR20252026_BenchMarkDataReport!$B:$B,CFR20252026_BenchMarkDataReport!AZ:AZ),0)</f>
        <v>84317.35</v>
      </c>
      <c r="AL82" s="88">
        <f>IFERROR(_xlfn.XLOOKUP($A82,CFR20252026_BenchMarkDataReport!$B:$B,CFR20252026_BenchMarkDataReport!BA:BA),0)</f>
        <v>45245.16</v>
      </c>
      <c r="AM82" s="88">
        <f>IFERROR(_xlfn.XLOOKUP($A82,CFR20252026_BenchMarkDataReport!$B:$B,CFR20252026_BenchMarkDataReport!BB:BB),0)</f>
        <v>133436.12</v>
      </c>
      <c r="AN82" s="88">
        <f>IFERROR(_xlfn.XLOOKUP($A82,CFR20252026_BenchMarkDataReport!$B:$B,CFR20252026_BenchMarkDataReport!BC:BC),0)</f>
        <v>44220.81</v>
      </c>
      <c r="AO82" s="88">
        <f>IFERROR(_xlfn.XLOOKUP($A82,CFR20252026_BenchMarkDataReport!$B:$B,CFR20252026_BenchMarkDataReport!BD:BD),0)</f>
        <v>0</v>
      </c>
      <c r="AP82" s="88">
        <f>IFERROR(_xlfn.XLOOKUP($A82,CFR20252026_BenchMarkDataReport!$B:$B,CFR20252026_BenchMarkDataReport!BE:BE),0)</f>
        <v>20035.39</v>
      </c>
      <c r="AQ82" s="88">
        <f>IFERROR(_xlfn.XLOOKUP($A82,CFR20252026_BenchMarkDataReport!$B:$B,CFR20252026_BenchMarkDataReport!BF:BF),0)</f>
        <v>61595.360000000001</v>
      </c>
      <c r="AR82" s="88">
        <f>IFERROR(_xlfn.XLOOKUP($A82,CFR20252026_BenchMarkDataReport!$B:$B,CFR20252026_BenchMarkDataReport!BG:BG),0)</f>
        <v>6167.2</v>
      </c>
      <c r="AS82" s="88">
        <f>IFERROR(_xlfn.XLOOKUP($A82,CFR20252026_BenchMarkDataReport!$B:$B,CFR20252026_BenchMarkDataReport!BH:BH),0)</f>
        <v>3966.66</v>
      </c>
      <c r="AT82" s="88">
        <f>IFERROR(_xlfn.XLOOKUP($A82,CFR20252026_BenchMarkDataReport!$B:$B,CFR20252026_BenchMarkDataReport!BI:BI),0)</f>
        <v>3593</v>
      </c>
      <c r="AU82" s="88">
        <f>IFERROR(_xlfn.XLOOKUP($A82,CFR20252026_BenchMarkDataReport!$B:$B,CFR20252026_BenchMarkDataReport!BJ:BJ),0)</f>
        <v>138091.99</v>
      </c>
      <c r="AV82" s="88">
        <f>IFERROR(_xlfn.XLOOKUP($A82,CFR20252026_BenchMarkDataReport!$B:$B,CFR20252026_BenchMarkDataReport!BK:BK),0)</f>
        <v>17311.64</v>
      </c>
      <c r="AW82" s="88">
        <f>IFERROR(_xlfn.XLOOKUP($A82,CFR20252026_BenchMarkDataReport!$B:$B,CFR20252026_BenchMarkDataReport!BL:BL),0)</f>
        <v>31194.49</v>
      </c>
      <c r="AX82" s="88">
        <f>IFERROR(_xlfn.XLOOKUP($A82,CFR20252026_BenchMarkDataReport!$B:$B,CFR20252026_BenchMarkDataReport!BM:BM),0)</f>
        <v>3680.06</v>
      </c>
      <c r="AY82" s="88">
        <f>IFERROR(_xlfn.XLOOKUP($A82,CFR20252026_BenchMarkDataReport!$B:$B,CFR20252026_BenchMarkDataReport!BN:BN),0)</f>
        <v>194326.3</v>
      </c>
      <c r="AZ82" s="88">
        <f>IFERROR(_xlfn.XLOOKUP($A82,CFR20252026_BenchMarkDataReport!$B:$B,CFR20252026_BenchMarkDataReport!BO:BO),0)</f>
        <v>64095.54</v>
      </c>
      <c r="BA82" s="88">
        <f>IFERROR(_xlfn.XLOOKUP($A82,CFR20252026_BenchMarkDataReport!$B:$B,CFR20252026_BenchMarkDataReport!BP:BP),0)</f>
        <v>51362.29</v>
      </c>
      <c r="BB82" s="88">
        <f>IFERROR(_xlfn.XLOOKUP($A82,CFR20252026_BenchMarkDataReport!$B:$B,CFR20252026_BenchMarkDataReport!BQ:BQ),0)</f>
        <v>23055.119999999999</v>
      </c>
      <c r="BC82" s="88">
        <f>IFERROR(_xlfn.XLOOKUP($A82,CFR20252026_BenchMarkDataReport!$B:$B,CFR20252026_BenchMarkDataReport!BR:BR),0)</f>
        <v>0</v>
      </c>
      <c r="BD82" s="88">
        <f>IFERROR(_xlfn.XLOOKUP($A82,CFR20252026_BenchMarkDataReport!$B:$B,CFR20252026_BenchMarkDataReport!BS:BS),0)</f>
        <v>0</v>
      </c>
      <c r="BE82" s="88">
        <f>IFERROR(_xlfn.XLOOKUP($A82,CFR20252026_BenchMarkDataReport!$B:$B,CFR20252026_BenchMarkDataReport!BT:BT),0)</f>
        <v>0</v>
      </c>
      <c r="BF82" s="88">
        <f>IFERROR(_xlfn.XLOOKUP($A82,CFR20252026_BenchMarkDataReport!$B:$B,CFR20252026_BenchMarkDataReport!BU:BU),0)</f>
        <v>0</v>
      </c>
      <c r="BG82" s="88">
        <f>IFERROR(_xlfn.XLOOKUP($A82,CFR20252026_BenchMarkDataReport!$B:$B,CFR20252026_BenchMarkDataReport!BV:BV),0)</f>
        <v>0</v>
      </c>
      <c r="BH82" s="89">
        <f t="shared" si="228"/>
        <v>6970683.5699999994</v>
      </c>
      <c r="BI82" s="90">
        <f>SUM(U82:BE82)</f>
        <v>7497482.4099999992</v>
      </c>
      <c r="BJ82" s="126">
        <f t="shared" si="224"/>
        <v>-526798.83999999985</v>
      </c>
      <c r="BK82" s="88">
        <f>IFERROR(_xlfn.XLOOKUP(A82,CFR20252026_BenchMarkDataReport!$B:$B,CFR20252026_BenchMarkDataReport!P:P)+_xlfn.XLOOKUP(A82,CFR20252026_BenchMarkDataReport!$B:$B,CFR20252026_BenchMarkDataReport!Q:Q),0)</f>
        <v>403713.84</v>
      </c>
      <c r="BL82" s="89">
        <f t="shared" si="225"/>
        <v>-123084.99999999983</v>
      </c>
      <c r="BM82" s="91">
        <f>SUMIFS(PP!I:I,PP!E:E,A82)</f>
        <v>649</v>
      </c>
      <c r="BN82" s="90">
        <f t="shared" si="278"/>
        <v>6496933.7799999993</v>
      </c>
      <c r="BO82" t="s">
        <v>175</v>
      </c>
      <c r="BP82" s="92">
        <f t="shared" si="279"/>
        <v>0.84081737338135976</v>
      </c>
      <c r="BQ82" s="93">
        <f t="shared" si="280"/>
        <v>9030.9273497688755</v>
      </c>
      <c r="BR82" s="94">
        <f t="shared" si="281"/>
        <v>0</v>
      </c>
      <c r="BS82" s="95">
        <f t="shared" si="282"/>
        <v>0</v>
      </c>
      <c r="BT82" s="92">
        <f t="shared" si="283"/>
        <v>9.1219451236688412E-2</v>
      </c>
      <c r="BU82" s="93">
        <f t="shared" si="284"/>
        <v>979.75644067796622</v>
      </c>
      <c r="BV82" s="94">
        <f t="shared" si="285"/>
        <v>0</v>
      </c>
      <c r="BW82" s="95">
        <f t="shared" si="286"/>
        <v>0</v>
      </c>
      <c r="BX82" s="92">
        <f t="shared" si="287"/>
        <v>4.1828752814840511E-2</v>
      </c>
      <c r="BY82" s="93">
        <f t="shared" si="288"/>
        <v>449.26810477657938</v>
      </c>
      <c r="BZ82" s="94">
        <f t="shared" si="289"/>
        <v>3.6060753221079009E-3</v>
      </c>
      <c r="CA82" s="95">
        <f t="shared" si="290"/>
        <v>38.731602465331278</v>
      </c>
      <c r="CB82" s="92">
        <f t="shared" si="291"/>
        <v>1.2627082999264593E-3</v>
      </c>
      <c r="CC82" s="93">
        <f t="shared" si="292"/>
        <v>13.562311248073961</v>
      </c>
      <c r="CD82" s="94">
        <f t="shared" si="293"/>
        <v>1.1255495850889701E-3</v>
      </c>
      <c r="CE82" s="96">
        <f t="shared" si="294"/>
        <v>12.08913713405239</v>
      </c>
      <c r="CF82" s="97">
        <f t="shared" si="295"/>
        <v>3.8619426243730647E-3</v>
      </c>
      <c r="CG82" s="98">
        <f t="shared" si="296"/>
        <v>41.479784283513098</v>
      </c>
      <c r="CH82" s="94">
        <f t="shared" si="297"/>
        <v>0</v>
      </c>
      <c r="CI82" s="95">
        <f t="shared" si="298"/>
        <v>0</v>
      </c>
      <c r="CJ82" s="99">
        <f t="shared" si="299"/>
        <v>0.69794314264967006</v>
      </c>
      <c r="CK82" s="97">
        <f t="shared" si="300"/>
        <v>0.65050871043913994</v>
      </c>
      <c r="CL82" s="97">
        <f t="shared" si="301"/>
        <v>0.60480173637379697</v>
      </c>
      <c r="CM82" s="98">
        <f t="shared" si="302"/>
        <v>6986.888104776579</v>
      </c>
      <c r="CN82" s="94">
        <f t="shared" si="303"/>
        <v>0.16875259732137829</v>
      </c>
      <c r="CO82" s="100">
        <f t="shared" si="304"/>
        <v>0.15728363495346556</v>
      </c>
      <c r="CP82" s="100">
        <f t="shared" si="305"/>
        <v>0.14623234707929111</v>
      </c>
      <c r="CQ82" s="101">
        <f t="shared" si="306"/>
        <v>1689.3288906009245</v>
      </c>
      <c r="CR82" s="99">
        <f t="shared" si="306"/>
        <v>1.4557556410864328E-2</v>
      </c>
      <c r="CS82" s="97">
        <f t="shared" si="307"/>
        <v>1.3568178651380098E-2</v>
      </c>
      <c r="CT82" s="97">
        <f t="shared" si="308"/>
        <v>1.2614831863273421E-2</v>
      </c>
      <c r="CU82" s="98">
        <f t="shared" si="309"/>
        <v>145.731093990755</v>
      </c>
      <c r="CV82" s="94">
        <f t="shared" si="309"/>
        <v>8.2807413191765683E-2</v>
      </c>
      <c r="CW82" s="100">
        <f t="shared" si="310"/>
        <v>7.7179558446087954E-2</v>
      </c>
      <c r="CX82" s="100">
        <f t="shared" si="311"/>
        <v>7.175665784589684E-2</v>
      </c>
      <c r="CY82" s="95">
        <f t="shared" si="312"/>
        <v>828.9588289676426</v>
      </c>
      <c r="CZ82" s="99">
        <f t="shared" si="313"/>
        <v>0.96150444217702968</v>
      </c>
      <c r="DA82" s="97">
        <f t="shared" si="314"/>
        <v>0.89615754714282647</v>
      </c>
      <c r="DB82" s="97">
        <f t="shared" si="315"/>
        <v>0.83319044292362687</v>
      </c>
      <c r="DC82" s="98">
        <f t="shared" si="316"/>
        <v>9625.3169337442232</v>
      </c>
      <c r="DD82" s="94">
        <f t="shared" si="317"/>
        <v>9.4095910578913134E-3</v>
      </c>
      <c r="DE82" s="100">
        <f t="shared" si="318"/>
        <v>8.1538690799009168E-3</v>
      </c>
      <c r="DF82" s="95">
        <f t="shared" si="319"/>
        <v>94.196440677966095</v>
      </c>
      <c r="DG82" s="99">
        <f t="shared" si="320"/>
        <v>1.069318947558558E-4</v>
      </c>
      <c r="DH82" s="98">
        <f t="shared" si="321"/>
        <v>1.2353158705701079</v>
      </c>
      <c r="DI82" s="94">
        <f t="shared" si="321"/>
        <v>1.8938013556296401E-2</v>
      </c>
      <c r="DJ82" s="100">
        <f t="shared" si="322"/>
        <v>1.6410711392385917E-2</v>
      </c>
      <c r="DK82" s="95">
        <f t="shared" si="323"/>
        <v>189.58246533127891</v>
      </c>
      <c r="DL82" s="99">
        <f t="shared" si="324"/>
        <v>6.9640789843482152E-3</v>
      </c>
      <c r="DM82" s="97">
        <f t="shared" si="325"/>
        <v>6.0347137246568091E-3</v>
      </c>
      <c r="DN82" s="102">
        <f t="shared" si="326"/>
        <v>69.715192604006162</v>
      </c>
      <c r="DO82" s="94">
        <f t="shared" si="326"/>
        <v>2.0538322309943569E-2</v>
      </c>
      <c r="DP82" s="100">
        <f t="shared" si="327"/>
        <v>1.9142472708741819E-2</v>
      </c>
      <c r="DQ82" s="100">
        <f t="shared" si="328"/>
        <v>1.7797456893266658E-2</v>
      </c>
      <c r="DR82" s="95">
        <f t="shared" si="329"/>
        <v>205.60265023112481</v>
      </c>
      <c r="DS82" s="99">
        <f t="shared" si="330"/>
        <v>2.664586185762232E-3</v>
      </c>
      <c r="DT82" s="97">
        <f t="shared" si="331"/>
        <v>2.3089937466088703E-3</v>
      </c>
      <c r="DU82" s="98">
        <f t="shared" si="332"/>
        <v>26.67432973805855</v>
      </c>
      <c r="DV82" s="94">
        <f t="shared" si="333"/>
        <v>7.9056200569740161E-3</v>
      </c>
      <c r="DW82" s="100">
        <f t="shared" si="334"/>
        <v>6.8506049352638635E-3</v>
      </c>
      <c r="DX82" s="95">
        <f t="shared" si="335"/>
        <v>79.140662557781198</v>
      </c>
      <c r="DY82" s="99">
        <f t="shared" si="336"/>
        <v>2.5918873746313999E-2</v>
      </c>
      <c r="DZ82" s="98">
        <f t="shared" si="337"/>
        <v>299.42419106317408</v>
      </c>
      <c r="EA82" s="94">
        <f t="shared" si="226"/>
        <v>1.1961769977663744E-2</v>
      </c>
      <c r="EB82" s="95">
        <f t="shared" si="227"/>
        <v>138.18668721109398</v>
      </c>
      <c r="EC82" s="103">
        <f>IFERROR(VLOOKUP(A82,PP!$E$3:$S$130,14,0),0)</f>
        <v>259</v>
      </c>
    </row>
    <row r="83" spans="1:227">
      <c r="A83" s="121">
        <v>4004</v>
      </c>
      <c r="B83" s="122">
        <v>11513</v>
      </c>
      <c r="C83" s="11" t="s">
        <v>341</v>
      </c>
      <c r="D83" s="88">
        <f>IFERROR(_xlfn.XLOOKUP($A83,CFR20252026_BenchMarkDataReport!$B:$B,CFR20252026_BenchMarkDataReport!S:S),0)</f>
        <v>2261513.4700000002</v>
      </c>
      <c r="E83" s="88">
        <f>IFERROR(_xlfn.XLOOKUP($A83,CFR20252026_BenchMarkDataReport!$B:$B,CFR20252026_BenchMarkDataReport!T:T),0)</f>
        <v>498255.76</v>
      </c>
      <c r="F83" s="88">
        <f>IFERROR(_xlfn.XLOOKUP($A83,CFR20252026_BenchMarkDataReport!$B:$B,CFR20252026_BenchMarkDataReport!U:U),0)</f>
        <v>130574.3</v>
      </c>
      <c r="G83" s="88">
        <f>IFERROR(_xlfn.XLOOKUP($A83,CFR20252026_BenchMarkDataReport!$B:$B,CFR20252026_BenchMarkDataReport!V:V),0)</f>
        <v>0</v>
      </c>
      <c r="H83" s="88">
        <f>IFERROR(_xlfn.XLOOKUP($A83,CFR20252026_BenchMarkDataReport!$B:$B,CFR20252026_BenchMarkDataReport!W:W),0)</f>
        <v>12900</v>
      </c>
      <c r="I83" s="88">
        <f>IFERROR(_xlfn.XLOOKUP($A83,CFR20252026_BenchMarkDataReport!$B:$B,CFR20252026_BenchMarkDataReport!X:X),0)</f>
        <v>71579.789999999994</v>
      </c>
      <c r="J83" s="88">
        <f>IFERROR(_xlfn.XLOOKUP($A83,CFR20252026_BenchMarkDataReport!$B:$B,CFR20252026_BenchMarkDataReport!Y:Y),0)</f>
        <v>0</v>
      </c>
      <c r="K83" s="88">
        <f>IFERROR(_xlfn.XLOOKUP($A83,CFR20252026_BenchMarkDataReport!$B:$B,CFR20252026_BenchMarkDataReport!Z:Z),0)</f>
        <v>0</v>
      </c>
      <c r="L83" s="88">
        <f>IFERROR(_xlfn.XLOOKUP($A83,CFR20252026_BenchMarkDataReport!$B:$B,CFR20252026_BenchMarkDataReport!AA:AA),0)</f>
        <v>0</v>
      </c>
      <c r="M83" s="88">
        <f>IFERROR(_xlfn.XLOOKUP($A83,CFR20252026_BenchMarkDataReport!$B:$B,CFR20252026_BenchMarkDataReport!AB:AB),0)</f>
        <v>0</v>
      </c>
      <c r="N83" s="88">
        <f>IFERROR(_xlfn.XLOOKUP($A83,CFR20252026_BenchMarkDataReport!$B:$B,CFR20252026_BenchMarkDataReport!AC:AC),0)</f>
        <v>0</v>
      </c>
      <c r="O83" s="88">
        <f>IFERROR(_xlfn.XLOOKUP($A83,CFR20252026_BenchMarkDataReport!$B:$B,CFR20252026_BenchMarkDataReport!AD:AD),0)</f>
        <v>0</v>
      </c>
      <c r="P83" s="88">
        <f>IFERROR(_xlfn.XLOOKUP($A83,CFR20252026_BenchMarkDataReport!$B:$B,CFR20252026_BenchMarkDataReport!AE:AE),0)</f>
        <v>0</v>
      </c>
      <c r="Q83" s="88">
        <f>IFERROR(_xlfn.XLOOKUP($A83,CFR20252026_BenchMarkDataReport!$B:$B,CFR20252026_BenchMarkDataReport!AF:AF),0)</f>
        <v>1016000</v>
      </c>
      <c r="R83" s="88">
        <f>IFERROR(_xlfn.XLOOKUP($A83,CFR20252026_BenchMarkDataReport!$B:$B,CFR20252026_BenchMarkDataReport!AG:AG),0)</f>
        <v>0</v>
      </c>
      <c r="S83" s="88">
        <f>IFERROR(_xlfn.XLOOKUP($A83,CFR20252026_BenchMarkDataReport!$B:$B,CFR20252026_BenchMarkDataReport!AH:AH),0)</f>
        <v>0</v>
      </c>
      <c r="T83" s="88">
        <f>IFERROR(_xlfn.XLOOKUP($A83,CFR20252026_BenchMarkDataReport!$B:$B,CFR20252026_BenchMarkDataReport!AI:AI),0)</f>
        <v>0</v>
      </c>
      <c r="U83" s="88">
        <f>IFERROR(_xlfn.XLOOKUP($A83,CFR20252026_BenchMarkDataReport!$B:$B,CFR20252026_BenchMarkDataReport!AJ:AJ),0)</f>
        <v>2630696.87</v>
      </c>
      <c r="V83" s="88">
        <f>IFERROR(_xlfn.XLOOKUP($A83,CFR20252026_BenchMarkDataReport!$B:$B,CFR20252026_BenchMarkDataReport!AK:AK),0)</f>
        <v>2311.5700000000002</v>
      </c>
      <c r="W83" s="88">
        <f>IFERROR(_xlfn.XLOOKUP($A83,CFR20252026_BenchMarkDataReport!$B:$B,CFR20252026_BenchMarkDataReport!AL:AL),0)</f>
        <v>264780.37</v>
      </c>
      <c r="X83" s="88">
        <f>IFERROR(_xlfn.XLOOKUP($A83,CFR20252026_BenchMarkDataReport!$B:$B,CFR20252026_BenchMarkDataReport!AM:AM),0)</f>
        <v>47866.46</v>
      </c>
      <c r="Y83" s="88">
        <f>IFERROR(_xlfn.XLOOKUP($A83,CFR20252026_BenchMarkDataReport!$B:$B,CFR20252026_BenchMarkDataReport!AN:AN),0)</f>
        <v>185881.27</v>
      </c>
      <c r="Z83" s="88">
        <f>IFERROR(_xlfn.XLOOKUP($A83,CFR20252026_BenchMarkDataReport!$B:$B,CFR20252026_BenchMarkDataReport!AO:AO),0)</f>
        <v>0</v>
      </c>
      <c r="AA83" s="88">
        <f>IFERROR(_xlfn.XLOOKUP($A83,CFR20252026_BenchMarkDataReport!$B:$B,CFR20252026_BenchMarkDataReport!AP:AP),0)</f>
        <v>0</v>
      </c>
      <c r="AB83" s="88">
        <f>IFERROR(_xlfn.XLOOKUP($A83,CFR20252026_BenchMarkDataReport!$B:$B,CFR20252026_BenchMarkDataReport!AQ:AQ),0)</f>
        <v>7711.68</v>
      </c>
      <c r="AC83" s="88">
        <f>IFERROR(_xlfn.XLOOKUP($A83,CFR20252026_BenchMarkDataReport!$B:$B,CFR20252026_BenchMarkDataReport!AR:AR),0)</f>
        <v>18318.18</v>
      </c>
      <c r="AD83" s="88">
        <f>IFERROR(_xlfn.XLOOKUP($A83,CFR20252026_BenchMarkDataReport!$B:$B,CFR20252026_BenchMarkDataReport!AS:AS),0)</f>
        <v>443.84</v>
      </c>
      <c r="AE83" s="88">
        <f>IFERROR(_xlfn.XLOOKUP($A83,CFR20252026_BenchMarkDataReport!$B:$B,CFR20252026_BenchMarkDataReport!AT:AT),0)</f>
        <v>0</v>
      </c>
      <c r="AF83" s="88">
        <f>IFERROR(_xlfn.XLOOKUP($A83,CFR20252026_BenchMarkDataReport!$B:$B,CFR20252026_BenchMarkDataReport!AU:AU),0)</f>
        <v>70208.67</v>
      </c>
      <c r="AG83" s="88">
        <f>IFERROR(_xlfn.XLOOKUP($A83,CFR20252026_BenchMarkDataReport!$B:$B,CFR20252026_BenchMarkDataReport!AV:AV),0)</f>
        <v>0</v>
      </c>
      <c r="AH83" s="88">
        <f>IFERROR(_xlfn.XLOOKUP($A83,CFR20252026_BenchMarkDataReport!$B:$B,CFR20252026_BenchMarkDataReport!AW:AW),0)</f>
        <v>65671.44</v>
      </c>
      <c r="AI83" s="88">
        <f>IFERROR(_xlfn.XLOOKUP($A83,CFR20252026_BenchMarkDataReport!$B:$B,CFR20252026_BenchMarkDataReport!AX:AX),0)</f>
        <v>660.46</v>
      </c>
      <c r="AJ83" s="88">
        <f>IFERROR(_xlfn.XLOOKUP($A83,CFR20252026_BenchMarkDataReport!$B:$B,CFR20252026_BenchMarkDataReport!AY:AY),0)</f>
        <v>15944.06</v>
      </c>
      <c r="AK83" s="88">
        <f>IFERROR(_xlfn.XLOOKUP($A83,CFR20252026_BenchMarkDataReport!$B:$B,CFR20252026_BenchMarkDataReport!AZ:AZ),0)</f>
        <v>8754.08</v>
      </c>
      <c r="AL83" s="88">
        <f>IFERROR(_xlfn.XLOOKUP($A83,CFR20252026_BenchMarkDataReport!$B:$B,CFR20252026_BenchMarkDataReport!BA:BA),0)</f>
        <v>103780.79</v>
      </c>
      <c r="AM83" s="88">
        <f>IFERROR(_xlfn.XLOOKUP($A83,CFR20252026_BenchMarkDataReport!$B:$B,CFR20252026_BenchMarkDataReport!BB:BB),0)</f>
        <v>39093.29</v>
      </c>
      <c r="AN83" s="88">
        <f>IFERROR(_xlfn.XLOOKUP($A83,CFR20252026_BenchMarkDataReport!$B:$B,CFR20252026_BenchMarkDataReport!BC:BC),0)</f>
        <v>6103.45</v>
      </c>
      <c r="AO83" s="88">
        <f>IFERROR(_xlfn.XLOOKUP($A83,CFR20252026_BenchMarkDataReport!$B:$B,CFR20252026_BenchMarkDataReport!BD:BD),0)</f>
        <v>0</v>
      </c>
      <c r="AP83" s="88">
        <f>IFERROR(_xlfn.XLOOKUP($A83,CFR20252026_BenchMarkDataReport!$B:$B,CFR20252026_BenchMarkDataReport!BE:BE),0)</f>
        <v>8471.9500000000007</v>
      </c>
      <c r="AQ83" s="88">
        <f>IFERROR(_xlfn.XLOOKUP($A83,CFR20252026_BenchMarkDataReport!$B:$B,CFR20252026_BenchMarkDataReport!BF:BF),0)</f>
        <v>24677.45</v>
      </c>
      <c r="AR83" s="88">
        <f>IFERROR(_xlfn.XLOOKUP($A83,CFR20252026_BenchMarkDataReport!$B:$B,CFR20252026_BenchMarkDataReport!BG:BG),0)</f>
        <v>2546.16</v>
      </c>
      <c r="AS83" s="88">
        <f>IFERROR(_xlfn.XLOOKUP($A83,CFR20252026_BenchMarkDataReport!$B:$B,CFR20252026_BenchMarkDataReport!BH:BH),0)</f>
        <v>7139.87</v>
      </c>
      <c r="AT83" s="88">
        <f>IFERROR(_xlfn.XLOOKUP($A83,CFR20252026_BenchMarkDataReport!$B:$B,CFR20252026_BenchMarkDataReport!BI:BI),0)</f>
        <v>42141.87</v>
      </c>
      <c r="AU83" s="88">
        <f>IFERROR(_xlfn.XLOOKUP($A83,CFR20252026_BenchMarkDataReport!$B:$B,CFR20252026_BenchMarkDataReport!BJ:BJ),0)</f>
        <v>42319.26</v>
      </c>
      <c r="AV83" s="88">
        <f>IFERROR(_xlfn.XLOOKUP($A83,CFR20252026_BenchMarkDataReport!$B:$B,CFR20252026_BenchMarkDataReport!BK:BK),0)</f>
        <v>19341.23</v>
      </c>
      <c r="AW83" s="88">
        <f>IFERROR(_xlfn.XLOOKUP($A83,CFR20252026_BenchMarkDataReport!$B:$B,CFR20252026_BenchMarkDataReport!BL:BL),0)</f>
        <v>15395.4</v>
      </c>
      <c r="AX83" s="88">
        <f>IFERROR(_xlfn.XLOOKUP($A83,CFR20252026_BenchMarkDataReport!$B:$B,CFR20252026_BenchMarkDataReport!BM:BM),0)</f>
        <v>0</v>
      </c>
      <c r="AY83" s="88">
        <f>IFERROR(_xlfn.XLOOKUP($A83,CFR20252026_BenchMarkDataReport!$B:$B,CFR20252026_BenchMarkDataReport!BN:BN),0)</f>
        <v>6471.3</v>
      </c>
      <c r="AZ83" s="88">
        <f>IFERROR(_xlfn.XLOOKUP($A83,CFR20252026_BenchMarkDataReport!$B:$B,CFR20252026_BenchMarkDataReport!BO:BO),0)</f>
        <v>0</v>
      </c>
      <c r="BA83" s="88">
        <f>IFERROR(_xlfn.XLOOKUP($A83,CFR20252026_BenchMarkDataReport!$B:$B,CFR20252026_BenchMarkDataReport!BP:BP),0)</f>
        <v>32854.54</v>
      </c>
      <c r="BB83" s="88">
        <f>IFERROR(_xlfn.XLOOKUP($A83,CFR20252026_BenchMarkDataReport!$B:$B,CFR20252026_BenchMarkDataReport!BQ:BQ),0)</f>
        <v>27296.81</v>
      </c>
      <c r="BC83" s="88">
        <f>IFERROR(_xlfn.XLOOKUP($A83,CFR20252026_BenchMarkDataReport!$B:$B,CFR20252026_BenchMarkDataReport!BR:BR),0)</f>
        <v>2374</v>
      </c>
      <c r="BD83" s="88">
        <f>IFERROR(_xlfn.XLOOKUP($A83,CFR20252026_BenchMarkDataReport!$B:$B,CFR20252026_BenchMarkDataReport!BS:BS),0)</f>
        <v>0</v>
      </c>
      <c r="BE83" s="88">
        <f>IFERROR(_xlfn.XLOOKUP($A83,CFR20252026_BenchMarkDataReport!$B:$B,CFR20252026_BenchMarkDataReport!BT:BT),0)</f>
        <v>24101</v>
      </c>
      <c r="BF83" s="88">
        <f>IFERROR(_xlfn.XLOOKUP($A83,CFR20252026_BenchMarkDataReport!$B:$B,CFR20252026_BenchMarkDataReport!BU:BU),0)</f>
        <v>0</v>
      </c>
      <c r="BG83" s="88">
        <f>IFERROR(_xlfn.XLOOKUP($A83,CFR20252026_BenchMarkDataReport!$B:$B,CFR20252026_BenchMarkDataReport!BV:BV),0)</f>
        <v>0</v>
      </c>
      <c r="BH83" s="89">
        <f t="shared" si="228"/>
        <v>3990823.3200000003</v>
      </c>
      <c r="BI83" s="90">
        <f t="shared" ref="BI83:BI86" si="338">SUM(U83:BE83)</f>
        <v>3723357.3200000008</v>
      </c>
      <c r="BJ83" s="126">
        <f t="shared" si="224"/>
        <v>267465.99999999953</v>
      </c>
      <c r="BK83" s="88">
        <f>IFERROR(_xlfn.XLOOKUP(A83,CFR20252026_BenchMarkDataReport!$B:$B,CFR20252026_BenchMarkDataReport!P:P)+_xlfn.XLOOKUP(A83,CFR20252026_BenchMarkDataReport!$B:$B,CFR20252026_BenchMarkDataReport!Q:Q),0)</f>
        <v>-41314</v>
      </c>
      <c r="BL83" s="89">
        <f t="shared" si="225"/>
        <v>226151.99999999953</v>
      </c>
      <c r="BM83" s="91">
        <f>SUMIFS(PP!I:I,PP!E:E,A83)</f>
        <v>304</v>
      </c>
      <c r="BN83" s="90">
        <f t="shared" si="278"/>
        <v>2890343.5300000003</v>
      </c>
      <c r="BO83" t="s">
        <v>175</v>
      </c>
      <c r="BP83" s="92">
        <f t="shared" si="279"/>
        <v>0.56667842414031</v>
      </c>
      <c r="BQ83" s="93">
        <f t="shared" si="280"/>
        <v>7439.189046052632</v>
      </c>
      <c r="BR83" s="94">
        <f t="shared" si="281"/>
        <v>0.12485036796868271</v>
      </c>
      <c r="BS83" s="95">
        <f t="shared" si="282"/>
        <v>1638.9992105263159</v>
      </c>
      <c r="BT83" s="92">
        <f t="shared" si="283"/>
        <v>3.2718637115711748E-2</v>
      </c>
      <c r="BU83" s="93">
        <f t="shared" si="284"/>
        <v>429.52072368421051</v>
      </c>
      <c r="BV83" s="94">
        <f t="shared" si="285"/>
        <v>0</v>
      </c>
      <c r="BW83" s="95">
        <f t="shared" si="286"/>
        <v>0</v>
      </c>
      <c r="BX83" s="92">
        <f t="shared" si="287"/>
        <v>3.2324157111520537E-3</v>
      </c>
      <c r="BY83" s="93">
        <f t="shared" si="288"/>
        <v>42.434210526315788</v>
      </c>
      <c r="BZ83" s="94">
        <f t="shared" si="289"/>
        <v>1.7936095953253073E-2</v>
      </c>
      <c r="CA83" s="95">
        <f t="shared" si="290"/>
        <v>235.45983552631577</v>
      </c>
      <c r="CB83" s="92">
        <f t="shared" si="291"/>
        <v>0</v>
      </c>
      <c r="CC83" s="93">
        <f t="shared" si="292"/>
        <v>0</v>
      </c>
      <c r="CD83" s="94">
        <f t="shared" si="293"/>
        <v>0</v>
      </c>
      <c r="CE83" s="96">
        <f t="shared" si="294"/>
        <v>0</v>
      </c>
      <c r="CF83" s="97">
        <f t="shared" si="295"/>
        <v>0</v>
      </c>
      <c r="CG83" s="98">
        <f t="shared" si="296"/>
        <v>0</v>
      </c>
      <c r="CH83" s="94">
        <f t="shared" si="297"/>
        <v>0.25458405911089044</v>
      </c>
      <c r="CI83" s="95">
        <f t="shared" si="298"/>
        <v>3342.1052631578946</v>
      </c>
      <c r="CJ83" s="99">
        <f t="shared" si="299"/>
        <v>0.91096729944761956</v>
      </c>
      <c r="CK83" s="97">
        <f t="shared" si="300"/>
        <v>0.65976572473271</v>
      </c>
      <c r="CL83" s="97">
        <f t="shared" si="301"/>
        <v>0.7071597522635833</v>
      </c>
      <c r="CM83" s="98">
        <f t="shared" si="302"/>
        <v>8661.2119736842105</v>
      </c>
      <c r="CN83" s="94">
        <f t="shared" si="303"/>
        <v>9.16086158104535E-2</v>
      </c>
      <c r="CO83" s="100">
        <f t="shared" si="304"/>
        <v>6.6347304495554565E-2</v>
      </c>
      <c r="CP83" s="100">
        <f t="shared" si="305"/>
        <v>7.1113338646745822E-2</v>
      </c>
      <c r="CQ83" s="101">
        <f t="shared" si="306"/>
        <v>870.98805921052633</v>
      </c>
      <c r="CR83" s="99">
        <f t="shared" si="306"/>
        <v>1.6560820367259248E-2</v>
      </c>
      <c r="CS83" s="97">
        <f t="shared" si="307"/>
        <v>1.1994131576839637E-2</v>
      </c>
      <c r="CT83" s="97">
        <f t="shared" si="308"/>
        <v>1.285572559552248E-2</v>
      </c>
      <c r="CU83" s="98">
        <f t="shared" si="309"/>
        <v>157.45546052631579</v>
      </c>
      <c r="CV83" s="94">
        <f t="shared" si="309"/>
        <v>6.431113397790468E-2</v>
      </c>
      <c r="CW83" s="100">
        <f t="shared" si="310"/>
        <v>4.6577173454023013E-2</v>
      </c>
      <c r="CX83" s="100">
        <f t="shared" si="311"/>
        <v>4.9923027532581793E-2</v>
      </c>
      <c r="CY83" s="95">
        <f t="shared" si="312"/>
        <v>611.45154605263156</v>
      </c>
      <c r="CZ83" s="99">
        <f t="shared" si="313"/>
        <v>1.083447869603237</v>
      </c>
      <c r="DA83" s="97">
        <f t="shared" si="314"/>
        <v>0.7846843342591272</v>
      </c>
      <c r="DB83" s="97">
        <f t="shared" si="315"/>
        <v>0.84105184403843336</v>
      </c>
      <c r="DC83" s="98">
        <f t="shared" si="316"/>
        <v>10301.107039473683</v>
      </c>
      <c r="DD83" s="94">
        <f t="shared" si="317"/>
        <v>2.4290770031754665E-2</v>
      </c>
      <c r="DE83" s="100">
        <f t="shared" si="318"/>
        <v>1.885628049257437E-2</v>
      </c>
      <c r="DF83" s="95">
        <f t="shared" si="319"/>
        <v>230.94957236842106</v>
      </c>
      <c r="DG83" s="99">
        <f t="shared" si="320"/>
        <v>1.7738292171217128E-4</v>
      </c>
      <c r="DH83" s="98">
        <f t="shared" si="321"/>
        <v>2.1725657894736843</v>
      </c>
      <c r="DI83" s="94">
        <f t="shared" si="321"/>
        <v>5.5163200617886409E-3</v>
      </c>
      <c r="DJ83" s="100">
        <f t="shared" si="322"/>
        <v>4.2821729502985212E-3</v>
      </c>
      <c r="DK83" s="95">
        <f t="shared" si="323"/>
        <v>52.447565789473686</v>
      </c>
      <c r="DL83" s="99">
        <f t="shared" si="324"/>
        <v>3.5906039860943442E-2</v>
      </c>
      <c r="DM83" s="97">
        <f t="shared" si="325"/>
        <v>2.7872906380094611E-2</v>
      </c>
      <c r="DN83" s="102">
        <f t="shared" si="326"/>
        <v>341.38417763157895</v>
      </c>
      <c r="DO83" s="94">
        <f t="shared" si="326"/>
        <v>1.3525482211451868E-2</v>
      </c>
      <c r="DP83" s="100">
        <f t="shared" si="327"/>
        <v>9.7957957206684862E-3</v>
      </c>
      <c r="DQ83" s="100">
        <f t="shared" si="328"/>
        <v>1.0499473093815232E-2</v>
      </c>
      <c r="DR83" s="95">
        <f t="shared" si="329"/>
        <v>128.59634868421054</v>
      </c>
      <c r="DS83" s="99">
        <f t="shared" si="330"/>
        <v>6.691671698969291E-3</v>
      </c>
      <c r="DT83" s="97">
        <f t="shared" si="331"/>
        <v>5.1945672514718509E-3</v>
      </c>
      <c r="DU83" s="98">
        <f t="shared" si="332"/>
        <v>63.622467105263155</v>
      </c>
      <c r="DV83" s="94">
        <f t="shared" si="333"/>
        <v>1.1367001762589792E-2</v>
      </c>
      <c r="DW83" s="100">
        <f t="shared" si="334"/>
        <v>8.8239019724273993E-3</v>
      </c>
      <c r="DX83" s="95">
        <f t="shared" si="335"/>
        <v>108.07414473684211</v>
      </c>
      <c r="DY83" s="99">
        <f t="shared" si="336"/>
        <v>1.738028194403861E-3</v>
      </c>
      <c r="DZ83" s="98">
        <f t="shared" si="337"/>
        <v>21.287171052631578</v>
      </c>
      <c r="EA83" s="94">
        <f t="shared" si="226"/>
        <v>1.7637694788852548E-2</v>
      </c>
      <c r="EB83" s="95">
        <f t="shared" si="227"/>
        <v>216.02447368421053</v>
      </c>
      <c r="EC83" s="103">
        <f>IFERROR(VLOOKUP(A83,PP!$E$3:$S$130,14,0),0)</f>
        <v>12</v>
      </c>
    </row>
    <row r="84" spans="1:227">
      <c r="A84" s="121">
        <v>5427</v>
      </c>
      <c r="B84" s="122">
        <v>11174</v>
      </c>
      <c r="C84" s="121" t="s">
        <v>281</v>
      </c>
      <c r="D84" s="88">
        <f>IFERROR(_xlfn.XLOOKUP($A84,CFR20252026_BenchMarkDataReport!$B:$B,CFR20252026_BenchMarkDataReport!S:S),0)</f>
        <v>8183680.5899999999</v>
      </c>
      <c r="E84" s="88">
        <f>IFERROR(_xlfn.XLOOKUP($A84,CFR20252026_BenchMarkDataReport!$B:$B,CFR20252026_BenchMarkDataReport!T:T),0)</f>
        <v>2325559.17</v>
      </c>
      <c r="F84" s="88">
        <f>IFERROR(_xlfn.XLOOKUP($A84,CFR20252026_BenchMarkDataReport!$B:$B,CFR20252026_BenchMarkDataReport!U:U),0)</f>
        <v>1791204.88</v>
      </c>
      <c r="G84" s="88">
        <f>IFERROR(_xlfn.XLOOKUP($A84,CFR20252026_BenchMarkDataReport!$B:$B,CFR20252026_BenchMarkDataReport!V:V),0)</f>
        <v>0</v>
      </c>
      <c r="H84" s="88">
        <f>IFERROR(_xlfn.XLOOKUP($A84,CFR20252026_BenchMarkDataReport!$B:$B,CFR20252026_BenchMarkDataReport!W:W),0)</f>
        <v>64155</v>
      </c>
      <c r="I84" s="88">
        <f>IFERROR(_xlfn.XLOOKUP($A84,CFR20252026_BenchMarkDataReport!$B:$B,CFR20252026_BenchMarkDataReport!X:X),0)</f>
        <v>193069.44</v>
      </c>
      <c r="J84" s="88">
        <f>IFERROR(_xlfn.XLOOKUP($A84,CFR20252026_BenchMarkDataReport!$B:$B,CFR20252026_BenchMarkDataReport!Y:Y),0)</f>
        <v>0</v>
      </c>
      <c r="K84" s="88">
        <f>IFERROR(_xlfn.XLOOKUP($A84,CFR20252026_BenchMarkDataReport!$B:$B,CFR20252026_BenchMarkDataReport!Z:Z),0)</f>
        <v>41444.74</v>
      </c>
      <c r="L84" s="88">
        <f>IFERROR(_xlfn.XLOOKUP($A84,CFR20252026_BenchMarkDataReport!$B:$B,CFR20252026_BenchMarkDataReport!AA:AA),0)</f>
        <v>0</v>
      </c>
      <c r="M84" s="88">
        <f>IFERROR(_xlfn.XLOOKUP($A84,CFR20252026_BenchMarkDataReport!$B:$B,CFR20252026_BenchMarkDataReport!AB:AB),0)</f>
        <v>41320</v>
      </c>
      <c r="N84" s="88">
        <f>IFERROR(_xlfn.XLOOKUP($A84,CFR20252026_BenchMarkDataReport!$B:$B,CFR20252026_BenchMarkDataReport!AC:AC),0)</f>
        <v>0</v>
      </c>
      <c r="O84" s="88">
        <f>IFERROR(_xlfn.XLOOKUP($A84,CFR20252026_BenchMarkDataReport!$B:$B,CFR20252026_BenchMarkDataReport!AD:AD),0)</f>
        <v>0</v>
      </c>
      <c r="P84" s="88">
        <f>IFERROR(_xlfn.XLOOKUP($A84,CFR20252026_BenchMarkDataReport!$B:$B,CFR20252026_BenchMarkDataReport!AE:AE),0)</f>
        <v>2120154.1</v>
      </c>
      <c r="Q84" s="88">
        <f>IFERROR(_xlfn.XLOOKUP($A84,CFR20252026_BenchMarkDataReport!$B:$B,CFR20252026_BenchMarkDataReport!AF:AF),0)</f>
        <v>1949436.84</v>
      </c>
      <c r="R84" s="88">
        <f>IFERROR(_xlfn.XLOOKUP($A84,CFR20252026_BenchMarkDataReport!$B:$B,CFR20252026_BenchMarkDataReport!AG:AG),0)</f>
        <v>0</v>
      </c>
      <c r="S84" s="88">
        <f>IFERROR(_xlfn.XLOOKUP($A84,CFR20252026_BenchMarkDataReport!$B:$B,CFR20252026_BenchMarkDataReport!AH:AH),0)</f>
        <v>0</v>
      </c>
      <c r="T84" s="88">
        <f>IFERROR(_xlfn.XLOOKUP($A84,CFR20252026_BenchMarkDataReport!$B:$B,CFR20252026_BenchMarkDataReport!AI:AI),0)</f>
        <v>0</v>
      </c>
      <c r="U84" s="88">
        <f>IFERROR(_xlfn.XLOOKUP($A84,CFR20252026_BenchMarkDataReport!$B:$B,CFR20252026_BenchMarkDataReport!AJ:AJ),0)</f>
        <v>8543661.8599999994</v>
      </c>
      <c r="V84" s="88">
        <f>IFERROR(_xlfn.XLOOKUP($A84,CFR20252026_BenchMarkDataReport!$B:$B,CFR20252026_BenchMarkDataReport!AK:AK),0)</f>
        <v>20218.810000000001</v>
      </c>
      <c r="W84" s="88">
        <f>IFERROR(_xlfn.XLOOKUP($A84,CFR20252026_BenchMarkDataReport!$B:$B,CFR20252026_BenchMarkDataReport!AL:AL),0)</f>
        <v>2096953.16</v>
      </c>
      <c r="X84" s="88">
        <f>IFERROR(_xlfn.XLOOKUP($A84,CFR20252026_BenchMarkDataReport!$B:$B,CFR20252026_BenchMarkDataReport!AM:AM),0)</f>
        <v>217405.66</v>
      </c>
      <c r="Y84" s="88">
        <f>IFERROR(_xlfn.XLOOKUP($A84,CFR20252026_BenchMarkDataReport!$B:$B,CFR20252026_BenchMarkDataReport!AN:AN),0)</f>
        <v>1033585.24</v>
      </c>
      <c r="Z84" s="88">
        <f>IFERROR(_xlfn.XLOOKUP($A84,CFR20252026_BenchMarkDataReport!$B:$B,CFR20252026_BenchMarkDataReport!AO:AO),0)</f>
        <v>0</v>
      </c>
      <c r="AA84" s="88">
        <f>IFERROR(_xlfn.XLOOKUP($A84,CFR20252026_BenchMarkDataReport!$B:$B,CFR20252026_BenchMarkDataReport!AP:AP),0)</f>
        <v>184402.7</v>
      </c>
      <c r="AB84" s="88">
        <f>IFERROR(_xlfn.XLOOKUP($A84,CFR20252026_BenchMarkDataReport!$B:$B,CFR20252026_BenchMarkDataReport!AQ:AQ),0)</f>
        <v>95605.81</v>
      </c>
      <c r="AC84" s="88">
        <f>IFERROR(_xlfn.XLOOKUP($A84,CFR20252026_BenchMarkDataReport!$B:$B,CFR20252026_BenchMarkDataReport!AR:AR),0)</f>
        <v>23960.32</v>
      </c>
      <c r="AD84" s="88">
        <f>IFERROR(_xlfn.XLOOKUP($A84,CFR20252026_BenchMarkDataReport!$B:$B,CFR20252026_BenchMarkDataReport!AS:AS),0)</f>
        <v>1462.92</v>
      </c>
      <c r="AE84" s="88">
        <f>IFERROR(_xlfn.XLOOKUP($A84,CFR20252026_BenchMarkDataReport!$B:$B,CFR20252026_BenchMarkDataReport!AT:AT),0)</f>
        <v>0</v>
      </c>
      <c r="AF84" s="88">
        <f>IFERROR(_xlfn.XLOOKUP($A84,CFR20252026_BenchMarkDataReport!$B:$B,CFR20252026_BenchMarkDataReport!AU:AU),0)</f>
        <v>250306.28</v>
      </c>
      <c r="AG84" s="88">
        <f>IFERROR(_xlfn.XLOOKUP($A84,CFR20252026_BenchMarkDataReport!$B:$B,CFR20252026_BenchMarkDataReport!AV:AV),0)</f>
        <v>29819.45</v>
      </c>
      <c r="AH84" s="88">
        <f>IFERROR(_xlfn.XLOOKUP($A84,CFR20252026_BenchMarkDataReport!$B:$B,CFR20252026_BenchMarkDataReport!AW:AW),0)</f>
        <v>230007.58</v>
      </c>
      <c r="AI84" s="88">
        <f>IFERROR(_xlfn.XLOOKUP($A84,CFR20252026_BenchMarkDataReport!$B:$B,CFR20252026_BenchMarkDataReport!AX:AX),0)</f>
        <v>19286.88</v>
      </c>
      <c r="AJ84" s="88">
        <f>IFERROR(_xlfn.XLOOKUP($A84,CFR20252026_BenchMarkDataReport!$B:$B,CFR20252026_BenchMarkDataReport!AY:AY),0)</f>
        <v>266055.12</v>
      </c>
      <c r="AK84" s="88">
        <f>IFERROR(_xlfn.XLOOKUP($A84,CFR20252026_BenchMarkDataReport!$B:$B,CFR20252026_BenchMarkDataReport!AZ:AZ),0)</f>
        <v>76954.11</v>
      </c>
      <c r="AL84" s="88">
        <f>IFERROR(_xlfn.XLOOKUP($A84,CFR20252026_BenchMarkDataReport!$B:$B,CFR20252026_BenchMarkDataReport!BA:BA),0)</f>
        <v>204554.11</v>
      </c>
      <c r="AM84" s="88">
        <f>IFERROR(_xlfn.XLOOKUP($A84,CFR20252026_BenchMarkDataReport!$B:$B,CFR20252026_BenchMarkDataReport!BB:BB),0)</f>
        <v>1038508.04</v>
      </c>
      <c r="AN84" s="88">
        <f>IFERROR(_xlfn.XLOOKUP($A84,CFR20252026_BenchMarkDataReport!$B:$B,CFR20252026_BenchMarkDataReport!BC:BC),0)</f>
        <v>0</v>
      </c>
      <c r="AO84" s="88">
        <f>IFERROR(_xlfn.XLOOKUP($A84,CFR20252026_BenchMarkDataReport!$B:$B,CFR20252026_BenchMarkDataReport!BD:BD),0)</f>
        <v>0</v>
      </c>
      <c r="AP84" s="88">
        <f>IFERROR(_xlfn.XLOOKUP($A84,CFR20252026_BenchMarkDataReport!$B:$B,CFR20252026_BenchMarkDataReport!BE:BE),0)</f>
        <v>172976.29</v>
      </c>
      <c r="AQ84" s="88">
        <f>IFERROR(_xlfn.XLOOKUP($A84,CFR20252026_BenchMarkDataReport!$B:$B,CFR20252026_BenchMarkDataReport!BF:BF),0)</f>
        <v>0</v>
      </c>
      <c r="AR84" s="88">
        <f>IFERROR(_xlfn.XLOOKUP($A84,CFR20252026_BenchMarkDataReport!$B:$B,CFR20252026_BenchMarkDataReport!BG:BG),0)</f>
        <v>0</v>
      </c>
      <c r="AS84" s="88">
        <f>IFERROR(_xlfn.XLOOKUP($A84,CFR20252026_BenchMarkDataReport!$B:$B,CFR20252026_BenchMarkDataReport!BH:BH),0)</f>
        <v>0</v>
      </c>
      <c r="AT84" s="88">
        <f>IFERROR(_xlfn.XLOOKUP($A84,CFR20252026_BenchMarkDataReport!$B:$B,CFR20252026_BenchMarkDataReport!BI:BI),0)</f>
        <v>0</v>
      </c>
      <c r="AU84" s="88">
        <f>IFERROR(_xlfn.XLOOKUP($A84,CFR20252026_BenchMarkDataReport!$B:$B,CFR20252026_BenchMarkDataReport!BJ:BJ),0)</f>
        <v>261672.84</v>
      </c>
      <c r="AV84" s="88">
        <f>IFERROR(_xlfn.XLOOKUP($A84,CFR20252026_BenchMarkDataReport!$B:$B,CFR20252026_BenchMarkDataReport!BK:BK),0)</f>
        <v>56789.31</v>
      </c>
      <c r="AW84" s="88">
        <f>IFERROR(_xlfn.XLOOKUP($A84,CFR20252026_BenchMarkDataReport!$B:$B,CFR20252026_BenchMarkDataReport!BL:BL),0)</f>
        <v>58200.26</v>
      </c>
      <c r="AX84" s="88">
        <f>IFERROR(_xlfn.XLOOKUP($A84,CFR20252026_BenchMarkDataReport!$B:$B,CFR20252026_BenchMarkDataReport!BM:BM),0)</f>
        <v>0</v>
      </c>
      <c r="AY84" s="88">
        <f>IFERROR(_xlfn.XLOOKUP($A84,CFR20252026_BenchMarkDataReport!$B:$B,CFR20252026_BenchMarkDataReport!BN:BN),0)</f>
        <v>28799.07</v>
      </c>
      <c r="AZ84" s="88">
        <f>IFERROR(_xlfn.XLOOKUP($A84,CFR20252026_BenchMarkDataReport!$B:$B,CFR20252026_BenchMarkDataReport!BO:BO),0)</f>
        <v>151691.62</v>
      </c>
      <c r="BA84" s="88">
        <f>IFERROR(_xlfn.XLOOKUP($A84,CFR20252026_BenchMarkDataReport!$B:$B,CFR20252026_BenchMarkDataReport!BP:BP),0)</f>
        <v>422335.74</v>
      </c>
      <c r="BB84" s="88">
        <f>IFERROR(_xlfn.XLOOKUP($A84,CFR20252026_BenchMarkDataReport!$B:$B,CFR20252026_BenchMarkDataReport!BQ:BQ),0)</f>
        <v>1173160.1599999999</v>
      </c>
      <c r="BC84" s="88">
        <f>IFERROR(_xlfn.XLOOKUP($A84,CFR20252026_BenchMarkDataReport!$B:$B,CFR20252026_BenchMarkDataReport!BR:BR),0)</f>
        <v>0</v>
      </c>
      <c r="BD84" s="88">
        <f>IFERROR(_xlfn.XLOOKUP($A84,CFR20252026_BenchMarkDataReport!$B:$B,CFR20252026_BenchMarkDataReport!BS:BS),0)</f>
        <v>0</v>
      </c>
      <c r="BE84" s="88">
        <f>IFERROR(_xlfn.XLOOKUP($A84,CFR20252026_BenchMarkDataReport!$B:$B,CFR20252026_BenchMarkDataReport!BT:BT),0)</f>
        <v>1702.56</v>
      </c>
      <c r="BF84" s="88">
        <f>IFERROR(_xlfn.XLOOKUP($A84,CFR20252026_BenchMarkDataReport!$B:$B,CFR20252026_BenchMarkDataReport!BU:BU),0)</f>
        <v>0</v>
      </c>
      <c r="BG84" s="88">
        <f>IFERROR(_xlfn.XLOOKUP($A84,CFR20252026_BenchMarkDataReport!$B:$B,CFR20252026_BenchMarkDataReport!BV:BV),0)</f>
        <v>0</v>
      </c>
      <c r="BH84" s="89">
        <f t="shared" si="228"/>
        <v>16710024.76</v>
      </c>
      <c r="BI84" s="90">
        <f t="shared" si="338"/>
        <v>16660075.899999997</v>
      </c>
      <c r="BJ84" s="126">
        <f t="shared" si="224"/>
        <v>49948.860000003129</v>
      </c>
      <c r="BK84" s="88">
        <f>IFERROR(_xlfn.XLOOKUP(A84,CFR20252026_BenchMarkDataReport!$B:$B,CFR20252026_BenchMarkDataReport!P:P)+_xlfn.XLOOKUP(A84,CFR20252026_BenchMarkDataReport!$B:$B,CFR20252026_BenchMarkDataReport!Q:Q),0)</f>
        <v>62352</v>
      </c>
      <c r="BL84" s="89">
        <f t="shared" si="225"/>
        <v>112300.86000000313</v>
      </c>
      <c r="BM84" s="91">
        <f>SUMIFS(PP!I:I,PP!E:E,A84)</f>
        <v>1002</v>
      </c>
      <c r="BN84" s="90">
        <f t="shared" si="278"/>
        <v>12300444.640000001</v>
      </c>
      <c r="BO84" t="s">
        <v>175</v>
      </c>
      <c r="BP84" s="92">
        <f t="shared" si="279"/>
        <v>0.48974676623998015</v>
      </c>
      <c r="BQ84" s="93">
        <f t="shared" si="280"/>
        <v>8167.3458982035927</v>
      </c>
      <c r="BR84" s="94">
        <f t="shared" si="281"/>
        <v>0.13917149755318495</v>
      </c>
      <c r="BS84" s="95">
        <f t="shared" si="282"/>
        <v>2320.9173353293413</v>
      </c>
      <c r="BT84" s="92">
        <f t="shared" si="283"/>
        <v>0.10719343063379158</v>
      </c>
      <c r="BU84" s="93">
        <f t="shared" si="284"/>
        <v>1787.6296207584828</v>
      </c>
      <c r="BV84" s="94">
        <f t="shared" si="285"/>
        <v>0</v>
      </c>
      <c r="BW84" s="95">
        <f t="shared" si="286"/>
        <v>0</v>
      </c>
      <c r="BX84" s="92">
        <f t="shared" si="287"/>
        <v>3.8393120848972339E-3</v>
      </c>
      <c r="BY84" s="93">
        <f t="shared" si="288"/>
        <v>64.026946107784426</v>
      </c>
      <c r="BZ84" s="94">
        <f t="shared" si="289"/>
        <v>1.155410855297859E-2</v>
      </c>
      <c r="CA84" s="95">
        <f t="shared" si="290"/>
        <v>192.68407185628743</v>
      </c>
      <c r="CB84" s="92">
        <f t="shared" si="291"/>
        <v>0</v>
      </c>
      <c r="CC84" s="93">
        <f t="shared" si="292"/>
        <v>0</v>
      </c>
      <c r="CD84" s="94">
        <f t="shared" si="293"/>
        <v>2.4802321118762962E-3</v>
      </c>
      <c r="CE84" s="96">
        <f t="shared" si="294"/>
        <v>41.362015968063872</v>
      </c>
      <c r="CF84" s="97">
        <f t="shared" si="295"/>
        <v>0.12687917166198143</v>
      </c>
      <c r="CG84" s="98">
        <f t="shared" si="296"/>
        <v>2115.9222554890221</v>
      </c>
      <c r="CH84" s="94">
        <f t="shared" si="297"/>
        <v>0.11666271402939561</v>
      </c>
      <c r="CI84" s="95">
        <f t="shared" si="298"/>
        <v>1945.545748502994</v>
      </c>
      <c r="CJ84" s="99">
        <f t="shared" si="299"/>
        <v>0.70855749894257469</v>
      </c>
      <c r="CK84" s="97">
        <f t="shared" si="300"/>
        <v>0.52157746114554526</v>
      </c>
      <c r="CL84" s="97">
        <f t="shared" si="301"/>
        <v>0.52314121149952264</v>
      </c>
      <c r="CM84" s="98">
        <f t="shared" si="302"/>
        <v>8698.1759381237516</v>
      </c>
      <c r="CN84" s="94">
        <f t="shared" si="303"/>
        <v>0.17047783404356673</v>
      </c>
      <c r="CO84" s="100">
        <f t="shared" si="304"/>
        <v>0.12549072728004743</v>
      </c>
      <c r="CP84" s="100">
        <f t="shared" si="305"/>
        <v>0.12586696318712451</v>
      </c>
      <c r="CQ84" s="101">
        <f t="shared" si="306"/>
        <v>2092.7676247504987</v>
      </c>
      <c r="CR84" s="99">
        <f t="shared" si="306"/>
        <v>1.767461798031392E-2</v>
      </c>
      <c r="CS84" s="97">
        <f t="shared" si="307"/>
        <v>1.3010492989838036E-2</v>
      </c>
      <c r="CT84" s="97">
        <f t="shared" si="308"/>
        <v>1.3049499972566153E-2</v>
      </c>
      <c r="CU84" s="98">
        <f t="shared" si="309"/>
        <v>216.97171656686626</v>
      </c>
      <c r="CV84" s="94">
        <f t="shared" si="309"/>
        <v>8.4028282736940144E-2</v>
      </c>
      <c r="CW84" s="100">
        <f t="shared" si="310"/>
        <v>6.1854201585276408E-2</v>
      </c>
      <c r="CX84" s="100">
        <f t="shared" si="311"/>
        <v>6.2039647730536461E-2</v>
      </c>
      <c r="CY84" s="95">
        <f t="shared" si="312"/>
        <v>1031.5221956087823</v>
      </c>
      <c r="CZ84" s="99">
        <f t="shared" si="313"/>
        <v>0.98339757496766389</v>
      </c>
      <c r="DA84" s="97">
        <f t="shared" si="314"/>
        <v>0.72389045520480721</v>
      </c>
      <c r="DB84" s="97">
        <f t="shared" si="315"/>
        <v>0.72606076362473249</v>
      </c>
      <c r="DC84" s="98">
        <f t="shared" si="316"/>
        <v>12072.083263473054</v>
      </c>
      <c r="DD84" s="94">
        <f t="shared" si="317"/>
        <v>2.0349368443643514E-2</v>
      </c>
      <c r="DE84" s="100">
        <f t="shared" si="318"/>
        <v>1.5024318106497946E-2</v>
      </c>
      <c r="DF84" s="95">
        <f t="shared" si="319"/>
        <v>249.80666666666667</v>
      </c>
      <c r="DG84" s="99">
        <f t="shared" si="320"/>
        <v>1.1576705962065878E-3</v>
      </c>
      <c r="DH84" s="98">
        <f t="shared" si="321"/>
        <v>19.248383233532934</v>
      </c>
      <c r="DI84" s="94">
        <f t="shared" si="321"/>
        <v>2.1629715655547228E-2</v>
      </c>
      <c r="DJ84" s="100">
        <f t="shared" si="322"/>
        <v>1.5969622323269251E-2</v>
      </c>
      <c r="DK84" s="95">
        <f t="shared" si="323"/>
        <v>265.52407185628743</v>
      </c>
      <c r="DL84" s="99">
        <f t="shared" si="324"/>
        <v>1.6629814286128114E-2</v>
      </c>
      <c r="DM84" s="97">
        <f t="shared" si="325"/>
        <v>1.2278101926294346E-2</v>
      </c>
      <c r="DN84" s="102">
        <f t="shared" si="326"/>
        <v>204.14581836327343</v>
      </c>
      <c r="DO84" s="94">
        <f t="shared" si="326"/>
        <v>8.4428495911672993E-2</v>
      </c>
      <c r="DP84" s="100">
        <f t="shared" si="327"/>
        <v>6.2148803183460992E-2</v>
      </c>
      <c r="DQ84" s="100">
        <f t="shared" si="328"/>
        <v>6.2335132578837785E-2</v>
      </c>
      <c r="DR84" s="95">
        <f t="shared" si="329"/>
        <v>1036.4351696606786</v>
      </c>
      <c r="DS84" s="99">
        <f t="shared" si="330"/>
        <v>4.61685017591364E-3</v>
      </c>
      <c r="DT84" s="97">
        <f t="shared" si="331"/>
        <v>3.4087065593740788E-3</v>
      </c>
      <c r="DU84" s="98">
        <f t="shared" si="332"/>
        <v>56.675958083832334</v>
      </c>
      <c r="DV84" s="94">
        <f t="shared" si="333"/>
        <v>3.4334997828176068E-2</v>
      </c>
      <c r="DW84" s="100">
        <f t="shared" si="334"/>
        <v>2.5350169022939451E-2</v>
      </c>
      <c r="DX84" s="95">
        <f t="shared" si="335"/>
        <v>421.49275449101793</v>
      </c>
      <c r="DY84" s="99">
        <f t="shared" si="336"/>
        <v>1.7286277789406712E-3</v>
      </c>
      <c r="DZ84" s="98">
        <f t="shared" si="337"/>
        <v>28.741586826347305</v>
      </c>
      <c r="EA84" s="94">
        <f t="shared" si="226"/>
        <v>1.3805914293583743E-2</v>
      </c>
      <c r="EB84" s="95">
        <f t="shared" si="227"/>
        <v>229.54848303393211</v>
      </c>
      <c r="EC84" s="103">
        <f>IFERROR(VLOOKUP(A84,PP!$E$3:$S$130,14,0),0)</f>
        <v>45</v>
      </c>
    </row>
    <row r="85" spans="1:227">
      <c r="A85" s="121">
        <v>5407</v>
      </c>
      <c r="B85" s="122">
        <v>10142</v>
      </c>
      <c r="C85" s="121" t="s">
        <v>107</v>
      </c>
      <c r="D85" s="88">
        <f>IFERROR(_xlfn.XLOOKUP($A85,CFR20252026_BenchMarkDataReport!$B:$B,CFR20252026_BenchMarkDataReport!S:S),0)</f>
        <v>8665903.2899999991</v>
      </c>
      <c r="E85" s="88">
        <f>IFERROR(_xlfn.XLOOKUP($A85,CFR20252026_BenchMarkDataReport!$B:$B,CFR20252026_BenchMarkDataReport!T:T),0)</f>
        <v>1354299.94</v>
      </c>
      <c r="F85" s="88">
        <f>IFERROR(_xlfn.XLOOKUP($A85,CFR20252026_BenchMarkDataReport!$B:$B,CFR20252026_BenchMarkDataReport!U:U),0)</f>
        <v>308264.76</v>
      </c>
      <c r="G85" s="88">
        <f>IFERROR(_xlfn.XLOOKUP($A85,CFR20252026_BenchMarkDataReport!$B:$B,CFR20252026_BenchMarkDataReport!V:V),0)</f>
        <v>0</v>
      </c>
      <c r="H85" s="88">
        <f>IFERROR(_xlfn.XLOOKUP($A85,CFR20252026_BenchMarkDataReport!$B:$B,CFR20252026_BenchMarkDataReport!W:W),0)</f>
        <v>371719</v>
      </c>
      <c r="I85" s="88">
        <f>IFERROR(_xlfn.XLOOKUP($A85,CFR20252026_BenchMarkDataReport!$B:$B,CFR20252026_BenchMarkDataReport!X:X),0)</f>
        <v>4918.1499999999996</v>
      </c>
      <c r="J85" s="88">
        <f>IFERROR(_xlfn.XLOOKUP($A85,CFR20252026_BenchMarkDataReport!$B:$B,CFR20252026_BenchMarkDataReport!Y:Y),0)</f>
        <v>10909.16</v>
      </c>
      <c r="K85" s="88">
        <f>IFERROR(_xlfn.XLOOKUP($A85,CFR20252026_BenchMarkDataReport!$B:$B,CFR20252026_BenchMarkDataReport!Z:Z),0)</f>
        <v>0</v>
      </c>
      <c r="L85" s="88">
        <f>IFERROR(_xlfn.XLOOKUP($A85,CFR20252026_BenchMarkDataReport!$B:$B,CFR20252026_BenchMarkDataReport!AA:AA),0)</f>
        <v>37525.040000000001</v>
      </c>
      <c r="M85" s="88">
        <f>IFERROR(_xlfn.XLOOKUP($A85,CFR20252026_BenchMarkDataReport!$B:$B,CFR20252026_BenchMarkDataReport!AB:AB),0)</f>
        <v>0</v>
      </c>
      <c r="N85" s="88">
        <f>IFERROR(_xlfn.XLOOKUP($A85,CFR20252026_BenchMarkDataReport!$B:$B,CFR20252026_BenchMarkDataReport!AC:AC),0)</f>
        <v>0</v>
      </c>
      <c r="O85" s="88">
        <f>IFERROR(_xlfn.XLOOKUP($A85,CFR20252026_BenchMarkDataReport!$B:$B,CFR20252026_BenchMarkDataReport!AD:AD),0)</f>
        <v>0</v>
      </c>
      <c r="P85" s="88">
        <f>IFERROR(_xlfn.XLOOKUP($A85,CFR20252026_BenchMarkDataReport!$B:$B,CFR20252026_BenchMarkDataReport!AE:AE),0)</f>
        <v>68936.62</v>
      </c>
      <c r="Q85" s="88">
        <f>IFERROR(_xlfn.XLOOKUP($A85,CFR20252026_BenchMarkDataReport!$B:$B,CFR20252026_BenchMarkDataReport!AF:AF),0)</f>
        <v>38527.480000000003</v>
      </c>
      <c r="R85" s="88">
        <f>IFERROR(_xlfn.XLOOKUP($A85,CFR20252026_BenchMarkDataReport!$B:$B,CFR20252026_BenchMarkDataReport!AG:AG),0)</f>
        <v>0</v>
      </c>
      <c r="S85" s="88">
        <f>IFERROR(_xlfn.XLOOKUP($A85,CFR20252026_BenchMarkDataReport!$B:$B,CFR20252026_BenchMarkDataReport!AH:AH),0)</f>
        <v>0</v>
      </c>
      <c r="T85" s="88">
        <f>IFERROR(_xlfn.XLOOKUP($A85,CFR20252026_BenchMarkDataReport!$B:$B,CFR20252026_BenchMarkDataReport!AI:AI),0)</f>
        <v>0</v>
      </c>
      <c r="U85" s="88">
        <f>IFERROR(_xlfn.XLOOKUP($A85,CFR20252026_BenchMarkDataReport!$B:$B,CFR20252026_BenchMarkDataReport!AJ:AJ),0)</f>
        <v>6124784.4500000002</v>
      </c>
      <c r="V85" s="88">
        <f>IFERROR(_xlfn.XLOOKUP($A85,CFR20252026_BenchMarkDataReport!$B:$B,CFR20252026_BenchMarkDataReport!AK:AK),0)</f>
        <v>0</v>
      </c>
      <c r="W85" s="88">
        <f>IFERROR(_xlfn.XLOOKUP($A85,CFR20252026_BenchMarkDataReport!$B:$B,CFR20252026_BenchMarkDataReport!AL:AL),0)</f>
        <v>1546810.78</v>
      </c>
      <c r="X85" s="88">
        <f>IFERROR(_xlfn.XLOOKUP($A85,CFR20252026_BenchMarkDataReport!$B:$B,CFR20252026_BenchMarkDataReport!AM:AM),0)</f>
        <v>162288.01</v>
      </c>
      <c r="Y85" s="88">
        <f>IFERROR(_xlfn.XLOOKUP($A85,CFR20252026_BenchMarkDataReport!$B:$B,CFR20252026_BenchMarkDataReport!AN:AN),0)</f>
        <v>486981.49</v>
      </c>
      <c r="Z85" s="88">
        <f>IFERROR(_xlfn.XLOOKUP($A85,CFR20252026_BenchMarkDataReport!$B:$B,CFR20252026_BenchMarkDataReport!AO:AO),0)</f>
        <v>0</v>
      </c>
      <c r="AA85" s="88">
        <f>IFERROR(_xlfn.XLOOKUP($A85,CFR20252026_BenchMarkDataReport!$B:$B,CFR20252026_BenchMarkDataReport!AP:AP),0)</f>
        <v>56619.199999999997</v>
      </c>
      <c r="AB85" s="88">
        <f>IFERROR(_xlfn.XLOOKUP($A85,CFR20252026_BenchMarkDataReport!$B:$B,CFR20252026_BenchMarkDataReport!AQ:AQ),0)</f>
        <v>92626.34</v>
      </c>
      <c r="AC85" s="88">
        <f>IFERROR(_xlfn.XLOOKUP($A85,CFR20252026_BenchMarkDataReport!$B:$B,CFR20252026_BenchMarkDataReport!AR:AR),0)</f>
        <v>14285.15</v>
      </c>
      <c r="AD85" s="88">
        <f>IFERROR(_xlfn.XLOOKUP($A85,CFR20252026_BenchMarkDataReport!$B:$B,CFR20252026_BenchMarkDataReport!AS:AS),0)</f>
        <v>1543.23</v>
      </c>
      <c r="AE85" s="88">
        <f>IFERROR(_xlfn.XLOOKUP($A85,CFR20252026_BenchMarkDataReport!$B:$B,CFR20252026_BenchMarkDataReport!AT:AT),0)</f>
        <v>0</v>
      </c>
      <c r="AF85" s="88">
        <f>IFERROR(_xlfn.XLOOKUP($A85,CFR20252026_BenchMarkDataReport!$B:$B,CFR20252026_BenchMarkDataReport!AU:AU),0)</f>
        <v>73120.179999999993</v>
      </c>
      <c r="AG85" s="88">
        <f>IFERROR(_xlfn.XLOOKUP($A85,CFR20252026_BenchMarkDataReport!$B:$B,CFR20252026_BenchMarkDataReport!AV:AV),0)</f>
        <v>14218.85</v>
      </c>
      <c r="AH85" s="88">
        <f>IFERROR(_xlfn.XLOOKUP($A85,CFR20252026_BenchMarkDataReport!$B:$B,CFR20252026_BenchMarkDataReport!AW:AW),0)</f>
        <v>223227.31</v>
      </c>
      <c r="AI85" s="88">
        <f>IFERROR(_xlfn.XLOOKUP($A85,CFR20252026_BenchMarkDataReport!$B:$B,CFR20252026_BenchMarkDataReport!AX:AX),0)</f>
        <v>26991.85</v>
      </c>
      <c r="AJ85" s="88">
        <f>IFERROR(_xlfn.XLOOKUP($A85,CFR20252026_BenchMarkDataReport!$B:$B,CFR20252026_BenchMarkDataReport!AY:AY),0)</f>
        <v>217478.57</v>
      </c>
      <c r="AK85" s="88">
        <f>IFERROR(_xlfn.XLOOKUP($A85,CFR20252026_BenchMarkDataReport!$B:$B,CFR20252026_BenchMarkDataReport!AZ:AZ),0)</f>
        <v>45386.36</v>
      </c>
      <c r="AL85" s="88">
        <f>IFERROR(_xlfn.XLOOKUP($A85,CFR20252026_BenchMarkDataReport!$B:$B,CFR20252026_BenchMarkDataReport!BA:BA),0)</f>
        <v>75160.570000000007</v>
      </c>
      <c r="AM85" s="88">
        <f>IFERROR(_xlfn.XLOOKUP($A85,CFR20252026_BenchMarkDataReport!$B:$B,CFR20252026_BenchMarkDataReport!BB:BB),0)</f>
        <v>256633.46</v>
      </c>
      <c r="AN85" s="88">
        <f>IFERROR(_xlfn.XLOOKUP($A85,CFR20252026_BenchMarkDataReport!$B:$B,CFR20252026_BenchMarkDataReport!BC:BC),0)</f>
        <v>22432.58</v>
      </c>
      <c r="AO85" s="88">
        <f>IFERROR(_xlfn.XLOOKUP($A85,CFR20252026_BenchMarkDataReport!$B:$B,CFR20252026_BenchMarkDataReport!BD:BD),0)</f>
        <v>1317.69</v>
      </c>
      <c r="AP85" s="88">
        <f>IFERROR(_xlfn.XLOOKUP($A85,CFR20252026_BenchMarkDataReport!$B:$B,CFR20252026_BenchMarkDataReport!BE:BE),0)</f>
        <v>23549.52</v>
      </c>
      <c r="AQ85" s="88">
        <f>IFERROR(_xlfn.XLOOKUP($A85,CFR20252026_BenchMarkDataReport!$B:$B,CFR20252026_BenchMarkDataReport!BF:BF),0)</f>
        <v>60522.32</v>
      </c>
      <c r="AR85" s="88">
        <f>IFERROR(_xlfn.XLOOKUP($A85,CFR20252026_BenchMarkDataReport!$B:$B,CFR20252026_BenchMarkDataReport!BG:BG),0)</f>
        <v>12633.98</v>
      </c>
      <c r="AS85" s="88">
        <f>IFERROR(_xlfn.XLOOKUP($A85,CFR20252026_BenchMarkDataReport!$B:$B,CFR20252026_BenchMarkDataReport!BH:BH),0)</f>
        <v>27614.02</v>
      </c>
      <c r="AT85" s="88">
        <f>IFERROR(_xlfn.XLOOKUP($A85,CFR20252026_BenchMarkDataReport!$B:$B,CFR20252026_BenchMarkDataReport!BI:BI),0)</f>
        <v>8189</v>
      </c>
      <c r="AU85" s="88">
        <f>IFERROR(_xlfn.XLOOKUP($A85,CFR20252026_BenchMarkDataReport!$B:$B,CFR20252026_BenchMarkDataReport!BJ:BJ),0)</f>
        <v>172840.66</v>
      </c>
      <c r="AV85" s="88">
        <f>IFERROR(_xlfn.XLOOKUP($A85,CFR20252026_BenchMarkDataReport!$B:$B,CFR20252026_BenchMarkDataReport!BK:BK),0)</f>
        <v>94300.55</v>
      </c>
      <c r="AW85" s="88">
        <f>IFERROR(_xlfn.XLOOKUP($A85,CFR20252026_BenchMarkDataReport!$B:$B,CFR20252026_BenchMarkDataReport!BL:BL),0)</f>
        <v>54051.37</v>
      </c>
      <c r="AX85" s="88">
        <f>IFERROR(_xlfn.XLOOKUP($A85,CFR20252026_BenchMarkDataReport!$B:$B,CFR20252026_BenchMarkDataReport!BM:BM),0)</f>
        <v>8756.58</v>
      </c>
      <c r="AY85" s="88">
        <f>IFERROR(_xlfn.XLOOKUP($A85,CFR20252026_BenchMarkDataReport!$B:$B,CFR20252026_BenchMarkDataReport!BN:BN),0)</f>
        <v>95904.320000000007</v>
      </c>
      <c r="AZ85" s="88">
        <f>IFERROR(_xlfn.XLOOKUP($A85,CFR20252026_BenchMarkDataReport!$B:$B,CFR20252026_BenchMarkDataReport!BO:BO),0)</f>
        <v>381050.37</v>
      </c>
      <c r="BA85" s="88">
        <f>IFERROR(_xlfn.XLOOKUP($A85,CFR20252026_BenchMarkDataReport!$B:$B,CFR20252026_BenchMarkDataReport!BP:BP),0)</f>
        <v>308409.78999999998</v>
      </c>
      <c r="BB85" s="88">
        <f>IFERROR(_xlfn.XLOOKUP($A85,CFR20252026_BenchMarkDataReport!$B:$B,CFR20252026_BenchMarkDataReport!BQ:BQ),0)</f>
        <v>104387.3</v>
      </c>
      <c r="BC85" s="88">
        <f>IFERROR(_xlfn.XLOOKUP($A85,CFR20252026_BenchMarkDataReport!$B:$B,CFR20252026_BenchMarkDataReport!BR:BR),0)</f>
        <v>0</v>
      </c>
      <c r="BD85" s="88">
        <f>IFERROR(_xlfn.XLOOKUP($A85,CFR20252026_BenchMarkDataReport!$B:$B,CFR20252026_BenchMarkDataReport!BS:BS),0)</f>
        <v>0</v>
      </c>
      <c r="BE85" s="88">
        <f>IFERROR(_xlfn.XLOOKUP($A85,CFR20252026_BenchMarkDataReport!$B:$B,CFR20252026_BenchMarkDataReport!BT:BT),0)</f>
        <v>0</v>
      </c>
      <c r="BF85" s="88">
        <f>IFERROR(_xlfn.XLOOKUP($A85,CFR20252026_BenchMarkDataReport!$B:$B,CFR20252026_BenchMarkDataReport!BU:BU),0)</f>
        <v>0</v>
      </c>
      <c r="BG85" s="88">
        <f>IFERROR(_xlfn.XLOOKUP($A85,CFR20252026_BenchMarkDataReport!$B:$B,CFR20252026_BenchMarkDataReport!BV:BV),0)</f>
        <v>0</v>
      </c>
      <c r="BH85" s="89">
        <f t="shared" si="228"/>
        <v>10861003.439999998</v>
      </c>
      <c r="BI85" s="90">
        <f t="shared" si="338"/>
        <v>10794115.850000001</v>
      </c>
      <c r="BJ85" s="126">
        <f t="shared" si="224"/>
        <v>66887.589999996126</v>
      </c>
      <c r="BK85" s="88">
        <f>IFERROR(_xlfn.XLOOKUP(A85,CFR20252026_BenchMarkDataReport!$B:$B,CFR20252026_BenchMarkDataReport!P:P)+_xlfn.XLOOKUP(A85,CFR20252026_BenchMarkDataReport!$B:$B,CFR20252026_BenchMarkDataReport!Q:Q),0)</f>
        <v>377974</v>
      </c>
      <c r="BL85" s="89">
        <f t="shared" si="225"/>
        <v>444861.58999999613</v>
      </c>
      <c r="BM85" s="91">
        <f>SUMIFS(PP!I:I,PP!E:E,A85)</f>
        <v>1057</v>
      </c>
      <c r="BN85" s="90">
        <f t="shared" si="278"/>
        <v>10328467.989999998</v>
      </c>
      <c r="BO85" t="s">
        <v>175</v>
      </c>
      <c r="BP85" s="92">
        <f t="shared" si="279"/>
        <v>0.79789158873519339</v>
      </c>
      <c r="BQ85" s="93">
        <f t="shared" si="280"/>
        <v>8198.5840018921463</v>
      </c>
      <c r="BR85" s="94">
        <f t="shared" si="281"/>
        <v>0.12469381374213065</v>
      </c>
      <c r="BS85" s="95">
        <f t="shared" si="282"/>
        <v>1281.2676821192053</v>
      </c>
      <c r="BT85" s="92">
        <f t="shared" si="283"/>
        <v>2.83827145164775E-2</v>
      </c>
      <c r="BU85" s="93">
        <f t="shared" si="284"/>
        <v>291.64121097445604</v>
      </c>
      <c r="BV85" s="94">
        <f t="shared" si="285"/>
        <v>0</v>
      </c>
      <c r="BW85" s="95">
        <f t="shared" si="286"/>
        <v>0</v>
      </c>
      <c r="BX85" s="92">
        <f t="shared" si="287"/>
        <v>3.4225106552401581E-2</v>
      </c>
      <c r="BY85" s="93">
        <f t="shared" si="288"/>
        <v>351.67360454115419</v>
      </c>
      <c r="BZ85" s="94">
        <f t="shared" si="289"/>
        <v>4.5282648395883398E-4</v>
      </c>
      <c r="CA85" s="95">
        <f t="shared" si="290"/>
        <v>4.6529328287606431</v>
      </c>
      <c r="CB85" s="92">
        <f t="shared" si="291"/>
        <v>1.0044338960268299E-3</v>
      </c>
      <c r="CC85" s="93">
        <f t="shared" si="292"/>
        <v>10.320870387890256</v>
      </c>
      <c r="CD85" s="94">
        <f t="shared" si="293"/>
        <v>3.4550251463689812E-3</v>
      </c>
      <c r="CE85" s="96">
        <f t="shared" si="294"/>
        <v>35.501456953642382</v>
      </c>
      <c r="CF85" s="97">
        <f t="shared" si="295"/>
        <v>6.3471686001049651E-3</v>
      </c>
      <c r="CG85" s="98">
        <f t="shared" si="296"/>
        <v>65.219129612109739</v>
      </c>
      <c r="CH85" s="94">
        <f t="shared" si="297"/>
        <v>3.5473223273373728E-3</v>
      </c>
      <c r="CI85" s="95">
        <f t="shared" si="298"/>
        <v>36.449839167455067</v>
      </c>
      <c r="CJ85" s="99">
        <f t="shared" si="299"/>
        <v>0.62989349691541241</v>
      </c>
      <c r="CK85" s="97">
        <f t="shared" si="300"/>
        <v>0.59900863266829074</v>
      </c>
      <c r="CL85" s="97">
        <f t="shared" si="301"/>
        <v>0.60272049238752601</v>
      </c>
      <c r="CM85" s="98">
        <f t="shared" si="302"/>
        <v>6154.9998297067177</v>
      </c>
      <c r="CN85" s="94">
        <f t="shared" si="303"/>
        <v>0.14976187964155177</v>
      </c>
      <c r="CO85" s="100">
        <f t="shared" si="304"/>
        <v>0.14241877268017883</v>
      </c>
      <c r="CP85" s="100">
        <f t="shared" si="305"/>
        <v>0.14330129502918015</v>
      </c>
      <c r="CQ85" s="101">
        <f t="shared" si="306"/>
        <v>1463.3971428571429</v>
      </c>
      <c r="CR85" s="99">
        <f t="shared" si="306"/>
        <v>1.5712689447953648E-2</v>
      </c>
      <c r="CS85" s="97">
        <f t="shared" si="307"/>
        <v>1.4942266697228855E-2</v>
      </c>
      <c r="CT85" s="97">
        <f t="shared" si="308"/>
        <v>1.5034859015340287E-2</v>
      </c>
      <c r="CU85" s="98">
        <f t="shared" si="309"/>
        <v>153.53643330179756</v>
      </c>
      <c r="CV85" s="94">
        <f t="shared" si="309"/>
        <v>4.7149440795236475E-2</v>
      </c>
      <c r="CW85" s="100">
        <f t="shared" si="310"/>
        <v>4.4837614930356755E-2</v>
      </c>
      <c r="CX85" s="100">
        <f t="shared" si="311"/>
        <v>4.5115458900693559E-2</v>
      </c>
      <c r="CY85" s="95">
        <f t="shared" si="312"/>
        <v>460.72042573320721</v>
      </c>
      <c r="CZ85" s="99">
        <f t="shared" si="313"/>
        <v>0.81110615224940075</v>
      </c>
      <c r="DA85" s="97">
        <f t="shared" si="314"/>
        <v>0.77133609028670025</v>
      </c>
      <c r="DB85" s="97">
        <f t="shared" si="315"/>
        <v>0.77611580665034274</v>
      </c>
      <c r="DC85" s="98">
        <f t="shared" si="316"/>
        <v>7925.7180037842954</v>
      </c>
      <c r="DD85" s="94">
        <f t="shared" si="317"/>
        <v>7.0794797515754326E-3</v>
      </c>
      <c r="DE85" s="100">
        <f t="shared" si="318"/>
        <v>6.7740777490358306E-3</v>
      </c>
      <c r="DF85" s="95">
        <f t="shared" si="319"/>
        <v>69.177086092715228</v>
      </c>
      <c r="DG85" s="99">
        <f t="shared" si="320"/>
        <v>2.5006077732619477E-3</v>
      </c>
      <c r="DH85" s="98">
        <f t="shared" si="321"/>
        <v>25.536281929990537</v>
      </c>
      <c r="DI85" s="94">
        <f t="shared" si="321"/>
        <v>2.1056227333091638E-2</v>
      </c>
      <c r="DJ85" s="100">
        <f t="shared" si="322"/>
        <v>2.0147881773938899E-2</v>
      </c>
      <c r="DK85" s="95">
        <f t="shared" si="323"/>
        <v>205.75077578051088</v>
      </c>
      <c r="DL85" s="99">
        <f t="shared" si="324"/>
        <v>7.2770298627802613E-3</v>
      </c>
      <c r="DM85" s="97">
        <f t="shared" si="325"/>
        <v>6.9631057369094291E-3</v>
      </c>
      <c r="DN85" s="102">
        <f t="shared" si="326"/>
        <v>71.107445600756861</v>
      </c>
      <c r="DO85" s="94">
        <f t="shared" si="326"/>
        <v>2.4847195174392947E-2</v>
      </c>
      <c r="DP85" s="100">
        <f t="shared" si="327"/>
        <v>2.3628890407569932E-2</v>
      </c>
      <c r="DQ85" s="100">
        <f t="shared" si="328"/>
        <v>2.377531087921388E-2</v>
      </c>
      <c r="DR85" s="95">
        <f t="shared" si="329"/>
        <v>242.79419110690634</v>
      </c>
      <c r="DS85" s="99">
        <f t="shared" si="330"/>
        <v>9.1301585183109057E-3</v>
      </c>
      <c r="DT85" s="97">
        <f t="shared" si="331"/>
        <v>8.7362921901565464E-3</v>
      </c>
      <c r="DU85" s="98">
        <f t="shared" si="332"/>
        <v>89.215279091769162</v>
      </c>
      <c r="DV85" s="94">
        <f t="shared" si="333"/>
        <v>2.9860168061575224E-2</v>
      </c>
      <c r="DW85" s="100">
        <f t="shared" si="334"/>
        <v>2.8572028898503989E-2</v>
      </c>
      <c r="DX85" s="95">
        <f t="shared" si="335"/>
        <v>291.77842005676439</v>
      </c>
      <c r="DY85" s="99">
        <f t="shared" si="336"/>
        <v>8.8848703620315501E-3</v>
      </c>
      <c r="DZ85" s="98">
        <f t="shared" si="337"/>
        <v>90.732563859981084</v>
      </c>
      <c r="EA85" s="94">
        <f t="shared" si="226"/>
        <v>2.068046268004433E-2</v>
      </c>
      <c r="EB85" s="95">
        <f t="shared" si="227"/>
        <v>211.18950804162725</v>
      </c>
      <c r="EC85" s="103">
        <f>IFERROR(VLOOKUP(A85,PP!$E$3:$S$130,14,0),0)</f>
        <v>343</v>
      </c>
    </row>
    <row r="86" spans="1:227">
      <c r="A86" s="121">
        <v>5404</v>
      </c>
      <c r="B86" s="122">
        <v>10148</v>
      </c>
      <c r="C86" s="121" t="s">
        <v>108</v>
      </c>
      <c r="D86" s="88">
        <f>IFERROR(_xlfn.XLOOKUP($A86,CFR20252026_BenchMarkDataReport!$B:$B,CFR20252026_BenchMarkDataReport!S:S),0)</f>
        <v>4555001.6399999997</v>
      </c>
      <c r="E86" s="88">
        <f>IFERROR(_xlfn.XLOOKUP($A86,CFR20252026_BenchMarkDataReport!$B:$B,CFR20252026_BenchMarkDataReport!T:T),0)</f>
        <v>1792292.14</v>
      </c>
      <c r="F86" s="88">
        <f>IFERROR(_xlfn.XLOOKUP($A86,CFR20252026_BenchMarkDataReport!$B:$B,CFR20252026_BenchMarkDataReport!U:U),0)</f>
        <v>35399.49</v>
      </c>
      <c r="G86" s="88">
        <f>IFERROR(_xlfn.XLOOKUP($A86,CFR20252026_BenchMarkDataReport!$B:$B,CFR20252026_BenchMarkDataReport!V:V),0)</f>
        <v>0</v>
      </c>
      <c r="H86" s="88">
        <f>IFERROR(_xlfn.XLOOKUP($A86,CFR20252026_BenchMarkDataReport!$B:$B,CFR20252026_BenchMarkDataReport!W:W),0)</f>
        <v>81725</v>
      </c>
      <c r="I86" s="88">
        <f>IFERROR(_xlfn.XLOOKUP($A86,CFR20252026_BenchMarkDataReport!$B:$B,CFR20252026_BenchMarkDataReport!X:X),0)</f>
        <v>14128.92</v>
      </c>
      <c r="J86" s="88">
        <f>IFERROR(_xlfn.XLOOKUP($A86,CFR20252026_BenchMarkDataReport!$B:$B,CFR20252026_BenchMarkDataReport!Y:Y),0)</f>
        <v>0</v>
      </c>
      <c r="K86" s="88">
        <f>IFERROR(_xlfn.XLOOKUP($A86,CFR20252026_BenchMarkDataReport!$B:$B,CFR20252026_BenchMarkDataReport!Z:Z),0)</f>
        <v>50</v>
      </c>
      <c r="L86" s="88">
        <f>IFERROR(_xlfn.XLOOKUP($A86,CFR20252026_BenchMarkDataReport!$B:$B,CFR20252026_BenchMarkDataReport!AA:AA),0)</f>
        <v>30261.79</v>
      </c>
      <c r="M86" s="88">
        <f>IFERROR(_xlfn.XLOOKUP($A86,CFR20252026_BenchMarkDataReport!$B:$B,CFR20252026_BenchMarkDataReport!AB:AB),0)</f>
        <v>256226.47</v>
      </c>
      <c r="N86" s="88">
        <f>IFERROR(_xlfn.XLOOKUP($A86,CFR20252026_BenchMarkDataReport!$B:$B,CFR20252026_BenchMarkDataReport!AC:AC),0)</f>
        <v>0</v>
      </c>
      <c r="O86" s="88">
        <f>IFERROR(_xlfn.XLOOKUP($A86,CFR20252026_BenchMarkDataReport!$B:$B,CFR20252026_BenchMarkDataReport!AD:AD),0)</f>
        <v>0</v>
      </c>
      <c r="P86" s="88">
        <f>IFERROR(_xlfn.XLOOKUP($A86,CFR20252026_BenchMarkDataReport!$B:$B,CFR20252026_BenchMarkDataReport!AE:AE),0)</f>
        <v>48032.42</v>
      </c>
      <c r="Q86" s="88">
        <f>IFERROR(_xlfn.XLOOKUP($A86,CFR20252026_BenchMarkDataReport!$B:$B,CFR20252026_BenchMarkDataReport!AF:AF),0)</f>
        <v>295216.71999999997</v>
      </c>
      <c r="R86" s="88">
        <f>IFERROR(_xlfn.XLOOKUP($A86,CFR20252026_BenchMarkDataReport!$B:$B,CFR20252026_BenchMarkDataReport!AG:AG),0)</f>
        <v>0</v>
      </c>
      <c r="S86" s="88">
        <f>IFERROR(_xlfn.XLOOKUP($A86,CFR20252026_BenchMarkDataReport!$B:$B,CFR20252026_BenchMarkDataReport!AH:AH),0)</f>
        <v>0</v>
      </c>
      <c r="T86" s="88">
        <f>IFERROR(_xlfn.XLOOKUP($A86,CFR20252026_BenchMarkDataReport!$B:$B,CFR20252026_BenchMarkDataReport!AI:AI),0)</f>
        <v>0</v>
      </c>
      <c r="U86" s="88">
        <f>IFERROR(_xlfn.XLOOKUP($A86,CFR20252026_BenchMarkDataReport!$B:$B,CFR20252026_BenchMarkDataReport!AJ:AJ),0)</f>
        <v>4838037.2</v>
      </c>
      <c r="V86" s="88">
        <f>IFERROR(_xlfn.XLOOKUP($A86,CFR20252026_BenchMarkDataReport!$B:$B,CFR20252026_BenchMarkDataReport!AK:AK),0)</f>
        <v>0</v>
      </c>
      <c r="W86" s="88">
        <f>IFERROR(_xlfn.XLOOKUP($A86,CFR20252026_BenchMarkDataReport!$B:$B,CFR20252026_BenchMarkDataReport!AL:AL),0)</f>
        <v>494189</v>
      </c>
      <c r="X86" s="88">
        <f>IFERROR(_xlfn.XLOOKUP($A86,CFR20252026_BenchMarkDataReport!$B:$B,CFR20252026_BenchMarkDataReport!AM:AM),0)</f>
        <v>115675.6</v>
      </c>
      <c r="Y86" s="88">
        <f>IFERROR(_xlfn.XLOOKUP($A86,CFR20252026_BenchMarkDataReport!$B:$B,CFR20252026_BenchMarkDataReport!AN:AN),0)</f>
        <v>509735.88</v>
      </c>
      <c r="Z86" s="88">
        <f>IFERROR(_xlfn.XLOOKUP($A86,CFR20252026_BenchMarkDataReport!$B:$B,CFR20252026_BenchMarkDataReport!AO:AO),0)</f>
        <v>99519.03</v>
      </c>
      <c r="AA86" s="88">
        <f>IFERROR(_xlfn.XLOOKUP($A86,CFR20252026_BenchMarkDataReport!$B:$B,CFR20252026_BenchMarkDataReport!AP:AP),0)</f>
        <v>2248.44</v>
      </c>
      <c r="AB86" s="88">
        <f>IFERROR(_xlfn.XLOOKUP($A86,CFR20252026_BenchMarkDataReport!$B:$B,CFR20252026_BenchMarkDataReport!AQ:AQ),0)</f>
        <v>23159.52</v>
      </c>
      <c r="AC86" s="88">
        <f>IFERROR(_xlfn.XLOOKUP($A86,CFR20252026_BenchMarkDataReport!$B:$B,CFR20252026_BenchMarkDataReport!AR:AR),0)</f>
        <v>15885.81</v>
      </c>
      <c r="AD86" s="88">
        <f>IFERROR(_xlfn.XLOOKUP($A86,CFR20252026_BenchMarkDataReport!$B:$B,CFR20252026_BenchMarkDataReport!AS:AS),0)</f>
        <v>0</v>
      </c>
      <c r="AE86" s="88">
        <f>IFERROR(_xlfn.XLOOKUP($A86,CFR20252026_BenchMarkDataReport!$B:$B,CFR20252026_BenchMarkDataReport!AT:AT),0)</f>
        <v>0</v>
      </c>
      <c r="AF86" s="88">
        <f>IFERROR(_xlfn.XLOOKUP($A86,CFR20252026_BenchMarkDataReport!$B:$B,CFR20252026_BenchMarkDataReport!AU:AU),0)</f>
        <v>105318.16</v>
      </c>
      <c r="AG86" s="88">
        <f>IFERROR(_xlfn.XLOOKUP($A86,CFR20252026_BenchMarkDataReport!$B:$B,CFR20252026_BenchMarkDataReport!AV:AV),0)</f>
        <v>12625.08</v>
      </c>
      <c r="AH86" s="88">
        <f>IFERROR(_xlfn.XLOOKUP($A86,CFR20252026_BenchMarkDataReport!$B:$B,CFR20252026_BenchMarkDataReport!AW:AW),0)</f>
        <v>136642.04</v>
      </c>
      <c r="AI86" s="88">
        <f>IFERROR(_xlfn.XLOOKUP($A86,CFR20252026_BenchMarkDataReport!$B:$B,CFR20252026_BenchMarkDataReport!AX:AX),0)</f>
        <v>20088.63</v>
      </c>
      <c r="AJ86" s="88">
        <f>IFERROR(_xlfn.XLOOKUP($A86,CFR20252026_BenchMarkDataReport!$B:$B,CFR20252026_BenchMarkDataReport!AY:AY),0)</f>
        <v>190467.06</v>
      </c>
      <c r="AK86" s="88">
        <f>IFERROR(_xlfn.XLOOKUP($A86,CFR20252026_BenchMarkDataReport!$B:$B,CFR20252026_BenchMarkDataReport!AZ:AZ),0)</f>
        <v>3517.53</v>
      </c>
      <c r="AL86" s="88">
        <f>IFERROR(_xlfn.XLOOKUP($A86,CFR20252026_BenchMarkDataReport!$B:$B,CFR20252026_BenchMarkDataReport!BA:BA),0)</f>
        <v>29720.41</v>
      </c>
      <c r="AM86" s="88">
        <f>IFERROR(_xlfn.XLOOKUP($A86,CFR20252026_BenchMarkDataReport!$B:$B,CFR20252026_BenchMarkDataReport!BB:BB),0)</f>
        <v>106541.59</v>
      </c>
      <c r="AN86" s="88">
        <f>IFERROR(_xlfn.XLOOKUP($A86,CFR20252026_BenchMarkDataReport!$B:$B,CFR20252026_BenchMarkDataReport!BC:BC),0)</f>
        <v>0</v>
      </c>
      <c r="AO86" s="88">
        <f>IFERROR(_xlfn.XLOOKUP($A86,CFR20252026_BenchMarkDataReport!$B:$B,CFR20252026_BenchMarkDataReport!BD:BD),0)</f>
        <v>0</v>
      </c>
      <c r="AP86" s="88">
        <f>IFERROR(_xlfn.XLOOKUP($A86,CFR20252026_BenchMarkDataReport!$B:$B,CFR20252026_BenchMarkDataReport!BE:BE),0)</f>
        <v>53847.44</v>
      </c>
      <c r="AQ86" s="88">
        <f>IFERROR(_xlfn.XLOOKUP($A86,CFR20252026_BenchMarkDataReport!$B:$B,CFR20252026_BenchMarkDataReport!BF:BF),0)</f>
        <v>0</v>
      </c>
      <c r="AR86" s="88">
        <f>IFERROR(_xlfn.XLOOKUP($A86,CFR20252026_BenchMarkDataReport!$B:$B,CFR20252026_BenchMarkDataReport!BG:BG),0)</f>
        <v>0</v>
      </c>
      <c r="AS86" s="88">
        <f>IFERROR(_xlfn.XLOOKUP($A86,CFR20252026_BenchMarkDataReport!$B:$B,CFR20252026_BenchMarkDataReport!BH:BH),0)</f>
        <v>0</v>
      </c>
      <c r="AT86" s="88">
        <f>IFERROR(_xlfn.XLOOKUP($A86,CFR20252026_BenchMarkDataReport!$B:$B,CFR20252026_BenchMarkDataReport!BI:BI),0)</f>
        <v>0</v>
      </c>
      <c r="AU86" s="88">
        <f>IFERROR(_xlfn.XLOOKUP($A86,CFR20252026_BenchMarkDataReport!$B:$B,CFR20252026_BenchMarkDataReport!BJ:BJ),0)</f>
        <v>121674.56</v>
      </c>
      <c r="AV86" s="88">
        <f>IFERROR(_xlfn.XLOOKUP($A86,CFR20252026_BenchMarkDataReport!$B:$B,CFR20252026_BenchMarkDataReport!BK:BK),0)</f>
        <v>97805.39</v>
      </c>
      <c r="AW86" s="88">
        <f>IFERROR(_xlfn.XLOOKUP($A86,CFR20252026_BenchMarkDataReport!$B:$B,CFR20252026_BenchMarkDataReport!BL:BL),0)</f>
        <v>27381.58</v>
      </c>
      <c r="AX86" s="88">
        <f>IFERROR(_xlfn.XLOOKUP($A86,CFR20252026_BenchMarkDataReport!$B:$B,CFR20252026_BenchMarkDataReport!BM:BM),0)</f>
        <v>6103.4</v>
      </c>
      <c r="AY86" s="88">
        <f>IFERROR(_xlfn.XLOOKUP($A86,CFR20252026_BenchMarkDataReport!$B:$B,CFR20252026_BenchMarkDataReport!BN:BN),0)</f>
        <v>202468.15</v>
      </c>
      <c r="AZ86" s="88">
        <f>IFERROR(_xlfn.XLOOKUP($A86,CFR20252026_BenchMarkDataReport!$B:$B,CFR20252026_BenchMarkDataReport!BO:BO),0)</f>
        <v>66292</v>
      </c>
      <c r="BA86" s="88">
        <f>IFERROR(_xlfn.XLOOKUP($A86,CFR20252026_BenchMarkDataReport!$B:$B,CFR20252026_BenchMarkDataReport!BP:BP),0)</f>
        <v>96858.39</v>
      </c>
      <c r="BB86" s="88">
        <f>IFERROR(_xlfn.XLOOKUP($A86,CFR20252026_BenchMarkDataReport!$B:$B,CFR20252026_BenchMarkDataReport!BQ:BQ),0)</f>
        <v>136593.70000000001</v>
      </c>
      <c r="BC86" s="88">
        <f>IFERROR(_xlfn.XLOOKUP($A86,CFR20252026_BenchMarkDataReport!$B:$B,CFR20252026_BenchMarkDataReport!BR:BR),0)</f>
        <v>0</v>
      </c>
      <c r="BD86" s="88">
        <f>IFERROR(_xlfn.XLOOKUP($A86,CFR20252026_BenchMarkDataReport!$B:$B,CFR20252026_BenchMarkDataReport!BS:BS),0)</f>
        <v>0</v>
      </c>
      <c r="BE86" s="88">
        <f>IFERROR(_xlfn.XLOOKUP($A86,CFR20252026_BenchMarkDataReport!$B:$B,CFR20252026_BenchMarkDataReport!BT:BT),0)</f>
        <v>0</v>
      </c>
      <c r="BF86" s="88">
        <f>IFERROR(_xlfn.XLOOKUP($A86,CFR20252026_BenchMarkDataReport!$B:$B,CFR20252026_BenchMarkDataReport!BU:BU),0)</f>
        <v>0</v>
      </c>
      <c r="BG86" s="88">
        <f>IFERROR(_xlfn.XLOOKUP($A86,CFR20252026_BenchMarkDataReport!$B:$B,CFR20252026_BenchMarkDataReport!BV:BV),0)</f>
        <v>0</v>
      </c>
      <c r="BH86" s="89">
        <f t="shared" si="228"/>
        <v>7108334.5899999989</v>
      </c>
      <c r="BI86" s="90">
        <f t="shared" si="338"/>
        <v>7512395.5899999999</v>
      </c>
      <c r="BJ86" s="126">
        <f t="shared" si="224"/>
        <v>-404061.00000000093</v>
      </c>
      <c r="BK86" s="88">
        <f>IFERROR(_xlfn.XLOOKUP(A86,CFR20252026_BenchMarkDataReport!$B:$B,CFR20252026_BenchMarkDataReport!P:P)+_xlfn.XLOOKUP(A86,CFR20252026_BenchMarkDataReport!$B:$B,CFR20252026_BenchMarkDataReport!Q:Q),0)</f>
        <v>200</v>
      </c>
      <c r="BL86" s="89">
        <f t="shared" si="225"/>
        <v>-403861.00000000093</v>
      </c>
      <c r="BM86" s="91">
        <f>SUMIFS(PP!I:I,PP!E:E,A86)</f>
        <v>639</v>
      </c>
      <c r="BN86" s="90">
        <f t="shared" si="278"/>
        <v>6382693.2699999996</v>
      </c>
      <c r="BO86" t="s">
        <v>175</v>
      </c>
      <c r="BP86" s="92">
        <f t="shared" si="279"/>
        <v>0.64079730383091049</v>
      </c>
      <c r="BQ86" s="93">
        <f t="shared" si="280"/>
        <v>7128.3280751173706</v>
      </c>
      <c r="BR86" s="94">
        <f t="shared" si="281"/>
        <v>0.25213952963348057</v>
      </c>
      <c r="BS86" s="95">
        <f t="shared" si="282"/>
        <v>2804.8390297339593</v>
      </c>
      <c r="BT86" s="92">
        <f t="shared" si="283"/>
        <v>4.9799977127975908E-3</v>
      </c>
      <c r="BU86" s="93">
        <f t="shared" si="284"/>
        <v>55.398262910798117</v>
      </c>
      <c r="BV86" s="94">
        <f t="shared" si="285"/>
        <v>0</v>
      </c>
      <c r="BW86" s="95">
        <f t="shared" si="286"/>
        <v>0</v>
      </c>
      <c r="BX86" s="92">
        <f t="shared" si="287"/>
        <v>1.1497067135102318E-2</v>
      </c>
      <c r="BY86" s="93">
        <f t="shared" si="288"/>
        <v>127.89514866979655</v>
      </c>
      <c r="BZ86" s="94">
        <f t="shared" si="289"/>
        <v>1.987655451654816E-3</v>
      </c>
      <c r="CA86" s="95">
        <f t="shared" si="290"/>
        <v>22.110985915492957</v>
      </c>
      <c r="CB86" s="92">
        <f t="shared" si="291"/>
        <v>0</v>
      </c>
      <c r="CC86" s="93">
        <f t="shared" si="292"/>
        <v>0</v>
      </c>
      <c r="CD86" s="94">
        <f t="shared" si="293"/>
        <v>4.2642604419103466E-3</v>
      </c>
      <c r="CE86" s="96">
        <f t="shared" si="294"/>
        <v>47.436291079812207</v>
      </c>
      <c r="CF86" s="97">
        <f t="shared" si="295"/>
        <v>6.7571973986103552E-3</v>
      </c>
      <c r="CG86" s="98">
        <f t="shared" si="296"/>
        <v>75.168106416275421</v>
      </c>
      <c r="CH86" s="94">
        <f t="shared" si="297"/>
        <v>4.1531066983722276E-2</v>
      </c>
      <c r="CI86" s="95">
        <f t="shared" si="298"/>
        <v>461.99799687010949</v>
      </c>
      <c r="CJ86" s="99">
        <f t="shared" si="299"/>
        <v>0.76837927071497836</v>
      </c>
      <c r="CK86" s="97">
        <f t="shared" si="300"/>
        <v>0.68994067990263253</v>
      </c>
      <c r="CL86" s="97">
        <f t="shared" si="301"/>
        <v>0.65283159562687521</v>
      </c>
      <c r="CM86" s="98">
        <f t="shared" si="302"/>
        <v>7675.006572769953</v>
      </c>
      <c r="CN86" s="94">
        <f t="shared" si="303"/>
        <v>7.7426405922213462E-2</v>
      </c>
      <c r="CO86" s="100">
        <f t="shared" si="304"/>
        <v>6.9522473055112624E-2</v>
      </c>
      <c r="CP86" s="100">
        <f t="shared" si="305"/>
        <v>6.5783143882602702E-2</v>
      </c>
      <c r="CQ86" s="101">
        <f t="shared" si="306"/>
        <v>773.37871674491396</v>
      </c>
      <c r="CR86" s="99">
        <f t="shared" si="306"/>
        <v>1.812332116031639E-2</v>
      </c>
      <c r="CS86" s="97">
        <f t="shared" si="307"/>
        <v>1.6273235106677782E-2</v>
      </c>
      <c r="CT86" s="97">
        <f t="shared" si="308"/>
        <v>1.5397964419496179E-2</v>
      </c>
      <c r="CU86" s="98">
        <f t="shared" si="309"/>
        <v>181.02597809076684</v>
      </c>
      <c r="CV86" s="94">
        <f t="shared" si="309"/>
        <v>7.9862192719782704E-2</v>
      </c>
      <c r="CW86" s="100">
        <f t="shared" si="310"/>
        <v>7.1709607017809235E-2</v>
      </c>
      <c r="CX86" s="100">
        <f t="shared" si="311"/>
        <v>6.7852640864456928E-2</v>
      </c>
      <c r="CY86" s="95">
        <f t="shared" si="312"/>
        <v>797.70873239436617</v>
      </c>
      <c r="CZ86" s="99">
        <f t="shared" si="313"/>
        <v>0.94934926271335629</v>
      </c>
      <c r="DA86" s="97">
        <f t="shared" si="314"/>
        <v>0.85243668165597719</v>
      </c>
      <c r="DB86" s="97">
        <f t="shared" si="315"/>
        <v>0.80658760277026365</v>
      </c>
      <c r="DC86" s="98">
        <f t="shared" si="316"/>
        <v>9482.6371674491402</v>
      </c>
      <c r="DD86" s="94">
        <f t="shared" si="317"/>
        <v>1.6500582989788574E-2</v>
      </c>
      <c r="DE86" s="100">
        <f t="shared" si="318"/>
        <v>1.4019251081531505E-2</v>
      </c>
      <c r="DF86" s="95">
        <f t="shared" si="319"/>
        <v>164.81715179968703</v>
      </c>
      <c r="DG86" s="99">
        <f t="shared" si="320"/>
        <v>2.6740644524551722E-3</v>
      </c>
      <c r="DH86" s="98">
        <f t="shared" si="321"/>
        <v>31.437605633802818</v>
      </c>
      <c r="DI86" s="94">
        <f t="shared" si="321"/>
        <v>2.9841173928133947E-2</v>
      </c>
      <c r="DJ86" s="100">
        <f t="shared" si="322"/>
        <v>2.5353704782737619E-2</v>
      </c>
      <c r="DK86" s="95">
        <f t="shared" si="323"/>
        <v>298.07051643192489</v>
      </c>
      <c r="DL86" s="99">
        <f t="shared" si="324"/>
        <v>4.6564058059459278E-3</v>
      </c>
      <c r="DM86" s="97">
        <f t="shared" si="325"/>
        <v>3.9561827707212099E-3</v>
      </c>
      <c r="DN86" s="102">
        <f t="shared" si="326"/>
        <v>46.510813771517995</v>
      </c>
      <c r="DO86" s="94">
        <f t="shared" si="326"/>
        <v>1.6692262261883691E-2</v>
      </c>
      <c r="DP86" s="100">
        <f t="shared" si="327"/>
        <v>1.4988263235369174E-2</v>
      </c>
      <c r="DQ86" s="100">
        <f t="shared" si="328"/>
        <v>1.4182105923950685E-2</v>
      </c>
      <c r="DR86" s="95">
        <f t="shared" si="329"/>
        <v>166.73175273865414</v>
      </c>
      <c r="DS86" s="99">
        <f t="shared" si="330"/>
        <v>1.5323529717416611E-2</v>
      </c>
      <c r="DT86" s="97">
        <f t="shared" si="331"/>
        <v>1.3019201242569283E-2</v>
      </c>
      <c r="DU86" s="98">
        <f t="shared" si="332"/>
        <v>153.06007824726134</v>
      </c>
      <c r="DV86" s="94">
        <f t="shared" si="333"/>
        <v>1.5175159748824966E-2</v>
      </c>
      <c r="DW86" s="100">
        <f t="shared" si="334"/>
        <v>1.289314291820993E-2</v>
      </c>
      <c r="DX86" s="95">
        <f t="shared" si="335"/>
        <v>151.5780751173709</v>
      </c>
      <c r="DY86" s="99">
        <f t="shared" si="336"/>
        <v>2.6951209847030966E-2</v>
      </c>
      <c r="DZ86" s="98">
        <f t="shared" si="337"/>
        <v>316.85156494522693</v>
      </c>
      <c r="EA86" s="94">
        <f t="shared" si="226"/>
        <v>1.8188877084945949E-2</v>
      </c>
      <c r="EB86" s="95">
        <f t="shared" si="227"/>
        <v>213.83730829420972</v>
      </c>
      <c r="EC86" s="103">
        <f>IFERROR(VLOOKUP(A86,PP!$E$3:$S$130,14,0),0)</f>
        <v>75</v>
      </c>
    </row>
    <row r="87" spans="1:227" s="12" customFormat="1" ht="16.2" thickBot="1">
      <c r="A87" s="105">
        <v>6999</v>
      </c>
      <c r="B87" s="106"/>
      <c r="C87" s="107" t="s">
        <v>176</v>
      </c>
      <c r="D87" s="108">
        <f>AVERAGE(D81:D86)</f>
        <v>6023461.3099999996</v>
      </c>
      <c r="E87" s="108">
        <f t="shared" ref="E87:BG87" si="339">AVERAGE(E81:E86)</f>
        <v>1333944.4866666666</v>
      </c>
      <c r="F87" s="108">
        <f t="shared" si="339"/>
        <v>535301.82666666666</v>
      </c>
      <c r="G87" s="108">
        <f t="shared" si="339"/>
        <v>0</v>
      </c>
      <c r="H87" s="108">
        <f t="shared" si="339"/>
        <v>165686.5</v>
      </c>
      <c r="I87" s="108">
        <f t="shared" si="339"/>
        <v>53961.76666666667</v>
      </c>
      <c r="J87" s="108">
        <f t="shared" si="339"/>
        <v>8551.85</v>
      </c>
      <c r="K87" s="108">
        <f t="shared" si="339"/>
        <v>9808.85</v>
      </c>
      <c r="L87" s="108">
        <f t="shared" si="339"/>
        <v>23938.443333333333</v>
      </c>
      <c r="M87" s="108">
        <f t="shared" si="339"/>
        <v>142919.60999999999</v>
      </c>
      <c r="N87" s="108">
        <f t="shared" si="339"/>
        <v>0</v>
      </c>
      <c r="O87" s="108">
        <f t="shared" si="339"/>
        <v>719.30000000000007</v>
      </c>
      <c r="P87" s="108">
        <f t="shared" si="339"/>
        <v>392544.14333333337</v>
      </c>
      <c r="Q87" s="108">
        <f t="shared" si="339"/>
        <v>550049.01166666672</v>
      </c>
      <c r="R87" s="108">
        <f t="shared" si="339"/>
        <v>0</v>
      </c>
      <c r="S87" s="108">
        <f t="shared" si="339"/>
        <v>0</v>
      </c>
      <c r="T87" s="108">
        <f t="shared" si="339"/>
        <v>0</v>
      </c>
      <c r="U87" s="108">
        <f t="shared" si="339"/>
        <v>5404014.71</v>
      </c>
      <c r="V87" s="108">
        <f t="shared" si="339"/>
        <v>24503.818333333333</v>
      </c>
      <c r="W87" s="108">
        <f t="shared" si="339"/>
        <v>1052496.4550000001</v>
      </c>
      <c r="X87" s="108">
        <f t="shared" si="339"/>
        <v>129100.42833333333</v>
      </c>
      <c r="Y87" s="108">
        <f t="shared" si="339"/>
        <v>589859.18333333323</v>
      </c>
      <c r="Z87" s="108">
        <f t="shared" si="339"/>
        <v>47416.591666666667</v>
      </c>
      <c r="AA87" s="108">
        <f t="shared" si="339"/>
        <v>48459.663333333338</v>
      </c>
      <c r="AB87" s="108">
        <f t="shared" si="339"/>
        <v>56716.4</v>
      </c>
      <c r="AC87" s="108">
        <f t="shared" si="339"/>
        <v>14927.328333333333</v>
      </c>
      <c r="AD87" s="108">
        <f t="shared" si="339"/>
        <v>947.05833333333339</v>
      </c>
      <c r="AE87" s="108">
        <f t="shared" si="339"/>
        <v>0</v>
      </c>
      <c r="AF87" s="108">
        <f t="shared" si="339"/>
        <v>110039.96666666666</v>
      </c>
      <c r="AG87" s="108">
        <f t="shared" si="339"/>
        <v>16790.900000000001</v>
      </c>
      <c r="AH87" s="108">
        <f t="shared" si="339"/>
        <v>152747.75166666668</v>
      </c>
      <c r="AI87" s="108">
        <f t="shared" si="339"/>
        <v>13666.385</v>
      </c>
      <c r="AJ87" s="108">
        <f t="shared" si="339"/>
        <v>171004.30333333334</v>
      </c>
      <c r="AK87" s="108">
        <f t="shared" si="339"/>
        <v>42323.333333333336</v>
      </c>
      <c r="AL87" s="108">
        <f t="shared" si="339"/>
        <v>84392.891666666663</v>
      </c>
      <c r="AM87" s="108">
        <f t="shared" si="339"/>
        <v>300117.31833333336</v>
      </c>
      <c r="AN87" s="108">
        <f t="shared" si="339"/>
        <v>13768.64</v>
      </c>
      <c r="AO87" s="108"/>
      <c r="AP87" s="108"/>
      <c r="AQ87" s="108"/>
      <c r="AR87" s="108"/>
      <c r="AS87" s="108"/>
      <c r="AT87" s="108"/>
      <c r="AU87" s="108">
        <f t="shared" si="339"/>
        <v>148573.54</v>
      </c>
      <c r="AV87" s="108">
        <f t="shared" si="339"/>
        <v>51442.308333333327</v>
      </c>
      <c r="AW87" s="108">
        <f t="shared" si="339"/>
        <v>39085.971666666672</v>
      </c>
      <c r="AX87" s="108">
        <f t="shared" si="339"/>
        <v>3090.0066666666667</v>
      </c>
      <c r="AY87" s="108">
        <f t="shared" si="339"/>
        <v>137563.16666666666</v>
      </c>
      <c r="AZ87" s="108">
        <f t="shared" si="339"/>
        <v>133795.66500000001</v>
      </c>
      <c r="BA87" s="108">
        <f t="shared" si="339"/>
        <v>183943.2283333333</v>
      </c>
      <c r="BB87" s="108">
        <f t="shared" si="339"/>
        <v>252863.23166666666</v>
      </c>
      <c r="BC87" s="108">
        <f>AVERAGE(BC81:BC86)</f>
        <v>395.66666666666669</v>
      </c>
      <c r="BD87" s="108">
        <f t="shared" si="339"/>
        <v>0</v>
      </c>
      <c r="BE87" s="108">
        <f t="shared" si="339"/>
        <v>4300.5933333333332</v>
      </c>
      <c r="BF87" s="108">
        <f t="shared" si="339"/>
        <v>0</v>
      </c>
      <c r="BG87" s="108">
        <f t="shared" si="339"/>
        <v>0</v>
      </c>
      <c r="BH87" s="108">
        <f t="shared" ref="BH87:BN87" si="340">AVERAGE(BH81:BH86)</f>
        <v>9240887.0983333327</v>
      </c>
      <c r="BI87" s="108">
        <f t="shared" si="340"/>
        <v>9342617.663333334</v>
      </c>
      <c r="BJ87" s="108">
        <f t="shared" si="340"/>
        <v>-101730.56500000034</v>
      </c>
      <c r="BK87" s="108">
        <f t="shared" si="340"/>
        <v>312776.14</v>
      </c>
      <c r="BL87" s="108">
        <f t="shared" si="340"/>
        <v>211045.57499999969</v>
      </c>
      <c r="BM87" s="108">
        <f t="shared" si="340"/>
        <v>755.16666666666663</v>
      </c>
      <c r="BN87" s="108">
        <f t="shared" si="340"/>
        <v>7892707.6233333321</v>
      </c>
      <c r="BO87" s="12" t="s">
        <v>175</v>
      </c>
      <c r="BP87" s="109">
        <f t="shared" ref="BP87:CU87" si="341">AVERAGE(BP81:BP86)</f>
        <v>0.66841363231408801</v>
      </c>
      <c r="BQ87" s="110">
        <f t="shared" si="341"/>
        <v>7913.3042550209211</v>
      </c>
      <c r="BR87" s="111">
        <f t="shared" si="341"/>
        <v>0.14137274671867342</v>
      </c>
      <c r="BS87" s="112">
        <f t="shared" si="341"/>
        <v>1726.0909804514704</v>
      </c>
      <c r="BT87" s="109">
        <f t="shared" si="341"/>
        <v>4.9360681001674518E-2</v>
      </c>
      <c r="BU87" s="110">
        <f t="shared" si="341"/>
        <v>649.46558862219774</v>
      </c>
      <c r="BV87" s="111">
        <f t="shared" si="341"/>
        <v>0</v>
      </c>
      <c r="BW87" s="112">
        <f t="shared" si="341"/>
        <v>0</v>
      </c>
      <c r="BX87" s="109">
        <f t="shared" si="341"/>
        <v>1.8695048878693804E-2</v>
      </c>
      <c r="BY87" s="110">
        <f t="shared" si="341"/>
        <v>205.13394940663534</v>
      </c>
      <c r="BZ87" s="111">
        <f t="shared" si="341"/>
        <v>6.1767171954756192E-3</v>
      </c>
      <c r="CA87" s="112">
        <f t="shared" si="341"/>
        <v>85.102308174455587</v>
      </c>
      <c r="CB87" s="109">
        <f t="shared" si="341"/>
        <v>9.1502791970500704E-4</v>
      </c>
      <c r="CC87" s="110">
        <f t="shared" si="341"/>
        <v>9.9653787575091872</v>
      </c>
      <c r="CD87" s="111">
        <f t="shared" si="341"/>
        <v>3.3384903557520744E-3</v>
      </c>
      <c r="CE87" s="113">
        <f t="shared" si="341"/>
        <v>38.897457007443627</v>
      </c>
      <c r="CF87" s="114">
        <f t="shared" si="341"/>
        <v>2.5524925452321851E-2</v>
      </c>
      <c r="CG87" s="115">
        <f t="shared" si="341"/>
        <v>400.24164823954726</v>
      </c>
      <c r="CH87" s="111">
        <f t="shared" si="341"/>
        <v>6.9406447559794179E-2</v>
      </c>
      <c r="CI87" s="116">
        <f t="shared" si="341"/>
        <v>964.56060908610573</v>
      </c>
      <c r="CJ87" s="117">
        <f t="shared" si="341"/>
        <v>0.73243075167124727</v>
      </c>
      <c r="CK87" s="114">
        <f t="shared" si="341"/>
        <v>0.62349898324611686</v>
      </c>
      <c r="CL87" s="114">
        <f t="shared" si="341"/>
        <v>0.61780603331170669</v>
      </c>
      <c r="CM87" s="115">
        <f t="shared" si="341"/>
        <v>7514.3519997677768</v>
      </c>
      <c r="CN87" s="111">
        <f t="shared" si="341"/>
        <v>0.12485186202077327</v>
      </c>
      <c r="CO87" s="118">
        <f t="shared" si="341"/>
        <v>0.10737954024205822</v>
      </c>
      <c r="CP87" s="118">
        <f t="shared" si="341"/>
        <v>0.10582886727234646</v>
      </c>
      <c r="CQ87" s="119">
        <f t="shared" si="341"/>
        <v>1302.8310894061221</v>
      </c>
      <c r="CR87" s="117">
        <f t="shared" si="341"/>
        <v>1.6316657826190777E-2</v>
      </c>
      <c r="CS87" s="114">
        <f t="shared" si="341"/>
        <v>1.3956643268678593E-2</v>
      </c>
      <c r="CT87" s="114">
        <f t="shared" si="341"/>
        <v>1.3802366611390686E-2</v>
      </c>
      <c r="CU87" s="115">
        <f t="shared" si="341"/>
        <v>168.36014404911387</v>
      </c>
      <c r="CV87" s="111">
        <f t="shared" ref="CV87:DZ87" si="342">AVERAGE(CV81:CV86)</f>
        <v>7.4298882189213669E-2</v>
      </c>
      <c r="CW87" s="118">
        <f t="shared" si="342"/>
        <v>6.3703577356137173E-2</v>
      </c>
      <c r="CX87" s="118">
        <f t="shared" si="342"/>
        <v>6.2705484758371247E-2</v>
      </c>
      <c r="CY87" s="116">
        <f t="shared" si="342"/>
        <v>770.39682979277177</v>
      </c>
      <c r="CZ87" s="117">
        <f t="shared" si="342"/>
        <v>0.94445000528908774</v>
      </c>
      <c r="DA87" s="114">
        <f t="shared" si="342"/>
        <v>0.80509183648860028</v>
      </c>
      <c r="DB87" s="114">
        <f t="shared" si="342"/>
        <v>0.79664415037773406</v>
      </c>
      <c r="DC87" s="115">
        <f t="shared" si="342"/>
        <v>9723.7992952601271</v>
      </c>
      <c r="DD87" s="111">
        <f t="shared" si="342"/>
        <v>1.4801812659108423E-2</v>
      </c>
      <c r="DE87" s="118">
        <f t="shared" si="342"/>
        <v>1.216279700889387E-2</v>
      </c>
      <c r="DF87" s="116">
        <f t="shared" si="342"/>
        <v>153.792861267576</v>
      </c>
      <c r="DG87" s="117">
        <f t="shared" si="342"/>
        <v>1.3420745020881518E-3</v>
      </c>
      <c r="DH87" s="115">
        <f t="shared" si="342"/>
        <v>15.955171242895013</v>
      </c>
      <c r="DI87" s="111">
        <f t="shared" si="342"/>
        <v>2.0127576569982149E-2</v>
      </c>
      <c r="DJ87" s="118">
        <f t="shared" si="342"/>
        <v>1.7292109861065861E-2</v>
      </c>
      <c r="DK87" s="116">
        <f t="shared" si="342"/>
        <v>208.91142760733689</v>
      </c>
      <c r="DL87" s="117">
        <f t="shared" si="342"/>
        <v>1.2796752183444679E-2</v>
      </c>
      <c r="DM87" s="114">
        <f t="shared" si="342"/>
        <v>1.0326428865837357E-2</v>
      </c>
      <c r="DN87" s="115">
        <f t="shared" si="342"/>
        <v>131.21517882852223</v>
      </c>
      <c r="DO87" s="111">
        <f t="shared" si="342"/>
        <v>3.0886210012329458E-2</v>
      </c>
      <c r="DP87" s="118">
        <f t="shared" si="342"/>
        <v>2.5467516180336366E-2</v>
      </c>
      <c r="DQ87" s="118">
        <f t="shared" si="342"/>
        <v>2.5256823250614398E-2</v>
      </c>
      <c r="DR87" s="116">
        <f t="shared" si="342"/>
        <v>339.58945244905027</v>
      </c>
      <c r="DS87" s="117">
        <f>AVERAGE(DS81:DS86)</f>
        <v>6.8343866858665489E-3</v>
      </c>
      <c r="DT87" s="114">
        <f>AVERAGE(DT81:DT86)</f>
        <v>5.834862559235608E-3</v>
      </c>
      <c r="DU87" s="115">
        <f>AVERAGE(DU81:DU86)</f>
        <v>69.250770604970157</v>
      </c>
      <c r="DV87" s="111">
        <f t="shared" si="342"/>
        <v>2.0009968667460392E-2</v>
      </c>
      <c r="DW87" s="118">
        <f t="shared" si="342"/>
        <v>1.6988295763761711E-2</v>
      </c>
      <c r="DX87" s="116">
        <f t="shared" si="342"/>
        <v>211.67708146299307</v>
      </c>
      <c r="DY87" s="117">
        <f t="shared" si="342"/>
        <v>1.5893262751593706E-2</v>
      </c>
      <c r="DZ87" s="115">
        <f t="shared" si="342"/>
        <v>182.50047129122683</v>
      </c>
      <c r="EA87" s="111">
        <f t="shared" ref="EA87:EB87" si="343">AVERAGE(EA81:EA86)</f>
        <v>1.6604801127167352E-2</v>
      </c>
      <c r="EB87" s="116">
        <f t="shared" si="343"/>
        <v>200.56573201387593</v>
      </c>
      <c r="EC87" s="129">
        <f>AVERAGE(EC81:EC86)</f>
        <v>147.16666666666666</v>
      </c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</row>
    <row r="88" spans="1:227" ht="15.6" thickTop="1">
      <c r="A88" s="121">
        <v>7010</v>
      </c>
      <c r="B88" s="122">
        <v>10159</v>
      </c>
      <c r="C88" s="121" t="s">
        <v>110</v>
      </c>
      <c r="D88" s="88">
        <f>IFERROR(_xlfn.XLOOKUP($A88,CFR20252026_BenchMarkDataReport!$B:$B,CFR20252026_BenchMarkDataReport!S:S),0)</f>
        <v>1688155.43</v>
      </c>
      <c r="E88" s="88">
        <f>IFERROR(_xlfn.XLOOKUP($A88,CFR20252026_BenchMarkDataReport!$B:$B,CFR20252026_BenchMarkDataReport!T:T),0)</f>
        <v>4081.8</v>
      </c>
      <c r="F88" s="88">
        <f>IFERROR(_xlfn.XLOOKUP($A88,CFR20252026_BenchMarkDataReport!$B:$B,CFR20252026_BenchMarkDataReport!U:U),0)</f>
        <v>3002990.65</v>
      </c>
      <c r="G88" s="88">
        <f>IFERROR(_xlfn.XLOOKUP($A88,CFR20252026_BenchMarkDataReport!$B:$B,CFR20252026_BenchMarkDataReport!V:V),0)</f>
        <v>0</v>
      </c>
      <c r="H88" s="88">
        <f>IFERROR(_xlfn.XLOOKUP($A88,CFR20252026_BenchMarkDataReport!$B:$B,CFR20252026_BenchMarkDataReport!W:W),0)</f>
        <v>38702</v>
      </c>
      <c r="I88" s="88">
        <f>IFERROR(_xlfn.XLOOKUP($A88,CFR20252026_BenchMarkDataReport!$B:$B,CFR20252026_BenchMarkDataReport!X:X),0)</f>
        <v>83321.56</v>
      </c>
      <c r="J88" s="88">
        <f>IFERROR(_xlfn.XLOOKUP($A88,CFR20252026_BenchMarkDataReport!$B:$B,CFR20252026_BenchMarkDataReport!Y:Y),0)</f>
        <v>28554.240000000002</v>
      </c>
      <c r="K88" s="88">
        <f>IFERROR(_xlfn.XLOOKUP($A88,CFR20252026_BenchMarkDataReport!$B:$B,CFR20252026_BenchMarkDataReport!Z:Z),0)</f>
        <v>717.2</v>
      </c>
      <c r="L88" s="88">
        <f>IFERROR(_xlfn.XLOOKUP($A88,CFR20252026_BenchMarkDataReport!$B:$B,CFR20252026_BenchMarkDataReport!AA:AA),0)</f>
        <v>14.99</v>
      </c>
      <c r="M88" s="88">
        <f>IFERROR(_xlfn.XLOOKUP($A88,CFR20252026_BenchMarkDataReport!$B:$B,CFR20252026_BenchMarkDataReport!AB:AB),0)</f>
        <v>13844.79</v>
      </c>
      <c r="N88" s="88">
        <f>IFERROR(_xlfn.XLOOKUP($A88,CFR20252026_BenchMarkDataReport!$B:$B,CFR20252026_BenchMarkDataReport!AC:AC),0)</f>
        <v>0</v>
      </c>
      <c r="O88" s="88">
        <f>IFERROR(_xlfn.XLOOKUP($A88,CFR20252026_BenchMarkDataReport!$B:$B,CFR20252026_BenchMarkDataReport!AD:AD),0)</f>
        <v>0</v>
      </c>
      <c r="P88" s="88">
        <f>IFERROR(_xlfn.XLOOKUP($A88,CFR20252026_BenchMarkDataReport!$B:$B,CFR20252026_BenchMarkDataReport!AE:AE),0)</f>
        <v>2184.1799999999998</v>
      </c>
      <c r="Q88" s="88">
        <f>IFERROR(_xlfn.XLOOKUP($A88,CFR20252026_BenchMarkDataReport!$B:$B,CFR20252026_BenchMarkDataReport!AF:AF),0)</f>
        <v>14598.44</v>
      </c>
      <c r="R88" s="88">
        <f>IFERROR(_xlfn.XLOOKUP($A88,CFR20252026_BenchMarkDataReport!$B:$B,CFR20252026_BenchMarkDataReport!AG:AG),0)</f>
        <v>0</v>
      </c>
      <c r="S88" s="88">
        <f>IFERROR(_xlfn.XLOOKUP($A88,CFR20252026_BenchMarkDataReport!$B:$B,CFR20252026_BenchMarkDataReport!AH:AH),0)</f>
        <v>0</v>
      </c>
      <c r="T88" s="88">
        <f>IFERROR(_xlfn.XLOOKUP($A88,CFR20252026_BenchMarkDataReport!$B:$B,CFR20252026_BenchMarkDataReport!AI:AI),0)</f>
        <v>0</v>
      </c>
      <c r="U88" s="88">
        <f>IFERROR(_xlfn.XLOOKUP($A88,CFR20252026_BenchMarkDataReport!$B:$B,CFR20252026_BenchMarkDataReport!AJ:AJ),0)</f>
        <v>1649221.93</v>
      </c>
      <c r="V88" s="88">
        <f>IFERROR(_xlfn.XLOOKUP($A88,CFR20252026_BenchMarkDataReport!$B:$B,CFR20252026_BenchMarkDataReport!AK:AK),0)</f>
        <v>0</v>
      </c>
      <c r="W88" s="88">
        <f>IFERROR(_xlfn.XLOOKUP($A88,CFR20252026_BenchMarkDataReport!$B:$B,CFR20252026_BenchMarkDataReport!AL:AL),0)</f>
        <v>2119213.61</v>
      </c>
      <c r="X88" s="88">
        <f>IFERROR(_xlfn.XLOOKUP($A88,CFR20252026_BenchMarkDataReport!$B:$B,CFR20252026_BenchMarkDataReport!AM:AM),0)</f>
        <v>125121.32</v>
      </c>
      <c r="Y88" s="88">
        <f>IFERROR(_xlfn.XLOOKUP($A88,CFR20252026_BenchMarkDataReport!$B:$B,CFR20252026_BenchMarkDataReport!AN:AN),0)</f>
        <v>178666.75</v>
      </c>
      <c r="Z88" s="88">
        <f>IFERROR(_xlfn.XLOOKUP($A88,CFR20252026_BenchMarkDataReport!$B:$B,CFR20252026_BenchMarkDataReport!AO:AO),0)</f>
        <v>0</v>
      </c>
      <c r="AA88" s="88">
        <f>IFERROR(_xlfn.XLOOKUP($A88,CFR20252026_BenchMarkDataReport!$B:$B,CFR20252026_BenchMarkDataReport!AP:AP),0)</f>
        <v>68234.5</v>
      </c>
      <c r="AB88" s="88">
        <f>IFERROR(_xlfn.XLOOKUP($A88,CFR20252026_BenchMarkDataReport!$B:$B,CFR20252026_BenchMarkDataReport!AQ:AQ),0)</f>
        <v>22417.18</v>
      </c>
      <c r="AC88" s="88">
        <f>IFERROR(_xlfn.XLOOKUP($A88,CFR20252026_BenchMarkDataReport!$B:$B,CFR20252026_BenchMarkDataReport!AR:AR),0)</f>
        <v>9752.08</v>
      </c>
      <c r="AD88" s="88">
        <f>IFERROR(_xlfn.XLOOKUP($A88,CFR20252026_BenchMarkDataReport!$B:$B,CFR20252026_BenchMarkDataReport!AS:AS),0)</f>
        <v>0</v>
      </c>
      <c r="AE88" s="88">
        <f>IFERROR(_xlfn.XLOOKUP($A88,CFR20252026_BenchMarkDataReport!$B:$B,CFR20252026_BenchMarkDataReport!AT:AT),0)</f>
        <v>0</v>
      </c>
      <c r="AF88" s="88">
        <f>IFERROR(_xlfn.XLOOKUP($A88,CFR20252026_BenchMarkDataReport!$B:$B,CFR20252026_BenchMarkDataReport!AU:AU),0)</f>
        <v>73088.13</v>
      </c>
      <c r="AG88" s="88">
        <f>IFERROR(_xlfn.XLOOKUP($A88,CFR20252026_BenchMarkDataReport!$B:$B,CFR20252026_BenchMarkDataReport!AV:AV),0)</f>
        <v>19007.3</v>
      </c>
      <c r="AH88" s="88">
        <f>IFERROR(_xlfn.XLOOKUP($A88,CFR20252026_BenchMarkDataReport!$B:$B,CFR20252026_BenchMarkDataReport!AW:AW),0)</f>
        <v>6662.01</v>
      </c>
      <c r="AI88" s="88">
        <f>IFERROR(_xlfn.XLOOKUP($A88,CFR20252026_BenchMarkDataReport!$B:$B,CFR20252026_BenchMarkDataReport!AX:AX),0)</f>
        <v>5901.42</v>
      </c>
      <c r="AJ88" s="88">
        <f>IFERROR(_xlfn.XLOOKUP($A88,CFR20252026_BenchMarkDataReport!$B:$B,CFR20252026_BenchMarkDataReport!AY:AY),0)</f>
        <v>39149.199999999997</v>
      </c>
      <c r="AK88" s="88">
        <f>IFERROR(_xlfn.XLOOKUP($A88,CFR20252026_BenchMarkDataReport!$B:$B,CFR20252026_BenchMarkDataReport!AZ:AZ),0)</f>
        <v>0</v>
      </c>
      <c r="AL88" s="88">
        <f>IFERROR(_xlfn.XLOOKUP($A88,CFR20252026_BenchMarkDataReport!$B:$B,CFR20252026_BenchMarkDataReport!BA:BA),0)</f>
        <v>18163.580000000002</v>
      </c>
      <c r="AM88" s="88">
        <f>IFERROR(_xlfn.XLOOKUP($A88,CFR20252026_BenchMarkDataReport!$B:$B,CFR20252026_BenchMarkDataReport!BB:BB),0)</f>
        <v>65283.53</v>
      </c>
      <c r="AN88" s="88">
        <f>IFERROR(_xlfn.XLOOKUP($A88,CFR20252026_BenchMarkDataReport!$B:$B,CFR20252026_BenchMarkDataReport!BC:BC),0)</f>
        <v>6580</v>
      </c>
      <c r="AO88" s="88">
        <f>IFERROR(_xlfn.XLOOKUP($A88,CFR20252026_BenchMarkDataReport!$B:$B,CFR20252026_BenchMarkDataReport!BD:BD),0)</f>
        <v>0</v>
      </c>
      <c r="AP88" s="88">
        <f>IFERROR(_xlfn.XLOOKUP($A88,CFR20252026_BenchMarkDataReport!$B:$B,CFR20252026_BenchMarkDataReport!BE:BE),0)</f>
        <v>7064.33</v>
      </c>
      <c r="AQ88" s="88">
        <f>IFERROR(_xlfn.XLOOKUP($A88,CFR20252026_BenchMarkDataReport!$B:$B,CFR20252026_BenchMarkDataReport!BF:BF),0)</f>
        <v>8823.56</v>
      </c>
      <c r="AR88" s="88">
        <f>IFERROR(_xlfn.XLOOKUP($A88,CFR20252026_BenchMarkDataReport!$B:$B,CFR20252026_BenchMarkDataReport!BG:BG),0)</f>
        <v>714.97</v>
      </c>
      <c r="AS88" s="88">
        <f>IFERROR(_xlfn.XLOOKUP($A88,CFR20252026_BenchMarkDataReport!$B:$B,CFR20252026_BenchMarkDataReport!BH:BH),0)</f>
        <v>1818.81</v>
      </c>
      <c r="AT88" s="88">
        <f>IFERROR(_xlfn.XLOOKUP($A88,CFR20252026_BenchMarkDataReport!$B:$B,CFR20252026_BenchMarkDataReport!BI:BI),0)</f>
        <v>1348.5</v>
      </c>
      <c r="AU88" s="88">
        <f>IFERROR(_xlfn.XLOOKUP($A88,CFR20252026_BenchMarkDataReport!$B:$B,CFR20252026_BenchMarkDataReport!BJ:BJ),0)</f>
        <v>1720.95</v>
      </c>
      <c r="AV88" s="88">
        <f>IFERROR(_xlfn.XLOOKUP($A88,CFR20252026_BenchMarkDataReport!$B:$B,CFR20252026_BenchMarkDataReport!BK:BK),0)</f>
        <v>7384.9</v>
      </c>
      <c r="AW88" s="88">
        <f>IFERROR(_xlfn.XLOOKUP($A88,CFR20252026_BenchMarkDataReport!$B:$B,CFR20252026_BenchMarkDataReport!BL:BL),0)</f>
        <v>11743.76</v>
      </c>
      <c r="AX88" s="88">
        <f>IFERROR(_xlfn.XLOOKUP($A88,CFR20252026_BenchMarkDataReport!$B:$B,CFR20252026_BenchMarkDataReport!BM:BM),0)</f>
        <v>88445.56</v>
      </c>
      <c r="AY88" s="88">
        <f>IFERROR(_xlfn.XLOOKUP($A88,CFR20252026_BenchMarkDataReport!$B:$B,CFR20252026_BenchMarkDataReport!BN:BN),0)</f>
        <v>36343.22</v>
      </c>
      <c r="AZ88" s="88">
        <f>IFERROR(_xlfn.XLOOKUP($A88,CFR20252026_BenchMarkDataReport!$B:$B,CFR20252026_BenchMarkDataReport!BO:BO),0)</f>
        <v>9800</v>
      </c>
      <c r="BA88" s="88">
        <f>IFERROR(_xlfn.XLOOKUP($A88,CFR20252026_BenchMarkDataReport!$B:$B,CFR20252026_BenchMarkDataReport!BP:BP),0)</f>
        <v>288524.03999999998</v>
      </c>
      <c r="BB88" s="88">
        <f>IFERROR(_xlfn.XLOOKUP($A88,CFR20252026_BenchMarkDataReport!$B:$B,CFR20252026_BenchMarkDataReport!BQ:BQ),0)</f>
        <v>52680.17</v>
      </c>
      <c r="BC88" s="88">
        <f>IFERROR(_xlfn.XLOOKUP($A88,CFR20252026_BenchMarkDataReport!$B:$B,CFR20252026_BenchMarkDataReport!BR:BR),0)</f>
        <v>0</v>
      </c>
      <c r="BD88" s="88">
        <f>IFERROR(_xlfn.XLOOKUP($A88,CFR20252026_BenchMarkDataReport!$B:$B,CFR20252026_BenchMarkDataReport!BS:BS),0)</f>
        <v>0</v>
      </c>
      <c r="BE88" s="88">
        <f>IFERROR(_xlfn.XLOOKUP($A88,CFR20252026_BenchMarkDataReport!$B:$B,CFR20252026_BenchMarkDataReport!BT:BT),0)</f>
        <v>0</v>
      </c>
      <c r="BF88" s="88">
        <f>IFERROR(_xlfn.XLOOKUP($A88,CFR20252026_BenchMarkDataReport!$B:$B,CFR20252026_BenchMarkDataReport!BU:BU),0)</f>
        <v>0</v>
      </c>
      <c r="BG88" s="88">
        <f>IFERROR(_xlfn.XLOOKUP($A88,CFR20252026_BenchMarkDataReport!$B:$B,CFR20252026_BenchMarkDataReport!BV:BV),0)</f>
        <v>0</v>
      </c>
      <c r="BH88" s="89">
        <f t="shared" si="228"/>
        <v>4877165.28</v>
      </c>
      <c r="BI88" s="90">
        <f>SUM(U88:BE88)</f>
        <v>4922875.3099999987</v>
      </c>
      <c r="BJ88" s="124">
        <f>BH88-BI88</f>
        <v>-45710.029999998398</v>
      </c>
      <c r="BK88" s="88">
        <f>IFERROR(_xlfn.XLOOKUP(A88,CFR20252026_BenchMarkDataReport!$B:$B,CFR20252026_BenchMarkDataReport!P:P)+_xlfn.XLOOKUP(A88,CFR20252026_BenchMarkDataReport!$B:$B,CFR20252026_BenchMarkDataReport!Q:Q),0)</f>
        <v>376909</v>
      </c>
      <c r="BL88" s="89">
        <f>SUM(BJ88:BK88)</f>
        <v>331198.9700000016</v>
      </c>
      <c r="BM88" s="91">
        <f>SUMIFS(PP!I:I,PP!E:E,A88)</f>
        <v>73</v>
      </c>
      <c r="BN88" s="90">
        <f>D88+E88+F88</f>
        <v>4695227.88</v>
      </c>
      <c r="BO88" t="s">
        <v>177</v>
      </c>
      <c r="BP88" s="92">
        <f>IFERROR(D88/BH88,0)</f>
        <v>0.34613455420973549</v>
      </c>
      <c r="BQ88" s="93">
        <f>D88/BM88</f>
        <v>23125.416849315068</v>
      </c>
      <c r="BR88" s="94">
        <f>E88/BH88</f>
        <v>8.3692058104702983E-4</v>
      </c>
      <c r="BS88" s="95">
        <f>E88/BM88</f>
        <v>55.915068493150685</v>
      </c>
      <c r="BT88" s="92">
        <f>F88/BH88</f>
        <v>0.61572460181214117</v>
      </c>
      <c r="BU88" s="93">
        <f>F88/BM88</f>
        <v>41136.858219178081</v>
      </c>
      <c r="BV88" s="94">
        <f>G88/BH88</f>
        <v>0</v>
      </c>
      <c r="BW88" s="95">
        <f>G88/BM88</f>
        <v>0</v>
      </c>
      <c r="BX88" s="92">
        <f>H88/BH88</f>
        <v>7.9353472310456537E-3</v>
      </c>
      <c r="BY88" s="93">
        <f>H88/BM88</f>
        <v>530.16438356164383</v>
      </c>
      <c r="BZ88" s="94">
        <f>I88/BH88</f>
        <v>1.7084014015616874E-2</v>
      </c>
      <c r="CA88" s="95">
        <f>I88/BM88</f>
        <v>1141.3912328767124</v>
      </c>
      <c r="CB88" s="92">
        <f>J88/BH88</f>
        <v>5.8546795855152975E-3</v>
      </c>
      <c r="CC88" s="93">
        <f>J88/BM88</f>
        <v>391.15397260273977</v>
      </c>
      <c r="CD88" s="94">
        <f>IFERROR((K88+L88)/BH88,0)</f>
        <v>1.5012614048626213E-4</v>
      </c>
      <c r="CE88" s="96">
        <f>IFERROR((K88+L88)/BM88,0)</f>
        <v>10.030000000000001</v>
      </c>
      <c r="CF88" s="97">
        <f>P88/BH88</f>
        <v>4.4783801134580368E-4</v>
      </c>
      <c r="CG88" s="98">
        <f>P88/BM88</f>
        <v>29.920273972602736</v>
      </c>
      <c r="CH88" s="94">
        <f>Q88/BH88</f>
        <v>2.9932223252438143E-3</v>
      </c>
      <c r="CI88" s="95">
        <f>Q88/BM88</f>
        <v>199.97863013698631</v>
      </c>
      <c r="CJ88" s="99">
        <f>(U88+V88+AZ88)/BN88</f>
        <v>0.35334215343771558</v>
      </c>
      <c r="CK88" s="97">
        <f>(U88+V88+AZ88)/BH88</f>
        <v>0.34016110481291706</v>
      </c>
      <c r="CL88" s="97">
        <f>(U88+V88+AZ88)/BI88</f>
        <v>0.33700263068413983</v>
      </c>
      <c r="CM88" s="98">
        <f>(U88+V88+AZ88)/BM88</f>
        <v>22726.327808219175</v>
      </c>
      <c r="CN88" s="94">
        <f>W88/BN88</f>
        <v>0.45135479345466828</v>
      </c>
      <c r="CO88" s="100">
        <f>W88/BH88</f>
        <v>0.43451748881473212</v>
      </c>
      <c r="CP88" s="100">
        <f>W88/BI88</f>
        <v>0.43048289394922751</v>
      </c>
      <c r="CQ88" s="101">
        <f t="shared" ref="CQ88:CR90" si="344">W88/BM88</f>
        <v>29030.323424657534</v>
      </c>
      <c r="CR88" s="99">
        <f t="shared" si="344"/>
        <v>2.6648614976276724E-2</v>
      </c>
      <c r="CS88" s="97">
        <f>X88/BH88</f>
        <v>2.5654517084563514E-2</v>
      </c>
      <c r="CT88" s="97">
        <f>X88/BI88</f>
        <v>2.5416308990365233E-2</v>
      </c>
      <c r="CU88" s="98">
        <f t="shared" ref="CU88:CV90" si="345">X88/BM88</f>
        <v>1713.9906849315068</v>
      </c>
      <c r="CV88" s="94">
        <f t="shared" si="345"/>
        <v>3.8052838875202798E-2</v>
      </c>
      <c r="CW88" s="100">
        <f>Y88/BH88</f>
        <v>3.6633318688760942E-2</v>
      </c>
      <c r="CX88" s="100">
        <f>Y88/BI88</f>
        <v>3.6293169895460962E-2</v>
      </c>
      <c r="CY88" s="95">
        <f>Y88/BM88</f>
        <v>2447.4897260273974</v>
      </c>
      <c r="CZ88" s="99">
        <f>(U88+V88+W88+X88+Y88+Z88+AA88)/BN88</f>
        <v>0.88184390956547143</v>
      </c>
      <c r="DA88" s="97">
        <f>(U88+V88+W88+X88+Y88+Z88+AA88)/BH88</f>
        <v>0.84894767191486276</v>
      </c>
      <c r="DB88" s="97">
        <f>(U88+V88+W88+X88+Y88+Z88+AA88)/BI88</f>
        <v>0.84106499743947427</v>
      </c>
      <c r="DC88" s="98">
        <f>(U88+V88+W88+X88+Y88+Z88+AA88)/BM88</f>
        <v>56718.604246575342</v>
      </c>
      <c r="DD88" s="94">
        <f>AF88/BN88</f>
        <v>1.5566471291272024E-2</v>
      </c>
      <c r="DE88" s="100">
        <f>AF88/BI88</f>
        <v>1.4846634415365687E-2</v>
      </c>
      <c r="DF88" s="95">
        <f>AF88/BM88</f>
        <v>1001.2072602739727</v>
      </c>
      <c r="DG88" s="99">
        <f>AI88/BI88</f>
        <v>1.1987750305217464E-3</v>
      </c>
      <c r="DH88" s="98">
        <f t="shared" ref="DH88:DI90" si="346">AI88/BM88</f>
        <v>80.841369863013696</v>
      </c>
      <c r="DI88" s="94">
        <f t="shared" si="346"/>
        <v>8.3380830495494492E-3</v>
      </c>
      <c r="DJ88" s="100">
        <f>AJ88/BI88</f>
        <v>7.9525069262824793E-3</v>
      </c>
      <c r="DK88" s="95">
        <f>AJ88/BM88</f>
        <v>536.29041095890409</v>
      </c>
      <c r="DL88" s="99">
        <f>AL88/BN88</f>
        <v>3.8685193699267268E-3</v>
      </c>
      <c r="DM88" s="97">
        <f>AL88/BI88</f>
        <v>3.6896282875789528E-3</v>
      </c>
      <c r="DN88" s="102">
        <f t="shared" ref="DN88:DO90" si="347">AL88/BM88</f>
        <v>248.81616438356167</v>
      </c>
      <c r="DO88" s="94">
        <f t="shared" si="347"/>
        <v>1.3904230352286969E-2</v>
      </c>
      <c r="DP88" s="100">
        <f>AM88/BH88</f>
        <v>1.3385548008329952E-2</v>
      </c>
      <c r="DQ88" s="100">
        <f>AM88/BI88</f>
        <v>1.3261260115076938E-2</v>
      </c>
      <c r="DR88" s="95">
        <f>AM88/BM88</f>
        <v>894.29493150684925</v>
      </c>
      <c r="DS88" s="99">
        <f>AV88/BN88</f>
        <v>1.5728523063719753E-3</v>
      </c>
      <c r="DT88" s="97">
        <f>IFERROR(AV88/BI88,0)</f>
        <v>1.5001192463678309E-3</v>
      </c>
      <c r="DU88" s="98">
        <f>AV88/BM88</f>
        <v>101.16301369863014</v>
      </c>
      <c r="DV88" s="94">
        <f>IFERROR(BA88/BN88,0)</f>
        <v>6.1450487042175254E-2</v>
      </c>
      <c r="DW88" s="100">
        <f>IFERROR(BA88/BI88,0)</f>
        <v>5.8608845812915797E-2</v>
      </c>
      <c r="DX88" s="95">
        <f>BA88/BM88</f>
        <v>3952.3841095890407</v>
      </c>
      <c r="DY88" s="99">
        <f>AY88/BI88</f>
        <v>7.3825188962586196E-3</v>
      </c>
      <c r="DZ88" s="98">
        <f>AY88/BM88</f>
        <v>497.85232876712331</v>
      </c>
      <c r="EA88" s="94">
        <f t="shared" si="226"/>
        <v>1.353276201505092E-3</v>
      </c>
      <c r="EB88" s="95">
        <f t="shared" si="227"/>
        <v>91.260410958904117</v>
      </c>
      <c r="EC88" s="103">
        <f>IFERROR(VLOOKUP(A88,PP!$E$3:$S$130,14,0),0)</f>
        <v>36</v>
      </c>
    </row>
    <row r="89" spans="1:227">
      <c r="A89" s="121">
        <v>7005</v>
      </c>
      <c r="B89" s="122">
        <v>10157</v>
      </c>
      <c r="C89" s="121" t="s">
        <v>111</v>
      </c>
      <c r="D89" s="88">
        <f>IFERROR(_xlfn.XLOOKUP($A89,CFR20252026_BenchMarkDataReport!$B:$B,CFR20252026_BenchMarkDataReport!S:S),0)</f>
        <v>2619929.1800000002</v>
      </c>
      <c r="E89" s="88">
        <f>IFERROR(_xlfn.XLOOKUP($A89,CFR20252026_BenchMarkDataReport!$B:$B,CFR20252026_BenchMarkDataReport!T:T),0)</f>
        <v>0</v>
      </c>
      <c r="F89" s="88">
        <f>IFERROR(_xlfn.XLOOKUP($A89,CFR20252026_BenchMarkDataReport!$B:$B,CFR20252026_BenchMarkDataReport!U:U),0)</f>
        <v>2999232.1</v>
      </c>
      <c r="G89" s="88">
        <f>IFERROR(_xlfn.XLOOKUP($A89,CFR20252026_BenchMarkDataReport!$B:$B,CFR20252026_BenchMarkDataReport!V:V),0)</f>
        <v>0</v>
      </c>
      <c r="H89" s="88">
        <f>IFERROR(_xlfn.XLOOKUP($A89,CFR20252026_BenchMarkDataReport!$B:$B,CFR20252026_BenchMarkDataReport!W:W),0)</f>
        <v>100135</v>
      </c>
      <c r="I89" s="88">
        <f>IFERROR(_xlfn.XLOOKUP($A89,CFR20252026_BenchMarkDataReport!$B:$B,CFR20252026_BenchMarkDataReport!X:X),0)</f>
        <v>1148.5</v>
      </c>
      <c r="J89" s="88">
        <f>IFERROR(_xlfn.XLOOKUP($A89,CFR20252026_BenchMarkDataReport!$B:$B,CFR20252026_BenchMarkDataReport!Y:Y),0)</f>
        <v>22037.75</v>
      </c>
      <c r="K89" s="88">
        <f>IFERROR(_xlfn.XLOOKUP($A89,CFR20252026_BenchMarkDataReport!$B:$B,CFR20252026_BenchMarkDataReport!Z:Z),0)</f>
        <v>29700</v>
      </c>
      <c r="L89" s="88">
        <f>IFERROR(_xlfn.XLOOKUP($A89,CFR20252026_BenchMarkDataReport!$B:$B,CFR20252026_BenchMarkDataReport!AA:AA),0)</f>
        <v>30780.63</v>
      </c>
      <c r="M89" s="88">
        <f>IFERROR(_xlfn.XLOOKUP($A89,CFR20252026_BenchMarkDataReport!$B:$B,CFR20252026_BenchMarkDataReport!AB:AB),0)</f>
        <v>80.88</v>
      </c>
      <c r="N89" s="88">
        <f>IFERROR(_xlfn.XLOOKUP($A89,CFR20252026_BenchMarkDataReport!$B:$B,CFR20252026_BenchMarkDataReport!AC:AC),0)</f>
        <v>0</v>
      </c>
      <c r="O89" s="88">
        <f>IFERROR(_xlfn.XLOOKUP($A89,CFR20252026_BenchMarkDataReport!$B:$B,CFR20252026_BenchMarkDataReport!AD:AD),0)</f>
        <v>0</v>
      </c>
      <c r="P89" s="88">
        <f>IFERROR(_xlfn.XLOOKUP($A89,CFR20252026_BenchMarkDataReport!$B:$B,CFR20252026_BenchMarkDataReport!AE:AE),0)</f>
        <v>989.17</v>
      </c>
      <c r="Q89" s="88">
        <f>IFERROR(_xlfn.XLOOKUP($A89,CFR20252026_BenchMarkDataReport!$B:$B,CFR20252026_BenchMarkDataReport!AF:AF),0)</f>
        <v>10300</v>
      </c>
      <c r="R89" s="88">
        <f>IFERROR(_xlfn.XLOOKUP($A89,CFR20252026_BenchMarkDataReport!$B:$B,CFR20252026_BenchMarkDataReport!AG:AG),0)</f>
        <v>0</v>
      </c>
      <c r="S89" s="88">
        <f>IFERROR(_xlfn.XLOOKUP($A89,CFR20252026_BenchMarkDataReport!$B:$B,CFR20252026_BenchMarkDataReport!AH:AH),0)</f>
        <v>0</v>
      </c>
      <c r="T89" s="88">
        <f>IFERROR(_xlfn.XLOOKUP($A89,CFR20252026_BenchMarkDataReport!$B:$B,CFR20252026_BenchMarkDataReport!AI:AI),0)</f>
        <v>0</v>
      </c>
      <c r="U89" s="88">
        <f>IFERROR(_xlfn.XLOOKUP($A89,CFR20252026_BenchMarkDataReport!$B:$B,CFR20252026_BenchMarkDataReport!AJ:AJ),0)</f>
        <v>1733646.57</v>
      </c>
      <c r="V89" s="88">
        <f>IFERROR(_xlfn.XLOOKUP($A89,CFR20252026_BenchMarkDataReport!$B:$B,CFR20252026_BenchMarkDataReport!AK:AK),0)</f>
        <v>0</v>
      </c>
      <c r="W89" s="88">
        <f>IFERROR(_xlfn.XLOOKUP($A89,CFR20252026_BenchMarkDataReport!$B:$B,CFR20252026_BenchMarkDataReport!AL:AL),0)</f>
        <v>2206644.9900000002</v>
      </c>
      <c r="X89" s="88">
        <f>IFERROR(_xlfn.XLOOKUP($A89,CFR20252026_BenchMarkDataReport!$B:$B,CFR20252026_BenchMarkDataReport!AM:AM),0)</f>
        <v>65178.42</v>
      </c>
      <c r="Y89" s="88">
        <f>IFERROR(_xlfn.XLOOKUP($A89,CFR20252026_BenchMarkDataReport!$B:$B,CFR20252026_BenchMarkDataReport!AN:AN),0)</f>
        <v>261083.12</v>
      </c>
      <c r="Z89" s="88">
        <f>IFERROR(_xlfn.XLOOKUP($A89,CFR20252026_BenchMarkDataReport!$B:$B,CFR20252026_BenchMarkDataReport!AO:AO),0)</f>
        <v>0</v>
      </c>
      <c r="AA89" s="88">
        <f>IFERROR(_xlfn.XLOOKUP($A89,CFR20252026_BenchMarkDataReport!$B:$B,CFR20252026_BenchMarkDataReport!AP:AP),0)</f>
        <v>15642.36</v>
      </c>
      <c r="AB89" s="88">
        <f>IFERROR(_xlfn.XLOOKUP($A89,CFR20252026_BenchMarkDataReport!$B:$B,CFR20252026_BenchMarkDataReport!AQ:AQ),0)</f>
        <v>25470.87</v>
      </c>
      <c r="AC89" s="88">
        <f>IFERROR(_xlfn.XLOOKUP($A89,CFR20252026_BenchMarkDataReport!$B:$B,CFR20252026_BenchMarkDataReport!AR:AR),0)</f>
        <v>11553.31</v>
      </c>
      <c r="AD89" s="88">
        <f>IFERROR(_xlfn.XLOOKUP($A89,CFR20252026_BenchMarkDataReport!$B:$B,CFR20252026_BenchMarkDataReport!AS:AS),0)</f>
        <v>0</v>
      </c>
      <c r="AE89" s="88">
        <f>IFERROR(_xlfn.XLOOKUP($A89,CFR20252026_BenchMarkDataReport!$B:$B,CFR20252026_BenchMarkDataReport!AT:AT),0)</f>
        <v>0</v>
      </c>
      <c r="AF89" s="88">
        <f>IFERROR(_xlfn.XLOOKUP($A89,CFR20252026_BenchMarkDataReport!$B:$B,CFR20252026_BenchMarkDataReport!AU:AU),0)</f>
        <v>74003.759999999995</v>
      </c>
      <c r="AG89" s="88">
        <f>IFERROR(_xlfn.XLOOKUP($A89,CFR20252026_BenchMarkDataReport!$B:$B,CFR20252026_BenchMarkDataReport!AV:AV),0)</f>
        <v>44990.81</v>
      </c>
      <c r="AH89" s="88">
        <f>IFERROR(_xlfn.XLOOKUP($A89,CFR20252026_BenchMarkDataReport!$B:$B,CFR20252026_BenchMarkDataReport!AW:AW),0)</f>
        <v>81557.570000000007</v>
      </c>
      <c r="AI89" s="88">
        <f>IFERROR(_xlfn.XLOOKUP($A89,CFR20252026_BenchMarkDataReport!$B:$B,CFR20252026_BenchMarkDataReport!AX:AX),0)</f>
        <v>11461.9</v>
      </c>
      <c r="AJ89" s="88">
        <f>IFERROR(_xlfn.XLOOKUP($A89,CFR20252026_BenchMarkDataReport!$B:$B,CFR20252026_BenchMarkDataReport!AY:AY),0)</f>
        <v>60168.6</v>
      </c>
      <c r="AK89" s="88">
        <f>IFERROR(_xlfn.XLOOKUP($A89,CFR20252026_BenchMarkDataReport!$B:$B,CFR20252026_BenchMarkDataReport!AZ:AZ),0)</f>
        <v>0</v>
      </c>
      <c r="AL89" s="88">
        <f>IFERROR(_xlfn.XLOOKUP($A89,CFR20252026_BenchMarkDataReport!$B:$B,CFR20252026_BenchMarkDataReport!BA:BA),0)</f>
        <v>44391.98</v>
      </c>
      <c r="AM89" s="88">
        <f>IFERROR(_xlfn.XLOOKUP($A89,CFR20252026_BenchMarkDataReport!$B:$B,CFR20252026_BenchMarkDataReport!BB:BB),0)</f>
        <v>51832.41</v>
      </c>
      <c r="AN89" s="88">
        <f>IFERROR(_xlfn.XLOOKUP($A89,CFR20252026_BenchMarkDataReport!$B:$B,CFR20252026_BenchMarkDataReport!BC:BC),0)</f>
        <v>23641.919999999998</v>
      </c>
      <c r="AO89" s="88">
        <f>IFERROR(_xlfn.XLOOKUP($A89,CFR20252026_BenchMarkDataReport!$B:$B,CFR20252026_BenchMarkDataReport!BD:BD),0)</f>
        <v>0</v>
      </c>
      <c r="AP89" s="88">
        <f>IFERROR(_xlfn.XLOOKUP($A89,CFR20252026_BenchMarkDataReport!$B:$B,CFR20252026_BenchMarkDataReport!BE:BE),0)</f>
        <v>6988.57</v>
      </c>
      <c r="AQ89" s="88">
        <f>IFERROR(_xlfn.XLOOKUP($A89,CFR20252026_BenchMarkDataReport!$B:$B,CFR20252026_BenchMarkDataReport!BF:BF),0)</f>
        <v>14358.8</v>
      </c>
      <c r="AR89" s="88">
        <f>IFERROR(_xlfn.XLOOKUP($A89,CFR20252026_BenchMarkDataReport!$B:$B,CFR20252026_BenchMarkDataReport!BG:BG),0)</f>
        <v>13670.63</v>
      </c>
      <c r="AS89" s="88">
        <f>IFERROR(_xlfn.XLOOKUP($A89,CFR20252026_BenchMarkDataReport!$B:$B,CFR20252026_BenchMarkDataReport!BH:BH),0)</f>
        <v>15484.83</v>
      </c>
      <c r="AT89" s="88">
        <f>IFERROR(_xlfn.XLOOKUP($A89,CFR20252026_BenchMarkDataReport!$B:$B,CFR20252026_BenchMarkDataReport!BI:BI),0)</f>
        <v>21897.27</v>
      </c>
      <c r="AU89" s="88">
        <f>IFERROR(_xlfn.XLOOKUP($A89,CFR20252026_BenchMarkDataReport!$B:$B,CFR20252026_BenchMarkDataReport!BJ:BJ),0)</f>
        <v>0</v>
      </c>
      <c r="AV89" s="88">
        <f>IFERROR(_xlfn.XLOOKUP($A89,CFR20252026_BenchMarkDataReport!$B:$B,CFR20252026_BenchMarkDataReport!BK:BK),0)</f>
        <v>3776.05</v>
      </c>
      <c r="AW89" s="88">
        <f>IFERROR(_xlfn.XLOOKUP($A89,CFR20252026_BenchMarkDataReport!$B:$B,CFR20252026_BenchMarkDataReport!BL:BL),0)</f>
        <v>8850.76</v>
      </c>
      <c r="AX89" s="88">
        <f>IFERROR(_xlfn.XLOOKUP($A89,CFR20252026_BenchMarkDataReport!$B:$B,CFR20252026_BenchMarkDataReport!BM:BM),0)</f>
        <v>5495.01</v>
      </c>
      <c r="AY89" s="88">
        <f>IFERROR(_xlfn.XLOOKUP($A89,CFR20252026_BenchMarkDataReport!$B:$B,CFR20252026_BenchMarkDataReport!BN:BN),0)</f>
        <v>75071.02</v>
      </c>
      <c r="AZ89" s="88">
        <f>IFERROR(_xlfn.XLOOKUP($A89,CFR20252026_BenchMarkDataReport!$B:$B,CFR20252026_BenchMarkDataReport!BO:BO),0)</f>
        <v>113551.56</v>
      </c>
      <c r="BA89" s="88">
        <f>IFERROR(_xlfn.XLOOKUP($A89,CFR20252026_BenchMarkDataReport!$B:$B,CFR20252026_BenchMarkDataReport!BP:BP),0)</f>
        <v>830123.99</v>
      </c>
      <c r="BB89" s="88">
        <f>IFERROR(_xlfn.XLOOKUP($A89,CFR20252026_BenchMarkDataReport!$B:$B,CFR20252026_BenchMarkDataReport!BQ:BQ),0)</f>
        <v>42553.68</v>
      </c>
      <c r="BC89" s="88">
        <f>IFERROR(_xlfn.XLOOKUP($A89,CFR20252026_BenchMarkDataReport!$B:$B,CFR20252026_BenchMarkDataReport!BR:BR),0)</f>
        <v>0</v>
      </c>
      <c r="BD89" s="88">
        <f>IFERROR(_xlfn.XLOOKUP($A89,CFR20252026_BenchMarkDataReport!$B:$B,CFR20252026_BenchMarkDataReport!BS:BS),0)</f>
        <v>0</v>
      </c>
      <c r="BE89" s="88">
        <f>IFERROR(_xlfn.XLOOKUP($A89,CFR20252026_BenchMarkDataReport!$B:$B,CFR20252026_BenchMarkDataReport!BT:BT),0)</f>
        <v>18590</v>
      </c>
      <c r="BF89" s="88">
        <f>IFERROR(_xlfn.XLOOKUP($A89,CFR20252026_BenchMarkDataReport!$B:$B,CFR20252026_BenchMarkDataReport!BU:BU),0)</f>
        <v>0</v>
      </c>
      <c r="BG89" s="88">
        <f>IFERROR(_xlfn.XLOOKUP($A89,CFR20252026_BenchMarkDataReport!$B:$B,CFR20252026_BenchMarkDataReport!BV:BV),0)</f>
        <v>0</v>
      </c>
      <c r="BH89" s="89">
        <f t="shared" si="228"/>
        <v>5814333.21</v>
      </c>
      <c r="BI89" s="90">
        <f>SUM(U89:BE89)</f>
        <v>5881680.7599999988</v>
      </c>
      <c r="BJ89" s="124">
        <f>BH89-BI89</f>
        <v>-67347.549999998882</v>
      </c>
      <c r="BK89" s="88">
        <f>IFERROR(_xlfn.XLOOKUP(A89,CFR20252026_BenchMarkDataReport!$B:$B,CFR20252026_BenchMarkDataReport!P:P)+_xlfn.XLOOKUP(A89,CFR20252026_BenchMarkDataReport!$B:$B,CFR20252026_BenchMarkDataReport!Q:Q),0)</f>
        <v>111363.55</v>
      </c>
      <c r="BL89" s="89">
        <f t="shared" si="225"/>
        <v>44016.00000000112</v>
      </c>
      <c r="BM89" s="91">
        <f>SUMIFS(PP!I:I,PP!E:E,A89)</f>
        <v>163</v>
      </c>
      <c r="BN89" s="90">
        <f>D89+E89+F89</f>
        <v>5619161.2800000003</v>
      </c>
      <c r="BO89" t="s">
        <v>177</v>
      </c>
      <c r="BP89" s="92">
        <f>IFERROR(D89/BH89,0)</f>
        <v>0.45059838942391817</v>
      </c>
      <c r="BQ89" s="93">
        <f>D89/BM89</f>
        <v>16073.185153374234</v>
      </c>
      <c r="BR89" s="94">
        <f>E89/BH89</f>
        <v>0</v>
      </c>
      <c r="BS89" s="95">
        <f>E89/BM89</f>
        <v>0</v>
      </c>
      <c r="BT89" s="92">
        <f>F89/BH89</f>
        <v>0.51583423097280656</v>
      </c>
      <c r="BU89" s="93">
        <f>F89/BM89</f>
        <v>18400.196932515337</v>
      </c>
      <c r="BV89" s="94">
        <f>G89/BH89</f>
        <v>0</v>
      </c>
      <c r="BW89" s="95">
        <f>G89/BM89</f>
        <v>0</v>
      </c>
      <c r="BX89" s="92">
        <f>H89/BH89</f>
        <v>1.7222095188452399E-2</v>
      </c>
      <c r="BY89" s="93">
        <f>H89/BM89</f>
        <v>614.32515337423308</v>
      </c>
      <c r="BZ89" s="94">
        <f>I89/BH89</f>
        <v>1.9752909895578551E-4</v>
      </c>
      <c r="CA89" s="95">
        <f>I89/BM89</f>
        <v>7.0460122699386503</v>
      </c>
      <c r="CB89" s="92">
        <f>J89/BH89</f>
        <v>3.7902454510342727E-3</v>
      </c>
      <c r="CC89" s="93">
        <f>J89/BM89</f>
        <v>135.20092024539878</v>
      </c>
      <c r="CD89" s="94">
        <f>IFERROR((K89+L89)/BH89,0)</f>
        <v>1.0401988984047237E-2</v>
      </c>
      <c r="CE89" s="96">
        <f>IFERROR((K89+L89)/BM89,0)</f>
        <v>371.04680981595095</v>
      </c>
      <c r="CF89" s="97">
        <f>P89/BH89</f>
        <v>1.7012612870186708E-4</v>
      </c>
      <c r="CG89" s="98">
        <f>P89/BM89</f>
        <v>6.0685276073619629</v>
      </c>
      <c r="CH89" s="94">
        <f>Q89/BH89</f>
        <v>1.7714843006047809E-3</v>
      </c>
      <c r="CI89" s="95">
        <f>Q89/BM89</f>
        <v>63.190184049079754</v>
      </c>
      <c r="CJ89" s="99">
        <f>(U89+V89+AZ89)/BN89</f>
        <v>0.32873200073018727</v>
      </c>
      <c r="CK89" s="97">
        <f>(U89+V89+AZ89)/BH89</f>
        <v>0.31769732887393293</v>
      </c>
      <c r="CL89" s="97">
        <f>(U89+V89+AZ89)/BI89</f>
        <v>0.31405956993830458</v>
      </c>
      <c r="CM89" s="98">
        <f>(U89+V89+AZ89)/BM89</f>
        <v>11332.503865030676</v>
      </c>
      <c r="CN89" s="94">
        <f>W89/BN89</f>
        <v>0.39270006323790729</v>
      </c>
      <c r="CO89" s="100">
        <f>W89/BH89</f>
        <v>0.37951815114497028</v>
      </c>
      <c r="CP89" s="100">
        <f>W89/BI89</f>
        <v>0.3751725195639487</v>
      </c>
      <c r="CQ89" s="101">
        <f t="shared" si="344"/>
        <v>13537.699325153375</v>
      </c>
      <c r="CR89" s="99">
        <f t="shared" si="344"/>
        <v>1.1599314693455461E-2</v>
      </c>
      <c r="CS89" s="97">
        <f>X89/BH89</f>
        <v>1.1209956094002393E-2</v>
      </c>
      <c r="CT89" s="97">
        <f>X89/BI89</f>
        <v>1.1081597703034806E-2</v>
      </c>
      <c r="CU89" s="98">
        <f t="shared" si="345"/>
        <v>399.86760736196317</v>
      </c>
      <c r="CV89" s="94">
        <f t="shared" si="345"/>
        <v>4.6463005240525858E-2</v>
      </c>
      <c r="CW89" s="100">
        <f>Y89/BH89</f>
        <v>4.4903363906108162E-2</v>
      </c>
      <c r="CX89" s="100">
        <f>Y89/BI89</f>
        <v>4.4389202789714151E-2</v>
      </c>
      <c r="CY89" s="95">
        <f>Y89/BM89</f>
        <v>1601.7369325153375</v>
      </c>
      <c r="CZ89" s="99">
        <f>(U89+V89+W89+X89+Y89+Z89+AA89)/BN89</f>
        <v>0.76207021771049799</v>
      </c>
      <c r="DA89" s="97">
        <f>(U89+V89+W89+X89+Y89+Z89+AA89)/BH89</f>
        <v>0.73648951742825919</v>
      </c>
      <c r="DB89" s="97">
        <f>(U89+V89+W89+X89+Y89+Z89+AA89)/BI89</f>
        <v>0.72805642378999191</v>
      </c>
      <c r="DC89" s="98">
        <f>(U89+V89+W89+X89+Y89+Z89+AA89)/BM89</f>
        <v>26271.137791411049</v>
      </c>
      <c r="DD89" s="94">
        <f>AF89/BN89</f>
        <v>1.3169894280023227E-2</v>
      </c>
      <c r="DE89" s="100">
        <f>AF89/BI89</f>
        <v>1.2582076964000339E-2</v>
      </c>
      <c r="DF89" s="95">
        <f>AF89/BM89</f>
        <v>454.01079754601221</v>
      </c>
      <c r="DG89" s="99">
        <f>AI89/BI89</f>
        <v>1.9487456847283907E-3</v>
      </c>
      <c r="DH89" s="98">
        <f t="shared" si="346"/>
        <v>70.318404907975463</v>
      </c>
      <c r="DI89" s="94">
        <f t="shared" si="346"/>
        <v>1.0707754592158636E-2</v>
      </c>
      <c r="DJ89" s="100">
        <f>AJ89/BI89</f>
        <v>1.0229830970968919E-2</v>
      </c>
      <c r="DK89" s="95">
        <f>AJ89/BM89</f>
        <v>369.13251533742329</v>
      </c>
      <c r="DL89" s="99">
        <f>AL89/BN89</f>
        <v>7.9001078253443553E-3</v>
      </c>
      <c r="DM89" s="97">
        <f>AL89/BI89</f>
        <v>7.547499058755445E-3</v>
      </c>
      <c r="DN89" s="102">
        <f t="shared" si="347"/>
        <v>272.34343558282211</v>
      </c>
      <c r="DO89" s="94">
        <f t="shared" si="347"/>
        <v>9.2242253633980052E-3</v>
      </c>
      <c r="DP89" s="100">
        <f>AM89/BH89</f>
        <v>8.9145922890786645E-3</v>
      </c>
      <c r="DQ89" s="100">
        <f>AM89/BI89</f>
        <v>8.8125167133348489E-3</v>
      </c>
      <c r="DR89" s="95">
        <f>AM89/BM89</f>
        <v>317.99024539877303</v>
      </c>
      <c r="DS89" s="99">
        <f>AV89/BN89</f>
        <v>6.7199530532072573E-4</v>
      </c>
      <c r="DT89" s="97">
        <f>IFERROR(AV89/BI89,0)</f>
        <v>6.4200186206637999E-4</v>
      </c>
      <c r="DU89" s="98">
        <f>AV89/BM89</f>
        <v>23.1659509202454</v>
      </c>
      <c r="DV89" s="94">
        <f>IFERROR(BA89/BN89,0)</f>
        <v>0.14773094215227792</v>
      </c>
      <c r="DW89" s="100">
        <f>IFERROR(BA89/BI89,0)</f>
        <v>0.14113720616145786</v>
      </c>
      <c r="DX89" s="95">
        <f>BA89/BM89</f>
        <v>5092.7852147239264</v>
      </c>
      <c r="DY89" s="99">
        <f>AY89/BI89</f>
        <v>1.2763531899000927E-2</v>
      </c>
      <c r="DZ89" s="98">
        <f>AY89/BM89</f>
        <v>460.5584049079755</v>
      </c>
      <c r="EA89" s="94">
        <f t="shared" si="226"/>
        <v>1.386637142135542E-2</v>
      </c>
      <c r="EB89" s="95">
        <f t="shared" si="227"/>
        <v>500.35319018404914</v>
      </c>
      <c r="EC89" s="103">
        <f>IFERROR(VLOOKUP(A89,PP!$E$3:$S$130,14,0),0)</f>
        <v>69</v>
      </c>
    </row>
    <row r="90" spans="1:227">
      <c r="A90" s="121">
        <v>7009</v>
      </c>
      <c r="B90" s="122">
        <v>10158</v>
      </c>
      <c r="C90" s="121" t="s">
        <v>113</v>
      </c>
      <c r="D90" s="88">
        <f>IFERROR(_xlfn.XLOOKUP($A90,CFR20252026_BenchMarkDataReport!$B:$B,CFR20252026_BenchMarkDataReport!S:S),0)</f>
        <v>1956330.61</v>
      </c>
      <c r="E90" s="88">
        <f>IFERROR(_xlfn.XLOOKUP($A90,CFR20252026_BenchMarkDataReport!$B:$B,CFR20252026_BenchMarkDataReport!T:T),0)</f>
        <v>0</v>
      </c>
      <c r="F90" s="88">
        <f>IFERROR(_xlfn.XLOOKUP($A90,CFR20252026_BenchMarkDataReport!$B:$B,CFR20252026_BenchMarkDataReport!U:U),0)</f>
        <v>3605256.61</v>
      </c>
      <c r="G90" s="88">
        <f>IFERROR(_xlfn.XLOOKUP($A90,CFR20252026_BenchMarkDataReport!$B:$B,CFR20252026_BenchMarkDataReport!V:V),0)</f>
        <v>0</v>
      </c>
      <c r="H90" s="88">
        <f>IFERROR(_xlfn.XLOOKUP($A90,CFR20252026_BenchMarkDataReport!$B:$B,CFR20252026_BenchMarkDataReport!W:W),0)</f>
        <v>105796.58</v>
      </c>
      <c r="I90" s="88">
        <f>IFERROR(_xlfn.XLOOKUP($A90,CFR20252026_BenchMarkDataReport!$B:$B,CFR20252026_BenchMarkDataReport!X:X),0)</f>
        <v>4821.5</v>
      </c>
      <c r="J90" s="88">
        <f>IFERROR(_xlfn.XLOOKUP($A90,CFR20252026_BenchMarkDataReport!$B:$B,CFR20252026_BenchMarkDataReport!Y:Y),0)</f>
        <v>47826.64</v>
      </c>
      <c r="K90" s="88">
        <f>IFERROR(_xlfn.XLOOKUP($A90,CFR20252026_BenchMarkDataReport!$B:$B,CFR20252026_BenchMarkDataReport!Z:Z),0)</f>
        <v>5480.61</v>
      </c>
      <c r="L90" s="88">
        <f>IFERROR(_xlfn.XLOOKUP($A90,CFR20252026_BenchMarkDataReport!$B:$B,CFR20252026_BenchMarkDataReport!AA:AA),0)</f>
        <v>717170.75</v>
      </c>
      <c r="M90" s="88">
        <f>IFERROR(_xlfn.XLOOKUP($A90,CFR20252026_BenchMarkDataReport!$B:$B,CFR20252026_BenchMarkDataReport!AB:AB),0)</f>
        <v>11.98</v>
      </c>
      <c r="N90" s="88">
        <f>IFERROR(_xlfn.XLOOKUP($A90,CFR20252026_BenchMarkDataReport!$B:$B,CFR20252026_BenchMarkDataReport!AC:AC),0)</f>
        <v>0</v>
      </c>
      <c r="O90" s="88">
        <f>IFERROR(_xlfn.XLOOKUP($A90,CFR20252026_BenchMarkDataReport!$B:$B,CFR20252026_BenchMarkDataReport!AD:AD),0)</f>
        <v>0</v>
      </c>
      <c r="P90" s="88">
        <f>IFERROR(_xlfn.XLOOKUP($A90,CFR20252026_BenchMarkDataReport!$B:$B,CFR20252026_BenchMarkDataReport!AE:AE),0)</f>
        <v>665.3</v>
      </c>
      <c r="Q90" s="88">
        <f>IFERROR(_xlfn.XLOOKUP($A90,CFR20252026_BenchMarkDataReport!$B:$B,CFR20252026_BenchMarkDataReport!AF:AF),0)</f>
        <v>5976.82</v>
      </c>
      <c r="R90" s="88">
        <f>IFERROR(_xlfn.XLOOKUP($A90,CFR20252026_BenchMarkDataReport!$B:$B,CFR20252026_BenchMarkDataReport!AG:AG),0)</f>
        <v>0</v>
      </c>
      <c r="S90" s="88">
        <f>IFERROR(_xlfn.XLOOKUP($A90,CFR20252026_BenchMarkDataReport!$B:$B,CFR20252026_BenchMarkDataReport!AH:AH),0)</f>
        <v>0</v>
      </c>
      <c r="T90" s="88">
        <f>IFERROR(_xlfn.XLOOKUP($A90,CFR20252026_BenchMarkDataReport!$B:$B,CFR20252026_BenchMarkDataReport!AI:AI),0)</f>
        <v>0</v>
      </c>
      <c r="U90" s="88">
        <f>IFERROR(_xlfn.XLOOKUP($A90,CFR20252026_BenchMarkDataReport!$B:$B,CFR20252026_BenchMarkDataReport!AJ:AJ),0)</f>
        <v>2259727.7599999998</v>
      </c>
      <c r="V90" s="88">
        <f>IFERROR(_xlfn.XLOOKUP($A90,CFR20252026_BenchMarkDataReport!$B:$B,CFR20252026_BenchMarkDataReport!AK:AK),0)</f>
        <v>4058.54</v>
      </c>
      <c r="W90" s="88">
        <f>IFERROR(_xlfn.XLOOKUP($A90,CFR20252026_BenchMarkDataReport!$B:$B,CFR20252026_BenchMarkDataReport!AL:AL),0)</f>
        <v>2244396.34</v>
      </c>
      <c r="X90" s="88">
        <f>IFERROR(_xlfn.XLOOKUP($A90,CFR20252026_BenchMarkDataReport!$B:$B,CFR20252026_BenchMarkDataReport!AM:AM),0)</f>
        <v>46110.76</v>
      </c>
      <c r="Y90" s="88">
        <f>IFERROR(_xlfn.XLOOKUP($A90,CFR20252026_BenchMarkDataReport!$B:$B,CFR20252026_BenchMarkDataReport!AN:AN),0)</f>
        <v>129254.99</v>
      </c>
      <c r="Z90" s="88">
        <f>IFERROR(_xlfn.XLOOKUP($A90,CFR20252026_BenchMarkDataReport!$B:$B,CFR20252026_BenchMarkDataReport!AO:AO),0)</f>
        <v>0</v>
      </c>
      <c r="AA90" s="88">
        <f>IFERROR(_xlfn.XLOOKUP($A90,CFR20252026_BenchMarkDataReport!$B:$B,CFR20252026_BenchMarkDataReport!AP:AP),0)</f>
        <v>141542.71</v>
      </c>
      <c r="AB90" s="88">
        <f>IFERROR(_xlfn.XLOOKUP($A90,CFR20252026_BenchMarkDataReport!$B:$B,CFR20252026_BenchMarkDataReport!AQ:AQ),0)</f>
        <v>30192.17</v>
      </c>
      <c r="AC90" s="88">
        <f>IFERROR(_xlfn.XLOOKUP($A90,CFR20252026_BenchMarkDataReport!$B:$B,CFR20252026_BenchMarkDataReport!AR:AR),0)</f>
        <v>13747.35</v>
      </c>
      <c r="AD90" s="88">
        <f>IFERROR(_xlfn.XLOOKUP($A90,CFR20252026_BenchMarkDataReport!$B:$B,CFR20252026_BenchMarkDataReport!AS:AS),0)</f>
        <v>0</v>
      </c>
      <c r="AE90" s="88">
        <f>IFERROR(_xlfn.XLOOKUP($A90,CFR20252026_BenchMarkDataReport!$B:$B,CFR20252026_BenchMarkDataReport!AT:AT),0)</f>
        <v>0</v>
      </c>
      <c r="AF90" s="88">
        <f>IFERROR(_xlfn.XLOOKUP($A90,CFR20252026_BenchMarkDataReport!$B:$B,CFR20252026_BenchMarkDataReport!AU:AU),0)</f>
        <v>50347.63</v>
      </c>
      <c r="AG90" s="88">
        <f>IFERROR(_xlfn.XLOOKUP($A90,CFR20252026_BenchMarkDataReport!$B:$B,CFR20252026_BenchMarkDataReport!AV:AV),0)</f>
        <v>500</v>
      </c>
      <c r="AH90" s="88">
        <f>IFERROR(_xlfn.XLOOKUP($A90,CFR20252026_BenchMarkDataReport!$B:$B,CFR20252026_BenchMarkDataReport!AW:AW),0)</f>
        <v>40091.67</v>
      </c>
      <c r="AI90" s="88">
        <f>IFERROR(_xlfn.XLOOKUP($A90,CFR20252026_BenchMarkDataReport!$B:$B,CFR20252026_BenchMarkDataReport!AX:AX),0)</f>
        <v>11026.63</v>
      </c>
      <c r="AJ90" s="88">
        <f>IFERROR(_xlfn.XLOOKUP($A90,CFR20252026_BenchMarkDataReport!$B:$B,CFR20252026_BenchMarkDataReport!AY:AY),0)</f>
        <v>38899.870000000003</v>
      </c>
      <c r="AK90" s="88">
        <f>IFERROR(_xlfn.XLOOKUP($A90,CFR20252026_BenchMarkDataReport!$B:$B,CFR20252026_BenchMarkDataReport!AZ:AZ),0)</f>
        <v>0</v>
      </c>
      <c r="AL90" s="88">
        <f>IFERROR(_xlfn.XLOOKUP($A90,CFR20252026_BenchMarkDataReport!$B:$B,CFR20252026_BenchMarkDataReport!BA:BA),0)</f>
        <v>28566.95</v>
      </c>
      <c r="AM90" s="88">
        <f>IFERROR(_xlfn.XLOOKUP($A90,CFR20252026_BenchMarkDataReport!$B:$B,CFR20252026_BenchMarkDataReport!BB:BB),0)</f>
        <v>89507.22</v>
      </c>
      <c r="AN90" s="88">
        <f>IFERROR(_xlfn.XLOOKUP($A90,CFR20252026_BenchMarkDataReport!$B:$B,CFR20252026_BenchMarkDataReport!BC:BC),0)</f>
        <v>4729.79</v>
      </c>
      <c r="AO90" s="88">
        <f>IFERROR(_xlfn.XLOOKUP($A90,CFR20252026_BenchMarkDataReport!$B:$B,CFR20252026_BenchMarkDataReport!BD:BD),0)</f>
        <v>0</v>
      </c>
      <c r="AP90" s="88">
        <f>IFERROR(_xlfn.XLOOKUP($A90,CFR20252026_BenchMarkDataReport!$B:$B,CFR20252026_BenchMarkDataReport!BE:BE),0)</f>
        <v>1974.92</v>
      </c>
      <c r="AQ90" s="88">
        <f>IFERROR(_xlfn.XLOOKUP($A90,CFR20252026_BenchMarkDataReport!$B:$B,CFR20252026_BenchMarkDataReport!BF:BF),0)</f>
        <v>8884.09</v>
      </c>
      <c r="AR90" s="88">
        <f>IFERROR(_xlfn.XLOOKUP($A90,CFR20252026_BenchMarkDataReport!$B:$B,CFR20252026_BenchMarkDataReport!BG:BG),0)</f>
        <v>7373.83</v>
      </c>
      <c r="AS90" s="88">
        <f>IFERROR(_xlfn.XLOOKUP($A90,CFR20252026_BenchMarkDataReport!$B:$B,CFR20252026_BenchMarkDataReport!BH:BH),0)</f>
        <v>4744.4799999999996</v>
      </c>
      <c r="AT90" s="88">
        <f>IFERROR(_xlfn.XLOOKUP($A90,CFR20252026_BenchMarkDataReport!$B:$B,CFR20252026_BenchMarkDataReport!BI:BI),0)</f>
        <v>12979.34</v>
      </c>
      <c r="AU90" s="88">
        <f>IFERROR(_xlfn.XLOOKUP($A90,CFR20252026_BenchMarkDataReport!$B:$B,CFR20252026_BenchMarkDataReport!BJ:BJ),0)</f>
        <v>0</v>
      </c>
      <c r="AV90" s="88">
        <f>IFERROR(_xlfn.XLOOKUP($A90,CFR20252026_BenchMarkDataReport!$B:$B,CFR20252026_BenchMarkDataReport!BK:BK),0)</f>
        <v>20171.580000000002</v>
      </c>
      <c r="AW90" s="88">
        <f>IFERROR(_xlfn.XLOOKUP($A90,CFR20252026_BenchMarkDataReport!$B:$B,CFR20252026_BenchMarkDataReport!BL:BL),0)</f>
        <v>7521</v>
      </c>
      <c r="AX90" s="88">
        <f>IFERROR(_xlfn.XLOOKUP($A90,CFR20252026_BenchMarkDataReport!$B:$B,CFR20252026_BenchMarkDataReport!BM:BM),0)</f>
        <v>77690.399999999994</v>
      </c>
      <c r="AY90" s="88">
        <f>IFERROR(_xlfn.XLOOKUP($A90,CFR20252026_BenchMarkDataReport!$B:$B,CFR20252026_BenchMarkDataReport!BN:BN),0)</f>
        <v>34888.51</v>
      </c>
      <c r="AZ90" s="88">
        <f>IFERROR(_xlfn.XLOOKUP($A90,CFR20252026_BenchMarkDataReport!$B:$B,CFR20252026_BenchMarkDataReport!BO:BO),0)</f>
        <v>45369.51</v>
      </c>
      <c r="BA90" s="88">
        <f>IFERROR(_xlfn.XLOOKUP($A90,CFR20252026_BenchMarkDataReport!$B:$B,CFR20252026_BenchMarkDataReport!BP:BP),0)</f>
        <v>798538.33</v>
      </c>
      <c r="BB90" s="88">
        <f>IFERROR(_xlfn.XLOOKUP($A90,CFR20252026_BenchMarkDataReport!$B:$B,CFR20252026_BenchMarkDataReport!BQ:BQ),0)</f>
        <v>57580.46</v>
      </c>
      <c r="BC90" s="88">
        <f>IFERROR(_xlfn.XLOOKUP($A90,CFR20252026_BenchMarkDataReport!$B:$B,CFR20252026_BenchMarkDataReport!BR:BR),0)</f>
        <v>0</v>
      </c>
      <c r="BD90" s="88">
        <f>IFERROR(_xlfn.XLOOKUP($A90,CFR20252026_BenchMarkDataReport!$B:$B,CFR20252026_BenchMarkDataReport!BS:BS),0)</f>
        <v>0</v>
      </c>
      <c r="BE90" s="88">
        <f>IFERROR(_xlfn.XLOOKUP($A90,CFR20252026_BenchMarkDataReport!$B:$B,CFR20252026_BenchMarkDataReport!BT:BT),0)</f>
        <v>3988.66</v>
      </c>
      <c r="BF90" s="88">
        <f>IFERROR(_xlfn.XLOOKUP($A90,CFR20252026_BenchMarkDataReport!$B:$B,CFR20252026_BenchMarkDataReport!BU:BU),0)</f>
        <v>0</v>
      </c>
      <c r="BG90" s="88">
        <f>IFERROR(_xlfn.XLOOKUP($A90,CFR20252026_BenchMarkDataReport!$B:$B,CFR20252026_BenchMarkDataReport!BV:BV),0)</f>
        <v>0</v>
      </c>
      <c r="BH90" s="89">
        <f t="shared" si="228"/>
        <v>6449337.4000000004</v>
      </c>
      <c r="BI90" s="90">
        <f>SUM(U90:BE90)</f>
        <v>6214405.4899999993</v>
      </c>
      <c r="BJ90" s="124">
        <f>BH90-BI90</f>
        <v>234931.91000000108</v>
      </c>
      <c r="BK90" s="88">
        <f>IFERROR(_xlfn.XLOOKUP(A90,CFR20252026_BenchMarkDataReport!$B:$B,CFR20252026_BenchMarkDataReport!P:P)+_xlfn.XLOOKUP(A90,CFR20252026_BenchMarkDataReport!$B:$B,CFR20252026_BenchMarkDataReport!Q:Q),0)</f>
        <v>102747</v>
      </c>
      <c r="BL90" s="89">
        <f>SUM(BJ90:BK90)</f>
        <v>337678.91000000108</v>
      </c>
      <c r="BM90" s="91">
        <f>SUMIFS(PP!I:I,PP!E:E,A90)</f>
        <v>135</v>
      </c>
      <c r="BN90" s="90">
        <f>D90+E90+F90</f>
        <v>5561587.2199999997</v>
      </c>
      <c r="BO90" t="s">
        <v>177</v>
      </c>
      <c r="BP90" s="92">
        <f>IFERROR(D90/BH90,0)</f>
        <v>0.30333823285474254</v>
      </c>
      <c r="BQ90" s="93">
        <f>D90/BM90</f>
        <v>14491.337851851853</v>
      </c>
      <c r="BR90" s="94">
        <f>E90/BH90</f>
        <v>0</v>
      </c>
      <c r="BS90" s="95">
        <f>E90/BM90</f>
        <v>0</v>
      </c>
      <c r="BT90" s="92">
        <f>F90/BH90</f>
        <v>0.55901193973818142</v>
      </c>
      <c r="BU90" s="93">
        <f>F90/BM90</f>
        <v>26705.604518518518</v>
      </c>
      <c r="BV90" s="94">
        <f>G90/BH90</f>
        <v>0</v>
      </c>
      <c r="BW90" s="95">
        <f>G90/BM90</f>
        <v>0</v>
      </c>
      <c r="BX90" s="92">
        <f>H90/BH90</f>
        <v>1.640425573020881E-2</v>
      </c>
      <c r="BY90" s="93">
        <f>H90/BM90</f>
        <v>783.67837037037043</v>
      </c>
      <c r="BZ90" s="94">
        <f>I90/BH90</f>
        <v>7.4759617941526824E-4</v>
      </c>
      <c r="CA90" s="95">
        <f>I90/BM90</f>
        <v>35.714814814814815</v>
      </c>
      <c r="CB90" s="92">
        <f>J90/BH90</f>
        <v>7.4157447554224713E-3</v>
      </c>
      <c r="CC90" s="93">
        <f>J90/BM90</f>
        <v>354.27140740740742</v>
      </c>
      <c r="CD90" s="94">
        <f>IFERROR((K90+L90)/BH90,0)</f>
        <v>0.11205048134092038</v>
      </c>
      <c r="CE90" s="96">
        <f>IFERROR((K90+L90)/BM90,0)</f>
        <v>5352.9730370370371</v>
      </c>
      <c r="CF90" s="97">
        <f>P90/BH90</f>
        <v>1.0315788409519401E-4</v>
      </c>
      <c r="CG90" s="98">
        <f>P90/BM90</f>
        <v>4.9281481481481482</v>
      </c>
      <c r="CH90" s="94">
        <f>Q90/BH90</f>
        <v>9.267339618485458E-4</v>
      </c>
      <c r="CI90" s="95">
        <f>Q90/BM90</f>
        <v>44.272740740740737</v>
      </c>
      <c r="CJ90" s="99">
        <f>(U90+V90+AZ90)/BN90</f>
        <v>0.41519726629406339</v>
      </c>
      <c r="CK90" s="97">
        <f>(U90+V90+AZ90)/BH90</f>
        <v>0.35804543424879576</v>
      </c>
      <c r="CL90" s="97">
        <f>(U90+V90+AZ90)/BI90</f>
        <v>0.37158112931571829</v>
      </c>
      <c r="CM90" s="98">
        <f>(U90+V90+AZ90)/BM90</f>
        <v>17104.857851851848</v>
      </c>
      <c r="CN90" s="94">
        <f>W90/BN90</f>
        <v>0.40355320364822039</v>
      </c>
      <c r="CO90" s="100">
        <f>W90/BH90</f>
        <v>0.34800417481647022</v>
      </c>
      <c r="CP90" s="100">
        <f>W90/BI90</f>
        <v>0.36116026603214141</v>
      </c>
      <c r="CQ90" s="101">
        <f t="shared" si="344"/>
        <v>16625.158074074072</v>
      </c>
      <c r="CR90" s="99">
        <f t="shared" si="344"/>
        <v>8.2909353348233576E-3</v>
      </c>
      <c r="CS90" s="97">
        <f>X90/BH90</f>
        <v>7.1496895169416942E-3</v>
      </c>
      <c r="CT90" s="97">
        <f>X90/BI90</f>
        <v>7.4199792842935342E-3</v>
      </c>
      <c r="CU90" s="98">
        <f t="shared" si="345"/>
        <v>341.5611851851852</v>
      </c>
      <c r="CV90" s="94">
        <f t="shared" si="345"/>
        <v>2.3240665818417213E-2</v>
      </c>
      <c r="CW90" s="100">
        <f>Y90/BH90</f>
        <v>2.0041592179686551E-2</v>
      </c>
      <c r="CX90" s="100">
        <f>Y90/BI90</f>
        <v>2.079925267316279E-2</v>
      </c>
      <c r="CY90" s="95">
        <f>Y90/BM90</f>
        <v>957.44437037037039</v>
      </c>
      <c r="CZ90" s="99">
        <f>(U90+V90+W90+X90+Y90+Z90+AA90)/BN90</f>
        <v>0.86757447274197386</v>
      </c>
      <c r="DA90" s="97">
        <f>(U90+V90+W90+X90+Y90+Z90+AA90)/BH90</f>
        <v>0.74815299630625609</v>
      </c>
      <c r="DB90" s="97">
        <f>(U90+V90+W90+X90+Y90+Z90+AA90)/BI90</f>
        <v>0.77643647614632882</v>
      </c>
      <c r="DC90" s="98">
        <f>(U90+V90+W90+X90+Y90+Z90+AA90)/BM90</f>
        <v>35741.415555555555</v>
      </c>
      <c r="DD90" s="94">
        <f>AF90/BN90</f>
        <v>9.0527448385498838E-3</v>
      </c>
      <c r="DE90" s="100">
        <f>AF90/BI90</f>
        <v>8.1017613158680443E-3</v>
      </c>
      <c r="DF90" s="95">
        <f>AF90/BM90</f>
        <v>372.9454074074074</v>
      </c>
      <c r="DG90" s="99">
        <f>AI90/BI90</f>
        <v>1.7743660303054991E-3</v>
      </c>
      <c r="DH90" s="98">
        <f t="shared" si="346"/>
        <v>81.678740740740736</v>
      </c>
      <c r="DI90" s="94">
        <f t="shared" si="346"/>
        <v>6.9943828013902844E-3</v>
      </c>
      <c r="DJ90" s="100">
        <f>AJ90/BI90</f>
        <v>6.259628545738815E-3</v>
      </c>
      <c r="DK90" s="95">
        <f>AJ90/BM90</f>
        <v>288.14718518518521</v>
      </c>
      <c r="DL90" s="99">
        <f>AL90/BN90</f>
        <v>5.1364743318724759E-3</v>
      </c>
      <c r="DM90" s="97">
        <f>AL90/BI90</f>
        <v>4.5968918581140101E-3</v>
      </c>
      <c r="DN90" s="102">
        <f t="shared" si="347"/>
        <v>211.60703703703703</v>
      </c>
      <c r="DO90" s="94">
        <f t="shared" si="347"/>
        <v>1.6093826538964177E-2</v>
      </c>
      <c r="DP90" s="100">
        <f>AM90/BH90</f>
        <v>1.387851409355634E-2</v>
      </c>
      <c r="DQ90" s="100">
        <f>AM90/BI90</f>
        <v>1.4403183079062324E-2</v>
      </c>
      <c r="DR90" s="95">
        <f>AM90/BM90</f>
        <v>663.01644444444446</v>
      </c>
      <c r="DS90" s="99">
        <f>AV90/BN90</f>
        <v>3.6269466254994745E-3</v>
      </c>
      <c r="DT90" s="97">
        <f>IFERROR(AV90/BI90,0)</f>
        <v>3.2459388162647887E-3</v>
      </c>
      <c r="DU90" s="98">
        <f>AV90/BM90</f>
        <v>149.41911111111114</v>
      </c>
      <c r="DV90" s="94">
        <f>IFERROR(BA90/BN90,0)</f>
        <v>0.14358101355102007</v>
      </c>
      <c r="DW90" s="100">
        <f>IFERROR(BA90/BI90,0)</f>
        <v>0.12849794421766966</v>
      </c>
      <c r="DX90" s="95">
        <f>BA90/BM90</f>
        <v>5915.0987407407401</v>
      </c>
      <c r="DY90" s="99">
        <f>AY90/BI90</f>
        <v>5.6141347802523269E-3</v>
      </c>
      <c r="DZ90" s="98">
        <f>AY90/BM90</f>
        <v>258.4334074074074</v>
      </c>
      <c r="EA90" s="94">
        <f t="shared" si="226"/>
        <v>6.4514087573644963E-3</v>
      </c>
      <c r="EB90" s="95">
        <f t="shared" si="227"/>
        <v>296.97533333333331</v>
      </c>
      <c r="EC90" s="103">
        <f>IFERROR(VLOOKUP(A90,PP!$E$3:$S$130,14,0),0)</f>
        <v>68</v>
      </c>
    </row>
    <row r="91" spans="1:227" s="12" customFormat="1" ht="16.2" thickBot="1">
      <c r="A91" s="105">
        <v>7999</v>
      </c>
      <c r="B91" s="106"/>
      <c r="C91" s="107" t="s">
        <v>178</v>
      </c>
      <c r="D91" s="108">
        <f>AVERAGE(D88:D90)</f>
        <v>2088138.406666667</v>
      </c>
      <c r="E91" s="108">
        <f>AVERAGE(E88:E90)</f>
        <v>1360.6000000000001</v>
      </c>
      <c r="F91" s="108">
        <f t="shared" ref="F91:BG91" si="348">AVERAGE(F88:F90)</f>
        <v>3202493.1199999996</v>
      </c>
      <c r="G91" s="108">
        <f t="shared" si="348"/>
        <v>0</v>
      </c>
      <c r="H91" s="108">
        <f t="shared" si="348"/>
        <v>81544.526666666672</v>
      </c>
      <c r="I91" s="108">
        <f t="shared" si="348"/>
        <v>29763.853333333333</v>
      </c>
      <c r="J91" s="108">
        <f t="shared" si="348"/>
        <v>32806.21</v>
      </c>
      <c r="K91" s="108">
        <f t="shared" si="348"/>
        <v>11965.936666666666</v>
      </c>
      <c r="L91" s="108">
        <f t="shared" si="348"/>
        <v>249322.12333333332</v>
      </c>
      <c r="M91" s="108">
        <f t="shared" si="348"/>
        <v>4645.8833333333332</v>
      </c>
      <c r="N91" s="108">
        <f t="shared" si="348"/>
        <v>0</v>
      </c>
      <c r="O91" s="108">
        <f t="shared" si="348"/>
        <v>0</v>
      </c>
      <c r="P91" s="108">
        <f t="shared" si="348"/>
        <v>1279.55</v>
      </c>
      <c r="Q91" s="108">
        <f t="shared" si="348"/>
        <v>10291.753333333334</v>
      </c>
      <c r="R91" s="108">
        <f t="shared" si="348"/>
        <v>0</v>
      </c>
      <c r="S91" s="108">
        <f t="shared" si="348"/>
        <v>0</v>
      </c>
      <c r="T91" s="108">
        <f t="shared" si="348"/>
        <v>0</v>
      </c>
      <c r="U91" s="108">
        <f t="shared" si="348"/>
        <v>1880865.42</v>
      </c>
      <c r="V91" s="108">
        <f t="shared" si="348"/>
        <v>1352.8466666666666</v>
      </c>
      <c r="W91" s="108">
        <f t="shared" si="348"/>
        <v>2190084.98</v>
      </c>
      <c r="X91" s="108">
        <f t="shared" si="348"/>
        <v>78803.5</v>
      </c>
      <c r="Y91" s="108">
        <f t="shared" si="348"/>
        <v>189668.28666666665</v>
      </c>
      <c r="Z91" s="108">
        <f t="shared" si="348"/>
        <v>0</v>
      </c>
      <c r="AA91" s="108">
        <f t="shared" si="348"/>
        <v>75139.856666666674</v>
      </c>
      <c r="AB91" s="108">
        <f t="shared" si="348"/>
        <v>26026.74</v>
      </c>
      <c r="AC91" s="108">
        <f t="shared" si="348"/>
        <v>11684.246666666666</v>
      </c>
      <c r="AD91" s="108">
        <f t="shared" si="348"/>
        <v>0</v>
      </c>
      <c r="AE91" s="108">
        <f t="shared" si="348"/>
        <v>0</v>
      </c>
      <c r="AF91" s="108">
        <f t="shared" si="348"/>
        <v>65813.17333333334</v>
      </c>
      <c r="AG91" s="108">
        <f t="shared" si="348"/>
        <v>21499.37</v>
      </c>
      <c r="AH91" s="108">
        <f t="shared" si="348"/>
        <v>42770.416666666664</v>
      </c>
      <c r="AI91" s="108">
        <f t="shared" si="348"/>
        <v>9463.3166666666657</v>
      </c>
      <c r="AJ91" s="108">
        <f t="shared" si="348"/>
        <v>46072.556666666664</v>
      </c>
      <c r="AK91" s="108">
        <f t="shared" si="348"/>
        <v>0</v>
      </c>
      <c r="AL91" s="108">
        <f t="shared" si="348"/>
        <v>30374.170000000002</v>
      </c>
      <c r="AM91" s="108">
        <f t="shared" si="348"/>
        <v>68874.386666666673</v>
      </c>
      <c r="AN91" s="108">
        <f t="shared" si="348"/>
        <v>11650.57</v>
      </c>
      <c r="AO91" s="108"/>
      <c r="AP91" s="108"/>
      <c r="AQ91" s="108"/>
      <c r="AR91" s="108"/>
      <c r="AS91" s="108"/>
      <c r="AT91" s="108"/>
      <c r="AU91" s="108">
        <f t="shared" si="348"/>
        <v>573.65</v>
      </c>
      <c r="AV91" s="108">
        <f t="shared" si="348"/>
        <v>10444.176666666668</v>
      </c>
      <c r="AW91" s="108">
        <f t="shared" si="348"/>
        <v>9371.84</v>
      </c>
      <c r="AX91" s="108">
        <f t="shared" si="348"/>
        <v>57210.323333333326</v>
      </c>
      <c r="AY91" s="108">
        <f t="shared" si="348"/>
        <v>48767.583333333336</v>
      </c>
      <c r="AZ91" s="108">
        <f t="shared" si="348"/>
        <v>56240.356666666667</v>
      </c>
      <c r="BA91" s="108">
        <f t="shared" si="348"/>
        <v>639062.12</v>
      </c>
      <c r="BB91" s="108">
        <f t="shared" si="348"/>
        <v>50938.103333333333</v>
      </c>
      <c r="BC91" s="108">
        <f>AVERAGE(BC88:BC90)</f>
        <v>0</v>
      </c>
      <c r="BD91" s="108">
        <f t="shared" si="348"/>
        <v>0</v>
      </c>
      <c r="BE91" s="108">
        <f t="shared" si="348"/>
        <v>7526.22</v>
      </c>
      <c r="BF91" s="108">
        <f t="shared" si="348"/>
        <v>0</v>
      </c>
      <c r="BG91" s="108">
        <f t="shared" si="348"/>
        <v>0</v>
      </c>
      <c r="BH91" s="108">
        <f t="shared" ref="BH91:BN91" si="349">AVERAGE(BH88:BH90)</f>
        <v>5713611.9633333338</v>
      </c>
      <c r="BI91" s="108">
        <f t="shared" si="349"/>
        <v>5672987.1866666647</v>
      </c>
      <c r="BJ91" s="108">
        <f t="shared" si="349"/>
        <v>40624.776666667931</v>
      </c>
      <c r="BK91" s="108">
        <f t="shared" si="349"/>
        <v>197006.51666666669</v>
      </c>
      <c r="BL91" s="108">
        <f t="shared" si="349"/>
        <v>237631.29333333462</v>
      </c>
      <c r="BM91" s="108">
        <f t="shared" si="349"/>
        <v>123.66666666666667</v>
      </c>
      <c r="BN91" s="108">
        <f t="shared" si="349"/>
        <v>5291992.126666666</v>
      </c>
      <c r="BO91" s="12" t="s">
        <v>177</v>
      </c>
      <c r="BP91" s="109">
        <f t="shared" ref="BP91:CU91" si="350">AVERAGE(BP88:BP90)</f>
        <v>0.3666903921627987</v>
      </c>
      <c r="BQ91" s="110">
        <f t="shared" si="350"/>
        <v>17896.646618180384</v>
      </c>
      <c r="BR91" s="111">
        <f t="shared" si="350"/>
        <v>2.7897352701567661E-4</v>
      </c>
      <c r="BS91" s="112">
        <f t="shared" si="350"/>
        <v>18.638356164383563</v>
      </c>
      <c r="BT91" s="109">
        <f t="shared" si="350"/>
        <v>0.56352359084104309</v>
      </c>
      <c r="BU91" s="110">
        <f t="shared" si="350"/>
        <v>28747.553223403982</v>
      </c>
      <c r="BV91" s="111">
        <f t="shared" si="350"/>
        <v>0</v>
      </c>
      <c r="BW91" s="112">
        <f t="shared" si="350"/>
        <v>0</v>
      </c>
      <c r="BX91" s="109">
        <f t="shared" si="350"/>
        <v>1.3853899383235621E-2</v>
      </c>
      <c r="BY91" s="110">
        <f t="shared" si="350"/>
        <v>642.72263576874911</v>
      </c>
      <c r="BZ91" s="111">
        <f t="shared" si="350"/>
        <v>6.0097130979959758E-3</v>
      </c>
      <c r="CA91" s="112">
        <f t="shared" si="350"/>
        <v>394.71735332048866</v>
      </c>
      <c r="CB91" s="109">
        <f t="shared" si="350"/>
        <v>5.6868899306573477E-3</v>
      </c>
      <c r="CC91" s="110">
        <f t="shared" si="350"/>
        <v>293.54210008518197</v>
      </c>
      <c r="CD91" s="111">
        <f t="shared" si="350"/>
        <v>4.0867532155151293E-2</v>
      </c>
      <c r="CE91" s="113">
        <f t="shared" si="350"/>
        <v>1911.3499489509959</v>
      </c>
      <c r="CF91" s="114">
        <f t="shared" si="350"/>
        <v>2.4037400804762161E-4</v>
      </c>
      <c r="CG91" s="115">
        <f t="shared" si="350"/>
        <v>13.638983242704283</v>
      </c>
      <c r="CH91" s="111">
        <f t="shared" si="350"/>
        <v>1.8971468625657139E-3</v>
      </c>
      <c r="CI91" s="116">
        <f t="shared" si="350"/>
        <v>102.4805183089356</v>
      </c>
      <c r="CJ91" s="117">
        <f t="shared" si="350"/>
        <v>0.36575714015398875</v>
      </c>
      <c r="CK91" s="114">
        <f t="shared" si="350"/>
        <v>0.33863462264521527</v>
      </c>
      <c r="CL91" s="114">
        <f t="shared" si="350"/>
        <v>0.34088110997938759</v>
      </c>
      <c r="CM91" s="115">
        <f t="shared" si="350"/>
        <v>17054.563175033898</v>
      </c>
      <c r="CN91" s="111">
        <f t="shared" si="350"/>
        <v>0.41586935344693199</v>
      </c>
      <c r="CO91" s="118">
        <f t="shared" si="350"/>
        <v>0.38734660492539086</v>
      </c>
      <c r="CP91" s="118">
        <f t="shared" si="350"/>
        <v>0.38893855984843917</v>
      </c>
      <c r="CQ91" s="119">
        <f t="shared" si="350"/>
        <v>19731.060274628326</v>
      </c>
      <c r="CR91" s="117">
        <f t="shared" si="350"/>
        <v>1.5512955001518515E-2</v>
      </c>
      <c r="CS91" s="114">
        <f t="shared" si="350"/>
        <v>1.4671387565169199E-2</v>
      </c>
      <c r="CT91" s="114">
        <f t="shared" si="350"/>
        <v>1.4639295325897859E-2</v>
      </c>
      <c r="CU91" s="115">
        <f t="shared" si="350"/>
        <v>818.47315915955187</v>
      </c>
      <c r="CV91" s="111">
        <f t="shared" ref="CV91:DZ91" si="351">AVERAGE(CV88:CV90)</f>
        <v>3.5918836644715291E-2</v>
      </c>
      <c r="CW91" s="118">
        <f t="shared" si="351"/>
        <v>3.3859424924851882E-2</v>
      </c>
      <c r="CX91" s="118">
        <f t="shared" si="351"/>
        <v>3.3827208452779305E-2</v>
      </c>
      <c r="CY91" s="116">
        <f t="shared" si="351"/>
        <v>1668.8903429710351</v>
      </c>
      <c r="CZ91" s="117">
        <f t="shared" si="351"/>
        <v>0.83716286667264772</v>
      </c>
      <c r="DA91" s="114">
        <f t="shared" si="351"/>
        <v>0.7778633952164592</v>
      </c>
      <c r="DB91" s="114">
        <f t="shared" si="351"/>
        <v>0.78185263245859826</v>
      </c>
      <c r="DC91" s="115">
        <f t="shared" si="351"/>
        <v>39577.052531180649</v>
      </c>
      <c r="DD91" s="111">
        <f t="shared" si="351"/>
        <v>1.2596370136615043E-2</v>
      </c>
      <c r="DE91" s="118">
        <f t="shared" si="351"/>
        <v>1.1843490898411357E-2</v>
      </c>
      <c r="DF91" s="116">
        <f t="shared" si="351"/>
        <v>609.3878217424641</v>
      </c>
      <c r="DG91" s="117">
        <f t="shared" si="351"/>
        <v>1.640628915185212E-3</v>
      </c>
      <c r="DH91" s="115">
        <f t="shared" si="351"/>
        <v>77.61283850390997</v>
      </c>
      <c r="DI91" s="111">
        <f t="shared" si="351"/>
        <v>8.6800734810327899E-3</v>
      </c>
      <c r="DJ91" s="118">
        <f t="shared" si="351"/>
        <v>8.1473221476634043E-3</v>
      </c>
      <c r="DK91" s="116">
        <f t="shared" si="351"/>
        <v>397.85670382717086</v>
      </c>
      <c r="DL91" s="117">
        <f t="shared" si="351"/>
        <v>5.6350338423811859E-3</v>
      </c>
      <c r="DM91" s="114">
        <f t="shared" si="351"/>
        <v>5.2780064014828027E-3</v>
      </c>
      <c r="DN91" s="115">
        <f t="shared" si="351"/>
        <v>244.25554566780693</v>
      </c>
      <c r="DO91" s="111">
        <f t="shared" si="351"/>
        <v>1.3074094084883052E-2</v>
      </c>
      <c r="DP91" s="118">
        <f t="shared" si="351"/>
        <v>1.2059551463654984E-2</v>
      </c>
      <c r="DQ91" s="118">
        <f t="shared" si="351"/>
        <v>1.2158986635824704E-2</v>
      </c>
      <c r="DR91" s="116">
        <f t="shared" si="351"/>
        <v>625.10054045002232</v>
      </c>
      <c r="DS91" s="117">
        <f>AVERAGE(DS88:DS90)</f>
        <v>1.9572647457307252E-3</v>
      </c>
      <c r="DT91" s="114">
        <f>AVERAGE(DT88:DT90)</f>
        <v>1.7960199748996665E-3</v>
      </c>
      <c r="DU91" s="115">
        <f>AVERAGE(DU88:DU90)</f>
        <v>91.249358576662232</v>
      </c>
      <c r="DV91" s="111">
        <f t="shared" si="351"/>
        <v>0.11758748091515775</v>
      </c>
      <c r="DW91" s="118">
        <f t="shared" si="351"/>
        <v>0.10941466539734779</v>
      </c>
      <c r="DX91" s="116">
        <f t="shared" si="351"/>
        <v>4986.7560216845695</v>
      </c>
      <c r="DY91" s="117">
        <f t="shared" si="351"/>
        <v>8.5867285251706258E-3</v>
      </c>
      <c r="DZ91" s="115">
        <f t="shared" si="351"/>
        <v>405.61471369416876</v>
      </c>
      <c r="EA91" s="111">
        <f t="shared" ref="EA91:EB91" si="352">AVERAGE(EA88:EA90)</f>
        <v>7.2236854600750029E-3</v>
      </c>
      <c r="EB91" s="116">
        <f t="shared" si="352"/>
        <v>296.1963114920955</v>
      </c>
      <c r="EC91" s="129">
        <f>AVERAGE(EC88:EC90)</f>
        <v>57.666666666666664</v>
      </c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</row>
    <row r="92" spans="1:227" ht="15.6" thickTop="1">
      <c r="A92" s="130">
        <v>1102</v>
      </c>
      <c r="B92" s="6">
        <v>10185</v>
      </c>
      <c r="C92" s="127" t="s">
        <v>293</v>
      </c>
      <c r="D92" s="88">
        <f>IFERROR(_xlfn.XLOOKUP($A92,CFR20252026_BenchMarkDataReport!$B:$B,CFR20252026_BenchMarkDataReport!S:S),0)</f>
        <v>588695.47</v>
      </c>
      <c r="E92" s="88">
        <f>IFERROR(_xlfn.XLOOKUP($A92,CFR20252026_BenchMarkDataReport!$B:$B,CFR20252026_BenchMarkDataReport!T:T),0)</f>
        <v>0</v>
      </c>
      <c r="F92" s="88">
        <f>IFERROR(_xlfn.XLOOKUP($A92,CFR20252026_BenchMarkDataReport!$B:$B,CFR20252026_BenchMarkDataReport!U:U),0)</f>
        <v>66999.199999999997</v>
      </c>
      <c r="G92" s="88">
        <f>IFERROR(_xlfn.XLOOKUP($A92,CFR20252026_BenchMarkDataReport!$B:$B,CFR20252026_BenchMarkDataReport!V:V),0)</f>
        <v>0</v>
      </c>
      <c r="H92" s="88">
        <f>IFERROR(_xlfn.XLOOKUP($A92,CFR20252026_BenchMarkDataReport!$B:$B,CFR20252026_BenchMarkDataReport!W:W),0)</f>
        <v>5150</v>
      </c>
      <c r="I92" s="88">
        <f>IFERROR(_xlfn.XLOOKUP($A92,CFR20252026_BenchMarkDataReport!$B:$B,CFR20252026_BenchMarkDataReport!X:X),0)</f>
        <v>-54.07</v>
      </c>
      <c r="J92" s="88">
        <f>IFERROR(_xlfn.XLOOKUP($A92,CFR20252026_BenchMarkDataReport!$B:$B,CFR20252026_BenchMarkDataReport!Y:Y),0)</f>
        <v>2700</v>
      </c>
      <c r="K92" s="88">
        <f>IFERROR(_xlfn.XLOOKUP($A92,CFR20252026_BenchMarkDataReport!$B:$B,CFR20252026_BenchMarkDataReport!Z:Z),0)</f>
        <v>0</v>
      </c>
      <c r="L92" s="88">
        <f>IFERROR(_xlfn.XLOOKUP($A92,CFR20252026_BenchMarkDataReport!$B:$B,CFR20252026_BenchMarkDataReport!AA:AA),0)</f>
        <v>426472.07</v>
      </c>
      <c r="M92" s="88">
        <f>IFERROR(_xlfn.XLOOKUP($A92,CFR20252026_BenchMarkDataReport!$B:$B,CFR20252026_BenchMarkDataReport!AB:AB),0)</f>
        <v>0</v>
      </c>
      <c r="N92" s="88">
        <f>IFERROR(_xlfn.XLOOKUP($A92,CFR20252026_BenchMarkDataReport!$B:$B,CFR20252026_BenchMarkDataReport!AC:AC),0)</f>
        <v>0</v>
      </c>
      <c r="O92" s="88">
        <f>IFERROR(_xlfn.XLOOKUP($A92,CFR20252026_BenchMarkDataReport!$B:$B,CFR20252026_BenchMarkDataReport!AD:AD),0)</f>
        <v>0</v>
      </c>
      <c r="P92" s="88">
        <f>IFERROR(_xlfn.XLOOKUP($A92,CFR20252026_BenchMarkDataReport!$B:$B,CFR20252026_BenchMarkDataReport!AE:AE),0)</f>
        <v>275</v>
      </c>
      <c r="Q92" s="88">
        <f>IFERROR(_xlfn.XLOOKUP($A92,CFR20252026_BenchMarkDataReport!$B:$B,CFR20252026_BenchMarkDataReport!AF:AF),0)</f>
        <v>27</v>
      </c>
      <c r="R92" s="88">
        <f>IFERROR(_xlfn.XLOOKUP($A92,CFR20252026_BenchMarkDataReport!$B:$B,CFR20252026_BenchMarkDataReport!AG:AG),0)</f>
        <v>0</v>
      </c>
      <c r="S92" s="88">
        <f>IFERROR(_xlfn.XLOOKUP($A92,CFR20252026_BenchMarkDataReport!$B:$B,CFR20252026_BenchMarkDataReport!AH:AH),0)</f>
        <v>0</v>
      </c>
      <c r="T92" s="88">
        <f>IFERROR(_xlfn.XLOOKUP($A92,CFR20252026_BenchMarkDataReport!$B:$B,CFR20252026_BenchMarkDataReport!AI:AI),0)</f>
        <v>0</v>
      </c>
      <c r="U92" s="88">
        <f>IFERROR(_xlfn.XLOOKUP($A92,CFR20252026_BenchMarkDataReport!$B:$B,CFR20252026_BenchMarkDataReport!AJ:AJ),0)</f>
        <v>574574.31000000006</v>
      </c>
      <c r="V92" s="88">
        <f>IFERROR(_xlfn.XLOOKUP($A92,CFR20252026_BenchMarkDataReport!$B:$B,CFR20252026_BenchMarkDataReport!AK:AK),0)</f>
        <v>0</v>
      </c>
      <c r="W92" s="88">
        <f>IFERROR(_xlfn.XLOOKUP($A92,CFR20252026_BenchMarkDataReport!$B:$B,CFR20252026_BenchMarkDataReport!AL:AL),0)</f>
        <v>44506.53</v>
      </c>
      <c r="X92" s="88">
        <f>IFERROR(_xlfn.XLOOKUP($A92,CFR20252026_BenchMarkDataReport!$B:$B,CFR20252026_BenchMarkDataReport!AM:AM),0)</f>
        <v>0</v>
      </c>
      <c r="Y92" s="88">
        <f>IFERROR(_xlfn.XLOOKUP($A92,CFR20252026_BenchMarkDataReport!$B:$B,CFR20252026_BenchMarkDataReport!AN:AN),0)</f>
        <v>34144.660000000003</v>
      </c>
      <c r="Z92" s="88">
        <f>IFERROR(_xlfn.XLOOKUP($A92,CFR20252026_BenchMarkDataReport!$B:$B,CFR20252026_BenchMarkDataReport!AO:AO),0)</f>
        <v>0</v>
      </c>
      <c r="AA92" s="88">
        <f>IFERROR(_xlfn.XLOOKUP($A92,CFR20252026_BenchMarkDataReport!$B:$B,CFR20252026_BenchMarkDataReport!AP:AP),0)</f>
        <v>11740.72</v>
      </c>
      <c r="AB92" s="88">
        <f>IFERROR(_xlfn.XLOOKUP($A92,CFR20252026_BenchMarkDataReport!$B:$B,CFR20252026_BenchMarkDataReport!AQ:AQ),0)</f>
        <v>2404.3200000000002</v>
      </c>
      <c r="AC92" s="88">
        <f>IFERROR(_xlfn.XLOOKUP($A92,CFR20252026_BenchMarkDataReport!$B:$B,CFR20252026_BenchMarkDataReport!AR:AR),0)</f>
        <v>2150.36</v>
      </c>
      <c r="AD92" s="88">
        <f>IFERROR(_xlfn.XLOOKUP($A92,CFR20252026_BenchMarkDataReport!$B:$B,CFR20252026_BenchMarkDataReport!AS:AS),0)</f>
        <v>0</v>
      </c>
      <c r="AE92" s="88">
        <f>IFERROR(_xlfn.XLOOKUP($A92,CFR20252026_BenchMarkDataReport!$B:$B,CFR20252026_BenchMarkDataReport!AT:AT),0)</f>
        <v>0</v>
      </c>
      <c r="AF92" s="88">
        <f>IFERROR(_xlfn.XLOOKUP($A92,CFR20252026_BenchMarkDataReport!$B:$B,CFR20252026_BenchMarkDataReport!AU:AU),0)</f>
        <v>324.64</v>
      </c>
      <c r="AG92" s="88">
        <f>IFERROR(_xlfn.XLOOKUP($A92,CFR20252026_BenchMarkDataReport!$B:$B,CFR20252026_BenchMarkDataReport!AV:AV),0)</f>
        <v>0</v>
      </c>
      <c r="AH92" s="88">
        <f>IFERROR(_xlfn.XLOOKUP($A92,CFR20252026_BenchMarkDataReport!$B:$B,CFR20252026_BenchMarkDataReport!AW:AW),0)</f>
        <v>13.82</v>
      </c>
      <c r="AI92" s="88">
        <f>IFERROR(_xlfn.XLOOKUP($A92,CFR20252026_BenchMarkDataReport!$B:$B,CFR20252026_BenchMarkDataReport!AX:AX),0)</f>
        <v>0</v>
      </c>
      <c r="AJ92" s="88">
        <f>IFERROR(_xlfn.XLOOKUP($A92,CFR20252026_BenchMarkDataReport!$B:$B,CFR20252026_BenchMarkDataReport!AY:AY),0)</f>
        <v>0</v>
      </c>
      <c r="AK92" s="88">
        <f>IFERROR(_xlfn.XLOOKUP($A92,CFR20252026_BenchMarkDataReport!$B:$B,CFR20252026_BenchMarkDataReport!AZ:AZ),0)</f>
        <v>0</v>
      </c>
      <c r="AL92" s="88">
        <f>IFERROR(_xlfn.XLOOKUP($A92,CFR20252026_BenchMarkDataReport!$B:$B,CFR20252026_BenchMarkDataReport!BA:BA),0)</f>
        <v>298582.38</v>
      </c>
      <c r="AM92" s="88">
        <f>IFERROR(_xlfn.XLOOKUP($A92,CFR20252026_BenchMarkDataReport!$B:$B,CFR20252026_BenchMarkDataReport!BB:BB),0)</f>
        <v>8816.84</v>
      </c>
      <c r="AN92" s="88">
        <f>IFERROR(_xlfn.XLOOKUP($A92,CFR20252026_BenchMarkDataReport!$B:$B,CFR20252026_BenchMarkDataReport!BC:BC),0)</f>
        <v>5279.21</v>
      </c>
      <c r="AO92" s="88">
        <f>IFERROR(_xlfn.XLOOKUP($A92,CFR20252026_BenchMarkDataReport!$B:$B,CFR20252026_BenchMarkDataReport!BD:BD),0)</f>
        <v>0</v>
      </c>
      <c r="AP92" s="88">
        <f>IFERROR(_xlfn.XLOOKUP($A92,CFR20252026_BenchMarkDataReport!$B:$B,CFR20252026_BenchMarkDataReport!BE:BE),0)</f>
        <v>241.47</v>
      </c>
      <c r="AQ92" s="88">
        <f>IFERROR(_xlfn.XLOOKUP($A92,CFR20252026_BenchMarkDataReport!$B:$B,CFR20252026_BenchMarkDataReport!BF:BF),0)</f>
        <v>13406.05</v>
      </c>
      <c r="AR92" s="88">
        <f>IFERROR(_xlfn.XLOOKUP($A92,CFR20252026_BenchMarkDataReport!$B:$B,CFR20252026_BenchMarkDataReport!BG:BG),0)</f>
        <v>0</v>
      </c>
      <c r="AS92" s="88">
        <f>IFERROR(_xlfn.XLOOKUP($A92,CFR20252026_BenchMarkDataReport!$B:$B,CFR20252026_BenchMarkDataReport!BH:BH),0)</f>
        <v>0</v>
      </c>
      <c r="AT92" s="88">
        <f>IFERROR(_xlfn.XLOOKUP($A92,CFR20252026_BenchMarkDataReport!$B:$B,CFR20252026_BenchMarkDataReport!BI:BI),0)</f>
        <v>7237.72</v>
      </c>
      <c r="AU92" s="88">
        <f>IFERROR(_xlfn.XLOOKUP($A92,CFR20252026_BenchMarkDataReport!$B:$B,CFR20252026_BenchMarkDataReport!BJ:BJ),0)</f>
        <v>3931.5</v>
      </c>
      <c r="AV92" s="88">
        <f>IFERROR(_xlfn.XLOOKUP($A92,CFR20252026_BenchMarkDataReport!$B:$B,CFR20252026_BenchMarkDataReport!BK:BK),0)</f>
        <v>4740.1000000000004</v>
      </c>
      <c r="AW92" s="88">
        <f>IFERROR(_xlfn.XLOOKUP($A92,CFR20252026_BenchMarkDataReport!$B:$B,CFR20252026_BenchMarkDataReport!BL:BL),0)</f>
        <v>1458</v>
      </c>
      <c r="AX92" s="88">
        <f>IFERROR(_xlfn.XLOOKUP($A92,CFR20252026_BenchMarkDataReport!$B:$B,CFR20252026_BenchMarkDataReport!BM:BM),0)</f>
        <v>24.7</v>
      </c>
      <c r="AY92" s="88">
        <f>IFERROR(_xlfn.XLOOKUP($A92,CFR20252026_BenchMarkDataReport!$B:$B,CFR20252026_BenchMarkDataReport!BN:BN),0)</f>
        <v>1211.8699999999999</v>
      </c>
      <c r="AZ92" s="88">
        <f>IFERROR(_xlfn.XLOOKUP($A92,CFR20252026_BenchMarkDataReport!$B:$B,CFR20252026_BenchMarkDataReport!BO:BO),0)</f>
        <v>37255.39</v>
      </c>
      <c r="BA92" s="88">
        <f>IFERROR(_xlfn.XLOOKUP($A92,CFR20252026_BenchMarkDataReport!$B:$B,CFR20252026_BenchMarkDataReport!BP:BP),0)</f>
        <v>8436.57</v>
      </c>
      <c r="BB92" s="88">
        <f>IFERROR(_xlfn.XLOOKUP($A92,CFR20252026_BenchMarkDataReport!$B:$B,CFR20252026_BenchMarkDataReport!BQ:BQ),0)</f>
        <v>24907.119999999999</v>
      </c>
      <c r="BC92" s="88">
        <f>IFERROR(_xlfn.XLOOKUP($A92,CFR20252026_BenchMarkDataReport!$B:$B,CFR20252026_BenchMarkDataReport!BR:BR),0)</f>
        <v>0</v>
      </c>
      <c r="BD92" s="88">
        <f>IFERROR(_xlfn.XLOOKUP($A92,CFR20252026_BenchMarkDataReport!$B:$B,CFR20252026_BenchMarkDataReport!BS:BS),0)</f>
        <v>0</v>
      </c>
      <c r="BE92" s="88">
        <f>IFERROR(_xlfn.XLOOKUP($A92,CFR20252026_BenchMarkDataReport!$B:$B,CFR20252026_BenchMarkDataReport!BT:BT),0)</f>
        <v>0</v>
      </c>
      <c r="BF92" s="88">
        <f>IFERROR(_xlfn.XLOOKUP($A92,CFR20252026_BenchMarkDataReport!$B:$B,CFR20252026_BenchMarkDataReport!BU:BU),0)</f>
        <v>0</v>
      </c>
      <c r="BG92" s="88">
        <f>IFERROR(_xlfn.XLOOKUP($A92,CFR20252026_BenchMarkDataReport!$B:$B,CFR20252026_BenchMarkDataReport!BV:BV),0)</f>
        <v>0</v>
      </c>
      <c r="BH92" s="89">
        <f>SUM(D92:R92)</f>
        <v>1090264.67</v>
      </c>
      <c r="BI92" s="90">
        <f>SUM(U92:BE92)</f>
        <v>1085388.28</v>
      </c>
      <c r="BJ92" s="124">
        <f>BH92-BI92</f>
        <v>4876.3899999998976</v>
      </c>
      <c r="BK92" s="88">
        <f>IFERROR(_xlfn.XLOOKUP(A92,CFR20252026_BenchMarkDataReport!$B:$B,CFR20252026_BenchMarkDataReport!P:P)+_xlfn.XLOOKUP(A92,CFR20252026_BenchMarkDataReport!$B:$B,CFR20252026_BenchMarkDataReport!Q:Q),0)</f>
        <v>-147643.39000000001</v>
      </c>
      <c r="BL92" s="89">
        <f t="shared" si="225"/>
        <v>-142767.00000000012</v>
      </c>
      <c r="BM92" s="91">
        <f>SUMIFS(PP!I:I,PP!E:E,A92)</f>
        <v>7</v>
      </c>
      <c r="BN92" s="90">
        <f>D92+E92+F92</f>
        <v>655694.66999999993</v>
      </c>
      <c r="BO92" t="s">
        <v>304</v>
      </c>
      <c r="BP92" s="92">
        <f>IFERROR(D92/BH92,0)</f>
        <v>0.53995647680668224</v>
      </c>
      <c r="BQ92" s="93">
        <f>D92/BM92</f>
        <v>84099.352857142847</v>
      </c>
      <c r="BR92" s="94">
        <f>E92/BH92</f>
        <v>0</v>
      </c>
      <c r="BS92" s="95">
        <f>E92/BM92</f>
        <v>0</v>
      </c>
      <c r="BT92" s="92">
        <f>F92/BH92</f>
        <v>6.1452234345996004E-2</v>
      </c>
      <c r="BU92" s="93">
        <f>F92/BM92</f>
        <v>9571.3142857142848</v>
      </c>
      <c r="BV92" s="94">
        <f>G92/BH92</f>
        <v>0</v>
      </c>
      <c r="BW92" s="95">
        <f>G92/BM92</f>
        <v>0</v>
      </c>
      <c r="BX92" s="92">
        <f>H92/BH92</f>
        <v>4.7236236683703605E-3</v>
      </c>
      <c r="BY92" s="93">
        <f>H92/BM92</f>
        <v>735.71428571428567</v>
      </c>
      <c r="BZ92" s="94">
        <f>I92/BH92</f>
        <v>-4.9593462475492307E-5</v>
      </c>
      <c r="CA92" s="95">
        <f>I92/BM92</f>
        <v>-7.7242857142857142</v>
      </c>
      <c r="CB92" s="92">
        <f>J92/BH92</f>
        <v>2.476462894097082E-3</v>
      </c>
      <c r="CC92" s="93">
        <f>J92/BM92</f>
        <v>385.71428571428572</v>
      </c>
      <c r="CD92" s="94">
        <f>IFERROR((K92+L92)/BH92,0)</f>
        <v>0.39116379878658275</v>
      </c>
      <c r="CE92" s="96">
        <f>IFERROR((K92+L92)/BM92,0)</f>
        <v>60924.58142857143</v>
      </c>
      <c r="CF92" s="97">
        <f>P92/BH92</f>
        <v>2.5223233180618427E-4</v>
      </c>
      <c r="CG92" s="98">
        <f>P92/BM92</f>
        <v>39.285714285714285</v>
      </c>
      <c r="CH92" s="94">
        <f>Q92/BH92</f>
        <v>2.4764628940970822E-5</v>
      </c>
      <c r="CI92" s="95">
        <f>Q92/BM92</f>
        <v>3.8571428571428572</v>
      </c>
      <c r="CJ92" s="99">
        <f>(U92+V92+AZ92)/BN92</f>
        <v>0.93310153032050747</v>
      </c>
      <c r="CK92" s="97">
        <f>(U92+V92+AZ92)/BH92</f>
        <v>0.56117538872464801</v>
      </c>
      <c r="CL92" s="97">
        <f>(U92+V92+AZ92)/BI92</f>
        <v>0.56369661555586359</v>
      </c>
      <c r="CM92" s="98">
        <f>(U92+V92+AZ92)/BM92</f>
        <v>87404.242857142861</v>
      </c>
      <c r="CN92" s="94">
        <f>W92/BN92</f>
        <v>6.7876912893008581E-2</v>
      </c>
      <c r="CO92" s="100">
        <f>W92/BH92</f>
        <v>4.0821766700006888E-2</v>
      </c>
      <c r="CP92" s="100">
        <f>W92/BI92</f>
        <v>4.1005169136338934E-2</v>
      </c>
      <c r="CQ92" s="101">
        <f>W92/BM92</f>
        <v>6358.0757142857137</v>
      </c>
      <c r="CR92" s="99">
        <f>X92/BN92</f>
        <v>0</v>
      </c>
      <c r="CS92" s="97">
        <f>X92/BH92</f>
        <v>0</v>
      </c>
      <c r="CT92" s="97">
        <f>X92/BI92</f>
        <v>0</v>
      </c>
      <c r="CU92" s="98">
        <f>X92/BM92</f>
        <v>0</v>
      </c>
      <c r="CV92" s="94">
        <f>Y92/BN92</f>
        <v>5.2074024027067366E-2</v>
      </c>
      <c r="CW92" s="100">
        <f>Y92/BH92</f>
        <v>3.1317771674652183E-2</v>
      </c>
      <c r="CX92" s="100">
        <f>Y92/BI92</f>
        <v>3.1458474933965572E-2</v>
      </c>
      <c r="CY92" s="95">
        <f>Y92/BM92</f>
        <v>4877.8085714285717</v>
      </c>
      <c r="CZ92" s="99">
        <f>(U92+V92+W92+X92+Y92+Z92+AA92)/BN92</f>
        <v>1.0141400417361943</v>
      </c>
      <c r="DA92" s="97">
        <f>(U92+V92+W92+X92+Y92+Z92+AA92)/BH92</f>
        <v>0.60991265542888784</v>
      </c>
      <c r="DB92" s="97">
        <f>(U92+V92+W92+X92+Y92+Z92+AA92)/BI92</f>
        <v>0.61265284714517099</v>
      </c>
      <c r="DC92" s="98">
        <f>(U92+V92+W92+X92+Y92+Z92+AA92)/BM92</f>
        <v>94995.174285714296</v>
      </c>
      <c r="DD92" s="94">
        <f>AF92/BN92</f>
        <v>4.9510849310396257E-4</v>
      </c>
      <c r="DE92" s="100">
        <f>AF92/BI92</f>
        <v>2.9910033670162714E-4</v>
      </c>
      <c r="DF92" s="95">
        <f>AF92/BM92</f>
        <v>46.377142857142857</v>
      </c>
      <c r="DG92" s="99">
        <f>AI92/BI92</f>
        <v>0</v>
      </c>
      <c r="DH92" s="98">
        <f>AI92/BM92</f>
        <v>0</v>
      </c>
      <c r="DI92" s="94">
        <f>AJ92/BN92</f>
        <v>0</v>
      </c>
      <c r="DJ92" s="100">
        <f>AJ92/BI92</f>
        <v>0</v>
      </c>
      <c r="DK92" s="95">
        <f>AJ92/BM92</f>
        <v>0</v>
      </c>
      <c r="DL92" s="99">
        <f>AL92/BN92</f>
        <v>0.45536801450589803</v>
      </c>
      <c r="DM92" s="97">
        <f>AL92/BI92</f>
        <v>0.27509268848932106</v>
      </c>
      <c r="DN92" s="102">
        <f>AL92/BM92</f>
        <v>42654.625714285714</v>
      </c>
      <c r="DO92" s="94">
        <f>AM92/BN92</f>
        <v>1.3446563474429343E-2</v>
      </c>
      <c r="DP92" s="100">
        <f>AM92/BH92</f>
        <v>8.0868804085892296E-3</v>
      </c>
      <c r="DQ92" s="100">
        <f>AM92/BI92</f>
        <v>8.1232128285004153E-3</v>
      </c>
      <c r="DR92" s="95">
        <f>AM92/BM92</f>
        <v>1259.5485714285714</v>
      </c>
      <c r="DS92" s="99">
        <f>AV92/BN92</f>
        <v>7.2291269349497702E-3</v>
      </c>
      <c r="DT92" s="97">
        <f>IFERROR(AV92/BI92,0)</f>
        <v>4.3671929090666065E-3</v>
      </c>
      <c r="DU92" s="98">
        <f>AV92/BM92</f>
        <v>677.15714285714296</v>
      </c>
      <c r="DV92" s="94">
        <f>IFERROR(BA92/BN92,0)</f>
        <v>1.2866613663338152E-2</v>
      </c>
      <c r="DW92" s="100">
        <f>IFERROR(BA92/BI92,0)</f>
        <v>7.7728589440822036E-3</v>
      </c>
      <c r="DX92" s="95">
        <f>BA92/BM92</f>
        <v>1205.2242857142858</v>
      </c>
      <c r="DY92" s="99">
        <f>AY92/BI92</f>
        <v>1.1165313117256065E-3</v>
      </c>
      <c r="DZ92" s="98">
        <f>AY92/BM92</f>
        <v>173.12428571428569</v>
      </c>
      <c r="EA92" s="94">
        <f t="shared" si="226"/>
        <v>1.2732770617349949E-5</v>
      </c>
      <c r="EB92" s="95">
        <f t="shared" si="227"/>
        <v>1.9742857142857144</v>
      </c>
      <c r="EC92" s="103">
        <f>IFERROR(VLOOKUP(A92,PP!$E$3:$S$130,14,0),0)</f>
        <v>4</v>
      </c>
    </row>
    <row r="93" spans="1:227">
      <c r="A93" s="130">
        <v>1100</v>
      </c>
      <c r="B93" s="6">
        <v>10188</v>
      </c>
      <c r="C93" s="127" t="s">
        <v>292</v>
      </c>
      <c r="D93" s="88">
        <f>IFERROR(_xlfn.XLOOKUP($A93,CFR20252026_BenchMarkDataReport!$B:$B,CFR20252026_BenchMarkDataReport!S:S),0)</f>
        <v>2427684.2799999998</v>
      </c>
      <c r="E93" s="88">
        <f>IFERROR(_xlfn.XLOOKUP($A93,CFR20252026_BenchMarkDataReport!$B:$B,CFR20252026_BenchMarkDataReport!T:T),0)</f>
        <v>0</v>
      </c>
      <c r="F93" s="88">
        <f>IFERROR(_xlfn.XLOOKUP($A93,CFR20252026_BenchMarkDataReport!$B:$B,CFR20252026_BenchMarkDataReport!U:U),0)</f>
        <v>1115627.8999999999</v>
      </c>
      <c r="G93" s="88">
        <f>IFERROR(_xlfn.XLOOKUP($A93,CFR20252026_BenchMarkDataReport!$B:$B,CFR20252026_BenchMarkDataReport!V:V),0)</f>
        <v>0</v>
      </c>
      <c r="H93" s="88">
        <f>IFERROR(_xlfn.XLOOKUP($A93,CFR20252026_BenchMarkDataReport!$B:$B,CFR20252026_BenchMarkDataReport!W:W),0)</f>
        <v>36990</v>
      </c>
      <c r="I93" s="88">
        <f>IFERROR(_xlfn.XLOOKUP($A93,CFR20252026_BenchMarkDataReport!$B:$B,CFR20252026_BenchMarkDataReport!X:X),0)</f>
        <v>-12375</v>
      </c>
      <c r="J93" s="88">
        <f>IFERROR(_xlfn.XLOOKUP($A93,CFR20252026_BenchMarkDataReport!$B:$B,CFR20252026_BenchMarkDataReport!Y:Y),0)</f>
        <v>57657.11</v>
      </c>
      <c r="K93" s="88">
        <f>IFERROR(_xlfn.XLOOKUP($A93,CFR20252026_BenchMarkDataReport!$B:$B,CFR20252026_BenchMarkDataReport!Z:Z),0)</f>
        <v>0</v>
      </c>
      <c r="L93" s="88">
        <f>IFERROR(_xlfn.XLOOKUP($A93,CFR20252026_BenchMarkDataReport!$B:$B,CFR20252026_BenchMarkDataReport!AA:AA),0)</f>
        <v>271114.37</v>
      </c>
      <c r="M93" s="88">
        <f>IFERROR(_xlfn.XLOOKUP($A93,CFR20252026_BenchMarkDataReport!$B:$B,CFR20252026_BenchMarkDataReport!AB:AB),0)</f>
        <v>2313.5700000000002</v>
      </c>
      <c r="N93" s="88">
        <f>IFERROR(_xlfn.XLOOKUP($A93,CFR20252026_BenchMarkDataReport!$B:$B,CFR20252026_BenchMarkDataReport!AC:AC),0)</f>
        <v>0</v>
      </c>
      <c r="O93" s="88">
        <f>IFERROR(_xlfn.XLOOKUP($A93,CFR20252026_BenchMarkDataReport!$B:$B,CFR20252026_BenchMarkDataReport!AD:AD),0)</f>
        <v>0</v>
      </c>
      <c r="P93" s="88">
        <f>IFERROR(_xlfn.XLOOKUP($A93,CFR20252026_BenchMarkDataReport!$B:$B,CFR20252026_BenchMarkDataReport!AE:AE),0)</f>
        <v>155</v>
      </c>
      <c r="Q93" s="88">
        <f>IFERROR(_xlfn.XLOOKUP($A93,CFR20252026_BenchMarkDataReport!$B:$B,CFR20252026_BenchMarkDataReport!AF:AF),0)</f>
        <v>1025</v>
      </c>
      <c r="R93" s="88">
        <f>IFERROR(_xlfn.XLOOKUP($A93,CFR20252026_BenchMarkDataReport!$B:$B,CFR20252026_BenchMarkDataReport!AG:AG),0)</f>
        <v>0</v>
      </c>
      <c r="S93" s="88">
        <f>IFERROR(_xlfn.XLOOKUP($A93,CFR20252026_BenchMarkDataReport!$B:$B,CFR20252026_BenchMarkDataReport!AH:AH),0)</f>
        <v>0</v>
      </c>
      <c r="T93" s="88">
        <f>IFERROR(_xlfn.XLOOKUP($A93,CFR20252026_BenchMarkDataReport!$B:$B,CFR20252026_BenchMarkDataReport!AI:AI),0)</f>
        <v>0</v>
      </c>
      <c r="U93" s="88">
        <f>IFERROR(_xlfn.XLOOKUP($A93,CFR20252026_BenchMarkDataReport!$B:$B,CFR20252026_BenchMarkDataReport!AJ:AJ),0)</f>
        <v>2150965.23</v>
      </c>
      <c r="V93" s="88">
        <f>IFERROR(_xlfn.XLOOKUP($A93,CFR20252026_BenchMarkDataReport!$B:$B,CFR20252026_BenchMarkDataReport!AK:AK),0)</f>
        <v>145621.92000000001</v>
      </c>
      <c r="W93" s="88">
        <f>IFERROR(_xlfn.XLOOKUP($A93,CFR20252026_BenchMarkDataReport!$B:$B,CFR20252026_BenchMarkDataReport!AL:AL),0)</f>
        <v>533821.31000000006</v>
      </c>
      <c r="X93" s="88">
        <f>IFERROR(_xlfn.XLOOKUP($A93,CFR20252026_BenchMarkDataReport!$B:$B,CFR20252026_BenchMarkDataReport!AM:AM),0)</f>
        <v>53875.44</v>
      </c>
      <c r="Y93" s="88">
        <f>IFERROR(_xlfn.XLOOKUP($A93,CFR20252026_BenchMarkDataReport!$B:$B,CFR20252026_BenchMarkDataReport!AN:AN),0)</f>
        <v>205157.07</v>
      </c>
      <c r="Z93" s="88">
        <f>IFERROR(_xlfn.XLOOKUP($A93,CFR20252026_BenchMarkDataReport!$B:$B,CFR20252026_BenchMarkDataReport!AO:AO),0)</f>
        <v>0</v>
      </c>
      <c r="AA93" s="88">
        <f>IFERROR(_xlfn.XLOOKUP($A93,CFR20252026_BenchMarkDataReport!$B:$B,CFR20252026_BenchMarkDataReport!AP:AP),0)</f>
        <v>0</v>
      </c>
      <c r="AB93" s="88">
        <f>IFERROR(_xlfn.XLOOKUP($A93,CFR20252026_BenchMarkDataReport!$B:$B,CFR20252026_BenchMarkDataReport!AQ:AQ),0)</f>
        <v>29433.61</v>
      </c>
      <c r="AC93" s="88">
        <f>IFERROR(_xlfn.XLOOKUP($A93,CFR20252026_BenchMarkDataReport!$B:$B,CFR20252026_BenchMarkDataReport!AR:AR),0)</f>
        <v>28899.47</v>
      </c>
      <c r="AD93" s="88">
        <f>IFERROR(_xlfn.XLOOKUP($A93,CFR20252026_BenchMarkDataReport!$B:$B,CFR20252026_BenchMarkDataReport!AS:AS),0)</f>
        <v>0</v>
      </c>
      <c r="AE93" s="88">
        <f>IFERROR(_xlfn.XLOOKUP($A93,CFR20252026_BenchMarkDataReport!$B:$B,CFR20252026_BenchMarkDataReport!AT:AT),0)</f>
        <v>0</v>
      </c>
      <c r="AF93" s="88">
        <f>IFERROR(_xlfn.XLOOKUP($A93,CFR20252026_BenchMarkDataReport!$B:$B,CFR20252026_BenchMarkDataReport!AU:AU),0)</f>
        <v>4834.26</v>
      </c>
      <c r="AG93" s="88">
        <f>IFERROR(_xlfn.XLOOKUP($A93,CFR20252026_BenchMarkDataReport!$B:$B,CFR20252026_BenchMarkDataReport!AV:AV),0)</f>
        <v>2050</v>
      </c>
      <c r="AH93" s="88">
        <f>IFERROR(_xlfn.XLOOKUP($A93,CFR20252026_BenchMarkDataReport!$B:$B,CFR20252026_BenchMarkDataReport!AW:AW),0)</f>
        <v>40190.01</v>
      </c>
      <c r="AI93" s="88">
        <f>IFERROR(_xlfn.XLOOKUP($A93,CFR20252026_BenchMarkDataReport!$B:$B,CFR20252026_BenchMarkDataReport!AX:AX),0)</f>
        <v>671.27</v>
      </c>
      <c r="AJ93" s="88">
        <f>IFERROR(_xlfn.XLOOKUP($A93,CFR20252026_BenchMarkDataReport!$B:$B,CFR20252026_BenchMarkDataReport!AY:AY),0)</f>
        <v>58115.44</v>
      </c>
      <c r="AK93" s="88">
        <f>IFERROR(_xlfn.XLOOKUP($A93,CFR20252026_BenchMarkDataReport!$B:$B,CFR20252026_BenchMarkDataReport!AZ:AZ),0)</f>
        <v>0</v>
      </c>
      <c r="AL93" s="88">
        <f>IFERROR(_xlfn.XLOOKUP($A93,CFR20252026_BenchMarkDataReport!$B:$B,CFR20252026_BenchMarkDataReport!BA:BA),0)</f>
        <v>9516.9500000000007</v>
      </c>
      <c r="AM93" s="88">
        <f>IFERROR(_xlfn.XLOOKUP($A93,CFR20252026_BenchMarkDataReport!$B:$B,CFR20252026_BenchMarkDataReport!BB:BB),0)</f>
        <v>58118.62</v>
      </c>
      <c r="AN93" s="88">
        <f>IFERROR(_xlfn.XLOOKUP($A93,CFR20252026_BenchMarkDataReport!$B:$B,CFR20252026_BenchMarkDataReport!BC:BC),0)</f>
        <v>38376.080000000002</v>
      </c>
      <c r="AO93" s="88">
        <f>IFERROR(_xlfn.XLOOKUP($A93,CFR20252026_BenchMarkDataReport!$B:$B,CFR20252026_BenchMarkDataReport!BD:BD),0)</f>
        <v>0</v>
      </c>
      <c r="AP93" s="88">
        <f>IFERROR(_xlfn.XLOOKUP($A93,CFR20252026_BenchMarkDataReport!$B:$B,CFR20252026_BenchMarkDataReport!BE:BE),0)</f>
        <v>0</v>
      </c>
      <c r="AQ93" s="88">
        <f>IFERROR(_xlfn.XLOOKUP($A93,CFR20252026_BenchMarkDataReport!$B:$B,CFR20252026_BenchMarkDataReport!BF:BF),0)</f>
        <v>0</v>
      </c>
      <c r="AR93" s="88">
        <f>IFERROR(_xlfn.XLOOKUP($A93,CFR20252026_BenchMarkDataReport!$B:$B,CFR20252026_BenchMarkDataReport!BG:BG),0)</f>
        <v>0</v>
      </c>
      <c r="AS93" s="88">
        <f>IFERROR(_xlfn.XLOOKUP($A93,CFR20252026_BenchMarkDataReport!$B:$B,CFR20252026_BenchMarkDataReport!BH:BH),0)</f>
        <v>0</v>
      </c>
      <c r="AT93" s="88">
        <f>IFERROR(_xlfn.XLOOKUP($A93,CFR20252026_BenchMarkDataReport!$B:$B,CFR20252026_BenchMarkDataReport!BI:BI),0)</f>
        <v>0</v>
      </c>
      <c r="AU93" s="88">
        <f>IFERROR(_xlfn.XLOOKUP($A93,CFR20252026_BenchMarkDataReport!$B:$B,CFR20252026_BenchMarkDataReport!BJ:BJ),0)</f>
        <v>10162.780000000001</v>
      </c>
      <c r="AV93" s="88">
        <f>IFERROR(_xlfn.XLOOKUP($A93,CFR20252026_BenchMarkDataReport!$B:$B,CFR20252026_BenchMarkDataReport!BK:BK),0)</f>
        <v>27372.32</v>
      </c>
      <c r="AW93" s="88">
        <f>IFERROR(_xlfn.XLOOKUP($A93,CFR20252026_BenchMarkDataReport!$B:$B,CFR20252026_BenchMarkDataReport!BL:BL),0)</f>
        <v>5515.25</v>
      </c>
      <c r="AX93" s="88">
        <f>IFERROR(_xlfn.XLOOKUP($A93,CFR20252026_BenchMarkDataReport!$B:$B,CFR20252026_BenchMarkDataReport!BM:BM),0)</f>
        <v>3902.35</v>
      </c>
      <c r="AY93" s="88">
        <f>IFERROR(_xlfn.XLOOKUP($A93,CFR20252026_BenchMarkDataReport!$B:$B,CFR20252026_BenchMarkDataReport!BN:BN),0)</f>
        <v>44233.45</v>
      </c>
      <c r="AZ93" s="88">
        <f>IFERROR(_xlfn.XLOOKUP($A93,CFR20252026_BenchMarkDataReport!$B:$B,CFR20252026_BenchMarkDataReport!BO:BO),0)</f>
        <v>157994.85</v>
      </c>
      <c r="BA93" s="88">
        <f>IFERROR(_xlfn.XLOOKUP($A93,CFR20252026_BenchMarkDataReport!$B:$B,CFR20252026_BenchMarkDataReport!BP:BP),0)</f>
        <v>236223.48</v>
      </c>
      <c r="BB93" s="88">
        <f>IFERROR(_xlfn.XLOOKUP($A93,CFR20252026_BenchMarkDataReport!$B:$B,CFR20252026_BenchMarkDataReport!BQ:BQ),0)</f>
        <v>70015.070000000007</v>
      </c>
      <c r="BC93" s="88">
        <f>IFERROR(_xlfn.XLOOKUP($A93,CFR20252026_BenchMarkDataReport!$B:$B,CFR20252026_BenchMarkDataReport!BR:BR),0)</f>
        <v>0</v>
      </c>
      <c r="BD93" s="88">
        <f>IFERROR(_xlfn.XLOOKUP($A93,CFR20252026_BenchMarkDataReport!$B:$B,CFR20252026_BenchMarkDataReport!BS:BS),0)</f>
        <v>0</v>
      </c>
      <c r="BE93" s="88">
        <f>IFERROR(_xlfn.XLOOKUP($A93,CFR20252026_BenchMarkDataReport!$B:$B,CFR20252026_BenchMarkDataReport!BT:BT),0)</f>
        <v>0</v>
      </c>
      <c r="BF93" s="88">
        <f>IFERROR(_xlfn.XLOOKUP($A93,CFR20252026_BenchMarkDataReport!$B:$B,CFR20252026_BenchMarkDataReport!BU:BU),0)</f>
        <v>0</v>
      </c>
      <c r="BG93" s="88">
        <f>IFERROR(_xlfn.XLOOKUP($A93,CFR20252026_BenchMarkDataReport!$B:$B,CFR20252026_BenchMarkDataReport!BV:BV),0)</f>
        <v>0</v>
      </c>
      <c r="BH93" s="89">
        <f t="shared" si="228"/>
        <v>3900192.2299999995</v>
      </c>
      <c r="BI93" s="90">
        <f>SUM(U93:BE93)</f>
        <v>3915066.2299999995</v>
      </c>
      <c r="BJ93" s="124">
        <f>BH93-BI93</f>
        <v>-14874</v>
      </c>
      <c r="BK93" s="88">
        <f>IFERROR(_xlfn.XLOOKUP(A93,CFR20252026_BenchMarkDataReport!$B:$B,CFR20252026_BenchMarkDataReport!P:P)+_xlfn.XLOOKUP(A93,CFR20252026_BenchMarkDataReport!$B:$B,CFR20252026_BenchMarkDataReport!Q:Q),0)</f>
        <v>503848</v>
      </c>
      <c r="BL93" s="89">
        <f t="shared" si="225"/>
        <v>488974</v>
      </c>
      <c r="BM93" s="91">
        <f>SUMIFS(PP!I:I,PP!E:E,A93)</f>
        <v>48</v>
      </c>
      <c r="BN93" s="90">
        <f>D93+E93+F93</f>
        <v>3543312.1799999997</v>
      </c>
      <c r="BO93" t="s">
        <v>304</v>
      </c>
      <c r="BP93" s="92">
        <f>IFERROR(D93/BH93,0)</f>
        <v>0.62245246819539457</v>
      </c>
      <c r="BQ93" s="93">
        <f>D93/BM93</f>
        <v>50576.755833333329</v>
      </c>
      <c r="BR93" s="94">
        <f>E93/BH93</f>
        <v>0</v>
      </c>
      <c r="BS93" s="95">
        <f>E93/BM93</f>
        <v>0</v>
      </c>
      <c r="BT93" s="92">
        <f>F93/BH93</f>
        <v>0.28604433684541752</v>
      </c>
      <c r="BU93" s="93">
        <f>F93/BM93</f>
        <v>23242.247916666664</v>
      </c>
      <c r="BV93" s="94">
        <f>G93/BH93</f>
        <v>0</v>
      </c>
      <c r="BW93" s="95">
        <f>G93/BM93</f>
        <v>0</v>
      </c>
      <c r="BX93" s="92">
        <f>H93/BH93</f>
        <v>9.4841479133965668E-3</v>
      </c>
      <c r="BY93" s="93">
        <f>H93/BM93</f>
        <v>770.625</v>
      </c>
      <c r="BZ93" s="94">
        <f>I93/BH93</f>
        <v>-3.1729205306375379E-3</v>
      </c>
      <c r="CA93" s="95">
        <f>I93/BM93</f>
        <v>-257.8125</v>
      </c>
      <c r="CB93" s="92">
        <f>J93/BH93</f>
        <v>1.4783145701513284E-2</v>
      </c>
      <c r="CC93" s="93">
        <f>J93/BM93</f>
        <v>1201.1897916666667</v>
      </c>
      <c r="CD93" s="94">
        <f>IFERROR((K93+L93)/BH93,0)</f>
        <v>6.9513078846372658E-2</v>
      </c>
      <c r="CE93" s="96">
        <f>IFERROR((K93+L93)/BM93,0)</f>
        <v>5648.2160416666666</v>
      </c>
      <c r="CF93" s="97">
        <f>P93/BH93</f>
        <v>3.9741630888793401E-5</v>
      </c>
      <c r="CG93" s="98">
        <f>P93/BM93</f>
        <v>3.2291666666666665</v>
      </c>
      <c r="CH93" s="94">
        <f>Q93/BH93</f>
        <v>2.6280755910331122E-4</v>
      </c>
      <c r="CI93" s="95">
        <f>Q93/BM93</f>
        <v>21.354166666666668</v>
      </c>
      <c r="CJ93" s="99">
        <f>(U93+V93+AZ93)/BN93</f>
        <v>0.69273659088090855</v>
      </c>
      <c r="CK93" s="97">
        <f>(U93+V93+AZ93)/BH93</f>
        <v>0.62934897955016955</v>
      </c>
      <c r="CL93" s="97">
        <f>(U93+V93+AZ93)/BI93</f>
        <v>0.62695797613620452</v>
      </c>
      <c r="CM93" s="98">
        <f>(U93+V93+AZ93)/BM93</f>
        <v>51137.125</v>
      </c>
      <c r="CN93" s="94">
        <f>W93/BN93</f>
        <v>0.1506560198147712</v>
      </c>
      <c r="CO93" s="100">
        <f>W93/BH93</f>
        <v>0.13687051266188491</v>
      </c>
      <c r="CP93" s="100">
        <f>W93/BI93</f>
        <v>0.13635051839212439</v>
      </c>
      <c r="CQ93" s="101">
        <f>W93/BM93</f>
        <v>11121.277291666667</v>
      </c>
      <c r="CR93" s="99">
        <f>X93/BN93</f>
        <v>1.5204824543571548E-2</v>
      </c>
      <c r="CS93" s="97">
        <f>X93/BH93</f>
        <v>1.3813534519040875E-2</v>
      </c>
      <c r="CT93" s="97">
        <f>X93/BI93</f>
        <v>1.3761054560755159E-2</v>
      </c>
      <c r="CU93" s="98">
        <f>X93/BM93</f>
        <v>1122.405</v>
      </c>
      <c r="CV93" s="94">
        <f>Y93/BN93</f>
        <v>5.7899800970966107E-2</v>
      </c>
      <c r="CW93" s="100">
        <f>Y93/BH93</f>
        <v>5.2601784194621616E-2</v>
      </c>
      <c r="CX93" s="100">
        <f>Y93/BI93</f>
        <v>5.2401941103305427E-2</v>
      </c>
      <c r="CY93" s="95">
        <f>Y93/BM93</f>
        <v>4274.1056250000001</v>
      </c>
      <c r="CZ93" s="99">
        <f>(U93+V93+W93+X93+Y93+Z93+AA93)/BN93</f>
        <v>0.87190764263960507</v>
      </c>
      <c r="DA93" s="97">
        <f>(U93+V93+W93+X93+Y93+Z93+AA93)/BH93</f>
        <v>0.79212530762874733</v>
      </c>
      <c r="DB93" s="97">
        <f>(U93+V93+W93+X93+Y93+Z93+AA93)/BI93</f>
        <v>0.78911588936261756</v>
      </c>
      <c r="DC93" s="98">
        <f>(U93+V93+W93+X93+Y93+Z93+AA93)/BM93</f>
        <v>64363.353541666664</v>
      </c>
      <c r="DD93" s="94">
        <f>AF93/BN93</f>
        <v>1.3643336388158721E-3</v>
      </c>
      <c r="DE93" s="100">
        <f>AF93/BI93</f>
        <v>1.2347837088824934E-3</v>
      </c>
      <c r="DF93" s="95">
        <f>AF93/BM93</f>
        <v>100.71375</v>
      </c>
      <c r="DG93" s="99">
        <f>AI93/BI93</f>
        <v>1.7145814669909174E-4</v>
      </c>
      <c r="DH93" s="98">
        <f>AI93/BM93</f>
        <v>13.984791666666666</v>
      </c>
      <c r="DI93" s="94">
        <f>AJ93/BN93</f>
        <v>1.6401445045691687E-2</v>
      </c>
      <c r="DJ93" s="100">
        <f>AJ93/BI93</f>
        <v>1.4844050288262942E-2</v>
      </c>
      <c r="DK93" s="95">
        <f>AJ93/BM93</f>
        <v>1210.7383333333335</v>
      </c>
      <c r="DL93" s="99">
        <f>AL93/BN93</f>
        <v>2.685890916899115E-3</v>
      </c>
      <c r="DM93" s="97">
        <f>AL93/BI93</f>
        <v>2.4308528747417901E-3</v>
      </c>
      <c r="DN93" s="102">
        <f>AL93/BM93</f>
        <v>198.26979166666669</v>
      </c>
      <c r="DO93" s="94">
        <f>AM93/BN93</f>
        <v>1.6402342511068275E-2</v>
      </c>
      <c r="DP93" s="100">
        <f>AM93/BH93</f>
        <v>1.490147576649062E-2</v>
      </c>
      <c r="DQ93" s="100">
        <f>AM93/BI93</f>
        <v>1.4844862535058572E-2</v>
      </c>
      <c r="DR93" s="95">
        <f>AM93/BM93</f>
        <v>1210.8045833333333</v>
      </c>
      <c r="DS93" s="99">
        <f>AV93/BN93</f>
        <v>7.7250658732530876E-3</v>
      </c>
      <c r="DT93" s="97">
        <f>IFERROR(AV93/BI93,0)</f>
        <v>6.9915343424471268E-3</v>
      </c>
      <c r="DU93" s="98">
        <f>AV93/BM93</f>
        <v>570.25666666666666</v>
      </c>
      <c r="DV93" s="94">
        <f>IFERROR(BA93/BN93,0)</f>
        <v>6.6667419634473202E-2</v>
      </c>
      <c r="DW93" s="100">
        <f>IFERROR(BA93/BI93,0)</f>
        <v>6.033703291910851E-2</v>
      </c>
      <c r="DX93" s="95">
        <f>BA93/BM93</f>
        <v>4921.3225000000002</v>
      </c>
      <c r="DY93" s="99">
        <f>AY93/BI93</f>
        <v>1.1298263528992715E-2</v>
      </c>
      <c r="DZ93" s="98">
        <f>AY93/BM93</f>
        <v>921.53020833333323</v>
      </c>
      <c r="EA93" s="94">
        <f t="shared" si="226"/>
        <v>1.0265473848701662E-2</v>
      </c>
      <c r="EB93" s="95">
        <f t="shared" si="227"/>
        <v>837.291875</v>
      </c>
      <c r="EC93" s="103">
        <f>IFERROR(VLOOKUP(A93,PP!$E$3:$S$130,14,0),0)</f>
        <v>34</v>
      </c>
    </row>
    <row r="94" spans="1:227" ht="16.2" thickBot="1">
      <c r="A94" s="105">
        <v>8999</v>
      </c>
      <c r="B94" s="106"/>
      <c r="C94" s="131" t="s">
        <v>302</v>
      </c>
      <c r="D94" s="108">
        <f t="shared" ref="D94:BG94" si="353">AVERAGE(D92:D93)</f>
        <v>1508189.875</v>
      </c>
      <c r="E94" s="108">
        <f t="shared" si="353"/>
        <v>0</v>
      </c>
      <c r="F94" s="108">
        <f t="shared" si="353"/>
        <v>591313.54999999993</v>
      </c>
      <c r="G94" s="108">
        <f t="shared" si="353"/>
        <v>0</v>
      </c>
      <c r="H94" s="108">
        <f t="shared" si="353"/>
        <v>21070</v>
      </c>
      <c r="I94" s="108">
        <f t="shared" si="353"/>
        <v>-6214.5349999999999</v>
      </c>
      <c r="J94" s="108">
        <f t="shared" si="353"/>
        <v>30178.555</v>
      </c>
      <c r="K94" s="108">
        <f>AVERAGE(K92:K93)</f>
        <v>0</v>
      </c>
      <c r="L94" s="108">
        <f t="shared" si="353"/>
        <v>348793.22</v>
      </c>
      <c r="M94" s="108">
        <f t="shared" si="353"/>
        <v>1156.7850000000001</v>
      </c>
      <c r="N94" s="108">
        <f t="shared" si="353"/>
        <v>0</v>
      </c>
      <c r="O94" s="108">
        <f t="shared" si="353"/>
        <v>0</v>
      </c>
      <c r="P94" s="108">
        <f t="shared" si="353"/>
        <v>215</v>
      </c>
      <c r="Q94" s="108">
        <f t="shared" si="353"/>
        <v>526</v>
      </c>
      <c r="R94" s="108">
        <f t="shared" si="353"/>
        <v>0</v>
      </c>
      <c r="S94" s="108">
        <f t="shared" si="353"/>
        <v>0</v>
      </c>
      <c r="T94" s="108">
        <f t="shared" si="353"/>
        <v>0</v>
      </c>
      <c r="U94" s="108">
        <f t="shared" si="353"/>
        <v>1362769.77</v>
      </c>
      <c r="V94" s="108">
        <f t="shared" si="353"/>
        <v>72810.960000000006</v>
      </c>
      <c r="W94" s="108">
        <f t="shared" si="353"/>
        <v>289163.92000000004</v>
      </c>
      <c r="X94" s="108">
        <f>AVERAGE(X92:X93)</f>
        <v>26937.72</v>
      </c>
      <c r="Y94" s="108">
        <f t="shared" si="353"/>
        <v>119650.86500000001</v>
      </c>
      <c r="Z94" s="108">
        <f t="shared" si="353"/>
        <v>0</v>
      </c>
      <c r="AA94" s="108">
        <f t="shared" si="353"/>
        <v>5870.36</v>
      </c>
      <c r="AB94" s="108">
        <f t="shared" si="353"/>
        <v>15918.965</v>
      </c>
      <c r="AC94" s="108">
        <f t="shared" si="353"/>
        <v>15524.915000000001</v>
      </c>
      <c r="AD94" s="108">
        <f t="shared" si="353"/>
        <v>0</v>
      </c>
      <c r="AE94" s="108">
        <f t="shared" si="353"/>
        <v>0</v>
      </c>
      <c r="AF94" s="108">
        <f t="shared" si="353"/>
        <v>2579.4500000000003</v>
      </c>
      <c r="AG94" s="108">
        <f t="shared" si="353"/>
        <v>1025</v>
      </c>
      <c r="AH94" s="108">
        <f t="shared" si="353"/>
        <v>20101.915000000001</v>
      </c>
      <c r="AI94" s="108">
        <f t="shared" si="353"/>
        <v>335.63499999999999</v>
      </c>
      <c r="AJ94" s="108">
        <f t="shared" si="353"/>
        <v>29057.72</v>
      </c>
      <c r="AK94" s="108">
        <f t="shared" si="353"/>
        <v>0</v>
      </c>
      <c r="AL94" s="108">
        <f t="shared" si="353"/>
        <v>154049.66500000001</v>
      </c>
      <c r="AM94" s="108">
        <f t="shared" si="353"/>
        <v>33467.730000000003</v>
      </c>
      <c r="AN94" s="108">
        <f t="shared" si="353"/>
        <v>21827.645</v>
      </c>
      <c r="AO94" s="108"/>
      <c r="AP94" s="108"/>
      <c r="AQ94" s="108"/>
      <c r="AR94" s="108"/>
      <c r="AS94" s="108"/>
      <c r="AT94" s="108"/>
      <c r="AU94" s="108">
        <f t="shared" si="353"/>
        <v>7047.14</v>
      </c>
      <c r="AV94" s="108">
        <f t="shared" si="353"/>
        <v>16056.21</v>
      </c>
      <c r="AW94" s="108">
        <f t="shared" si="353"/>
        <v>3486.625</v>
      </c>
      <c r="AX94" s="108">
        <f t="shared" si="353"/>
        <v>1963.5249999999999</v>
      </c>
      <c r="AY94" s="108">
        <f t="shared" si="353"/>
        <v>22722.66</v>
      </c>
      <c r="AZ94" s="108">
        <f t="shared" si="353"/>
        <v>97625.12</v>
      </c>
      <c r="BA94" s="108">
        <f t="shared" si="353"/>
        <v>122330.02500000001</v>
      </c>
      <c r="BB94" s="108">
        <f t="shared" si="353"/>
        <v>47461.095000000001</v>
      </c>
      <c r="BC94" s="108">
        <f>AVERAGE(BC92:BC93)</f>
        <v>0</v>
      </c>
      <c r="BD94" s="108">
        <f t="shared" si="353"/>
        <v>0</v>
      </c>
      <c r="BE94" s="108">
        <f t="shared" si="353"/>
        <v>0</v>
      </c>
      <c r="BF94" s="108">
        <f t="shared" si="353"/>
        <v>0</v>
      </c>
      <c r="BG94" s="108">
        <f t="shared" si="353"/>
        <v>0</v>
      </c>
      <c r="BH94" s="108">
        <f t="shared" ref="BH94:BN94" si="354">AVERAGE(BH92:BH93)</f>
        <v>2495228.4499999997</v>
      </c>
      <c r="BI94" s="108">
        <f t="shared" si="354"/>
        <v>2500227.2549999999</v>
      </c>
      <c r="BJ94" s="108">
        <f t="shared" si="354"/>
        <v>-4998.8050000000512</v>
      </c>
      <c r="BK94" s="108">
        <f t="shared" si="354"/>
        <v>178102.30499999999</v>
      </c>
      <c r="BL94" s="108">
        <f t="shared" si="354"/>
        <v>173103.49999999994</v>
      </c>
      <c r="BM94" s="132">
        <f t="shared" si="354"/>
        <v>27.5</v>
      </c>
      <c r="BN94" s="108">
        <f t="shared" si="354"/>
        <v>2099503.4249999998</v>
      </c>
      <c r="BO94" t="s">
        <v>304</v>
      </c>
      <c r="BP94" s="133">
        <f t="shared" ref="BP94:DE94" si="355">AVERAGE(BP92:BP93)</f>
        <v>0.58120447250103835</v>
      </c>
      <c r="BQ94" s="134">
        <f t="shared" si="355"/>
        <v>67338.054345238081</v>
      </c>
      <c r="BR94" s="135">
        <f t="shared" si="355"/>
        <v>0</v>
      </c>
      <c r="BS94" s="136">
        <f t="shared" si="355"/>
        <v>0</v>
      </c>
      <c r="BT94" s="133">
        <f t="shared" si="355"/>
        <v>0.17374828559570676</v>
      </c>
      <c r="BU94" s="134">
        <f t="shared" si="355"/>
        <v>16406.781101190474</v>
      </c>
      <c r="BV94" s="135">
        <f t="shared" si="355"/>
        <v>0</v>
      </c>
      <c r="BW94" s="136">
        <f t="shared" si="355"/>
        <v>0</v>
      </c>
      <c r="BX94" s="133">
        <f t="shared" si="355"/>
        <v>7.1038857908834636E-3</v>
      </c>
      <c r="BY94" s="134">
        <f t="shared" si="355"/>
        <v>753.16964285714289</v>
      </c>
      <c r="BZ94" s="135">
        <f t="shared" si="355"/>
        <v>-1.6112569965565152E-3</v>
      </c>
      <c r="CA94" s="136">
        <f t="shared" si="355"/>
        <v>-132.76839285714286</v>
      </c>
      <c r="CB94" s="133">
        <f t="shared" si="355"/>
        <v>8.6298042978051829E-3</v>
      </c>
      <c r="CC94" s="134">
        <f t="shared" si="355"/>
        <v>793.45203869047623</v>
      </c>
      <c r="CD94" s="135">
        <f t="shared" si="355"/>
        <v>0.2303384388164777</v>
      </c>
      <c r="CE94" s="137">
        <f t="shared" si="355"/>
        <v>33286.398735119044</v>
      </c>
      <c r="CF94" s="138">
        <f t="shared" si="355"/>
        <v>1.4598698134748883E-4</v>
      </c>
      <c r="CG94" s="139">
        <f t="shared" si="355"/>
        <v>21.257440476190474</v>
      </c>
      <c r="CH94" s="135">
        <f t="shared" si="355"/>
        <v>1.4378609402214103E-4</v>
      </c>
      <c r="CI94" s="140">
        <f t="shared" si="355"/>
        <v>12.605654761904763</v>
      </c>
      <c r="CJ94" s="141">
        <f t="shared" si="355"/>
        <v>0.81291906060070795</v>
      </c>
      <c r="CK94" s="138">
        <f t="shared" si="355"/>
        <v>0.59526218413740883</v>
      </c>
      <c r="CL94" s="138">
        <f t="shared" si="355"/>
        <v>0.59532729584603405</v>
      </c>
      <c r="CM94" s="139">
        <f t="shared" si="355"/>
        <v>69270.683928571438</v>
      </c>
      <c r="CN94" s="135">
        <f t="shared" si="355"/>
        <v>0.1092664663538899</v>
      </c>
      <c r="CO94" s="142">
        <f t="shared" si="355"/>
        <v>8.8846139680945901E-2</v>
      </c>
      <c r="CP94" s="142">
        <f t="shared" si="355"/>
        <v>8.8677843764231656E-2</v>
      </c>
      <c r="CQ94" s="143">
        <f t="shared" si="355"/>
        <v>8739.67650297619</v>
      </c>
      <c r="CR94" s="141">
        <f t="shared" si="355"/>
        <v>7.6024122717857738E-3</v>
      </c>
      <c r="CS94" s="138">
        <f t="shared" si="355"/>
        <v>6.9067672595204375E-3</v>
      </c>
      <c r="CT94" s="138">
        <f t="shared" si="355"/>
        <v>6.8805272803775797E-3</v>
      </c>
      <c r="CU94" s="139">
        <f t="shared" si="355"/>
        <v>561.20249999999999</v>
      </c>
      <c r="CV94" s="135">
        <f t="shared" si="355"/>
        <v>5.4986912499016737E-2</v>
      </c>
      <c r="CW94" s="142">
        <f t="shared" si="355"/>
        <v>4.1959777934636899E-2</v>
      </c>
      <c r="CX94" s="142">
        <f t="shared" si="355"/>
        <v>4.1930208018635499E-2</v>
      </c>
      <c r="CY94" s="140">
        <f t="shared" si="355"/>
        <v>4575.9570982142859</v>
      </c>
      <c r="CZ94" s="141">
        <f t="shared" si="355"/>
        <v>0.9430238421878997</v>
      </c>
      <c r="DA94" s="138">
        <f t="shared" si="355"/>
        <v>0.70101898152881759</v>
      </c>
      <c r="DB94" s="138">
        <f t="shared" si="355"/>
        <v>0.70088436825389433</v>
      </c>
      <c r="DC94" s="139">
        <f t="shared" si="355"/>
        <v>79679.263913690476</v>
      </c>
      <c r="DD94" s="135">
        <f t="shared" si="355"/>
        <v>9.2972106595991732E-4</v>
      </c>
      <c r="DE94" s="142">
        <f t="shared" si="355"/>
        <v>7.6694202279206029E-4</v>
      </c>
      <c r="DF94" s="140">
        <f t="shared" ref="DF94:DN94" si="356">AVERAGE(DF92:DF93)</f>
        <v>73.545446428571438</v>
      </c>
      <c r="DG94" s="141">
        <f t="shared" si="356"/>
        <v>8.5729073349545871E-5</v>
      </c>
      <c r="DH94" s="139">
        <f t="shared" si="356"/>
        <v>6.9923958333333331</v>
      </c>
      <c r="DI94" s="135">
        <f t="shared" si="356"/>
        <v>8.2007225228458436E-3</v>
      </c>
      <c r="DJ94" s="142">
        <f t="shared" si="356"/>
        <v>7.4220251441314711E-3</v>
      </c>
      <c r="DK94" s="140">
        <f t="shared" si="356"/>
        <v>605.36916666666673</v>
      </c>
      <c r="DL94" s="141">
        <f t="shared" si="356"/>
        <v>0.22902695271139858</v>
      </c>
      <c r="DM94" s="138">
        <f t="shared" si="356"/>
        <v>0.13876177068203144</v>
      </c>
      <c r="DN94" s="139">
        <f t="shared" si="356"/>
        <v>21426.44775297619</v>
      </c>
      <c r="DO94" s="135">
        <f t="shared" ref="DO94:EC94" si="357">AVERAGE(DO92:DO93)</f>
        <v>1.4924452992748808E-2</v>
      </c>
      <c r="DP94" s="142">
        <f t="shared" si="357"/>
        <v>1.1494178087539924E-2</v>
      </c>
      <c r="DQ94" s="142">
        <f t="shared" si="357"/>
        <v>1.1484037681779493E-2</v>
      </c>
      <c r="DR94" s="140">
        <f t="shared" si="357"/>
        <v>1235.1765773809525</v>
      </c>
      <c r="DS94" s="141">
        <f>AVERAGE(DS92:DS93)</f>
        <v>7.4770964041014285E-3</v>
      </c>
      <c r="DT94" s="138">
        <f>AVERAGE(DT92:DT93)</f>
        <v>5.6793636257568662E-3</v>
      </c>
      <c r="DU94" s="139">
        <f>AVERAGE(DU92:DU93)</f>
        <v>623.70690476190475</v>
      </c>
      <c r="DV94" s="135">
        <f t="shared" si="357"/>
        <v>3.9767016648905675E-2</v>
      </c>
      <c r="DW94" s="142">
        <f t="shared" si="357"/>
        <v>3.405494593159536E-2</v>
      </c>
      <c r="DX94" s="140">
        <f t="shared" si="357"/>
        <v>3063.2733928571429</v>
      </c>
      <c r="DY94" s="141">
        <f t="shared" si="357"/>
        <v>6.2073974203591606E-3</v>
      </c>
      <c r="DZ94" s="139">
        <f t="shared" si="357"/>
        <v>547.32724702380949</v>
      </c>
      <c r="EA94" s="135">
        <f t="shared" ref="EA94:EB94" si="358">AVERAGE(EA92:EA93)</f>
        <v>5.1391033096595054E-3</v>
      </c>
      <c r="EB94" s="140">
        <f t="shared" si="358"/>
        <v>419.63308035714289</v>
      </c>
      <c r="EC94" s="129">
        <f t="shared" si="357"/>
        <v>19</v>
      </c>
    </row>
    <row r="95" spans="1:227" ht="13.8" thickTop="1"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44"/>
      <c r="BP95" s="145"/>
      <c r="BQ95" s="146"/>
      <c r="BR95" s="147"/>
      <c r="BS95" s="148"/>
      <c r="BT95" s="145"/>
      <c r="BU95" s="146"/>
      <c r="BV95" s="147"/>
      <c r="BW95" s="148"/>
      <c r="BX95" s="145"/>
      <c r="BY95" s="146"/>
      <c r="BZ95" s="147"/>
      <c r="CA95" s="148"/>
      <c r="CB95" s="145"/>
      <c r="CC95" s="146"/>
      <c r="CD95" s="147"/>
      <c r="CE95" s="148"/>
      <c r="CF95" s="149"/>
      <c r="CG95" s="150"/>
      <c r="CH95" s="147"/>
      <c r="CI95" s="148"/>
      <c r="CJ95" s="149"/>
      <c r="CK95" s="149"/>
      <c r="CL95" s="149"/>
      <c r="CM95" s="150"/>
      <c r="CN95" s="147"/>
      <c r="CO95" s="147"/>
      <c r="CP95" s="147"/>
      <c r="CQ95" s="151"/>
      <c r="CR95" s="149"/>
      <c r="CS95" s="149"/>
      <c r="CT95" s="149"/>
      <c r="CU95" s="150"/>
      <c r="CV95" s="147"/>
      <c r="CW95" s="147"/>
      <c r="CX95" s="147"/>
      <c r="CY95" s="148"/>
      <c r="CZ95" s="149"/>
      <c r="DA95" s="149"/>
      <c r="DB95" s="149"/>
      <c r="DC95" s="150"/>
      <c r="DD95" s="147"/>
      <c r="DE95" s="147"/>
      <c r="DF95" s="148"/>
      <c r="DG95" s="149"/>
      <c r="DH95" s="150"/>
      <c r="DI95" s="147"/>
      <c r="DJ95" s="147"/>
      <c r="DK95" s="148"/>
      <c r="DL95" s="149"/>
      <c r="DM95" s="149"/>
      <c r="DN95" s="150"/>
      <c r="DO95" s="147"/>
      <c r="DP95" s="147"/>
      <c r="DQ95" s="147"/>
      <c r="DR95" s="148"/>
      <c r="DS95" s="149"/>
      <c r="DT95" s="149"/>
      <c r="DU95" s="150"/>
      <c r="DV95" s="147"/>
      <c r="DW95" s="147"/>
      <c r="DX95" s="148"/>
      <c r="DY95" s="149"/>
      <c r="DZ95" s="150"/>
      <c r="EA95" s="147"/>
      <c r="EB95" s="148"/>
      <c r="EC95" s="152"/>
    </row>
    <row r="96" spans="1:227">
      <c r="B96" t="s">
        <v>171</v>
      </c>
      <c r="C96" s="14" t="s">
        <v>287</v>
      </c>
      <c r="D96" s="153">
        <f t="shared" ref="D96:AO96" si="359">SUM(D4:D7)</f>
        <v>3026961.5900000003</v>
      </c>
      <c r="E96" s="153">
        <f t="shared" si="359"/>
        <v>0</v>
      </c>
      <c r="F96" s="153">
        <f t="shared" si="359"/>
        <v>107898.25</v>
      </c>
      <c r="G96" s="153">
        <f t="shared" si="359"/>
        <v>0</v>
      </c>
      <c r="H96" s="153">
        <f t="shared" si="359"/>
        <v>0</v>
      </c>
      <c r="I96" s="153">
        <f t="shared" si="359"/>
        <v>0</v>
      </c>
      <c r="J96" s="153">
        <f t="shared" si="359"/>
        <v>23501.3</v>
      </c>
      <c r="K96" s="153">
        <f t="shared" si="359"/>
        <v>21200</v>
      </c>
      <c r="L96" s="153">
        <f t="shared" si="359"/>
        <v>6036.04</v>
      </c>
      <c r="M96" s="153">
        <f t="shared" si="359"/>
        <v>22512.62</v>
      </c>
      <c r="N96" s="153">
        <f t="shared" si="359"/>
        <v>0</v>
      </c>
      <c r="O96" s="153">
        <f t="shared" si="359"/>
        <v>0</v>
      </c>
      <c r="P96" s="153">
        <f t="shared" si="359"/>
        <v>861380.26</v>
      </c>
      <c r="Q96" s="153">
        <f t="shared" si="359"/>
        <v>13265.42</v>
      </c>
      <c r="R96" s="153">
        <f t="shared" si="359"/>
        <v>0</v>
      </c>
      <c r="S96" s="153">
        <f t="shared" si="359"/>
        <v>164223</v>
      </c>
      <c r="T96" s="153">
        <f t="shared" si="359"/>
        <v>0</v>
      </c>
      <c r="U96" s="153">
        <f t="shared" si="359"/>
        <v>740039.04</v>
      </c>
      <c r="V96" s="153">
        <f t="shared" si="359"/>
        <v>0</v>
      </c>
      <c r="W96" s="153">
        <f t="shared" si="359"/>
        <v>2048233.76</v>
      </c>
      <c r="X96" s="153">
        <f t="shared" si="359"/>
        <v>122795.98000000001</v>
      </c>
      <c r="Y96" s="153">
        <f t="shared" si="359"/>
        <v>231068.34</v>
      </c>
      <c r="Z96" s="153">
        <f t="shared" si="359"/>
        <v>0</v>
      </c>
      <c r="AA96" s="153">
        <f t="shared" si="359"/>
        <v>148318.06</v>
      </c>
      <c r="AB96" s="153">
        <f t="shared" si="359"/>
        <v>61927.199999999997</v>
      </c>
      <c r="AC96" s="153">
        <f t="shared" si="359"/>
        <v>13447.92</v>
      </c>
      <c r="AD96" s="153">
        <f t="shared" si="359"/>
        <v>0</v>
      </c>
      <c r="AE96" s="153">
        <f t="shared" si="359"/>
        <v>0</v>
      </c>
      <c r="AF96" s="153">
        <f t="shared" si="359"/>
        <v>51943.7</v>
      </c>
      <c r="AG96" s="153">
        <f t="shared" si="359"/>
        <v>13175.82</v>
      </c>
      <c r="AH96" s="153">
        <f t="shared" si="359"/>
        <v>26204.58</v>
      </c>
      <c r="AI96" s="153">
        <f t="shared" si="359"/>
        <v>7754.34</v>
      </c>
      <c r="AJ96" s="153">
        <f t="shared" si="359"/>
        <v>46223.119999999995</v>
      </c>
      <c r="AK96" s="153">
        <f t="shared" si="359"/>
        <v>98255.35</v>
      </c>
      <c r="AL96" s="153">
        <f t="shared" si="359"/>
        <v>24448.760000000002</v>
      </c>
      <c r="AM96" s="153">
        <f t="shared" si="359"/>
        <v>50038.74</v>
      </c>
      <c r="AN96" s="153">
        <f t="shared" si="359"/>
        <v>21443.599999999999</v>
      </c>
      <c r="AO96" s="153">
        <f t="shared" si="359"/>
        <v>0</v>
      </c>
      <c r="AP96" s="153">
        <f t="shared" ref="AP96:AT96" si="360">SUM(AP4:AP7)</f>
        <v>0</v>
      </c>
      <c r="AQ96" s="153">
        <f t="shared" si="360"/>
        <v>25903.49</v>
      </c>
      <c r="AR96" s="153">
        <f t="shared" si="360"/>
        <v>979.48</v>
      </c>
      <c r="AS96" s="153">
        <f t="shared" si="360"/>
        <v>308.79999999999995</v>
      </c>
      <c r="AT96" s="153">
        <f t="shared" si="360"/>
        <v>10253.16</v>
      </c>
      <c r="AU96" s="153">
        <f t="shared" ref="AU96:BN96" si="361">SUM(AU4:AU7)</f>
        <v>0</v>
      </c>
      <c r="AV96" s="153">
        <f t="shared" si="361"/>
        <v>22139.14</v>
      </c>
      <c r="AW96" s="153">
        <f t="shared" si="361"/>
        <v>3294</v>
      </c>
      <c r="AX96" s="153">
        <f t="shared" si="361"/>
        <v>3682.18</v>
      </c>
      <c r="AY96" s="153">
        <f t="shared" si="361"/>
        <v>30503.040000000001</v>
      </c>
      <c r="AZ96" s="153">
        <f t="shared" si="361"/>
        <v>41454.980000000003</v>
      </c>
      <c r="BA96" s="153">
        <f t="shared" si="361"/>
        <v>56396.1</v>
      </c>
      <c r="BB96" s="153">
        <f t="shared" si="361"/>
        <v>63648.800000000003</v>
      </c>
      <c r="BC96" s="153">
        <f t="shared" si="361"/>
        <v>0</v>
      </c>
      <c r="BD96" s="153">
        <f t="shared" si="361"/>
        <v>0</v>
      </c>
      <c r="BE96" s="153">
        <f t="shared" si="361"/>
        <v>0</v>
      </c>
      <c r="BF96" s="153">
        <f t="shared" si="361"/>
        <v>130716.3</v>
      </c>
      <c r="BG96" s="153">
        <f t="shared" si="361"/>
        <v>26516.7</v>
      </c>
      <c r="BH96" s="153">
        <f t="shared" si="361"/>
        <v>4082755.4800000004</v>
      </c>
      <c r="BI96" s="153">
        <f t="shared" si="361"/>
        <v>3963881.4800000004</v>
      </c>
      <c r="BJ96" s="153">
        <f t="shared" si="361"/>
        <v>118873.99999999977</v>
      </c>
      <c r="BK96" s="153">
        <f t="shared" si="361"/>
        <v>58340</v>
      </c>
      <c r="BL96" s="153">
        <f t="shared" si="361"/>
        <v>177213.99999999977</v>
      </c>
      <c r="BM96" s="153">
        <f t="shared" si="361"/>
        <v>563</v>
      </c>
      <c r="BN96" s="153">
        <f t="shared" si="361"/>
        <v>3134859.8400000003</v>
      </c>
      <c r="BO96" t="s">
        <v>171</v>
      </c>
      <c r="BP96" s="154">
        <f t="shared" ref="BP96:CU96" si="362">BP8</f>
        <v>0.35657546363890247</v>
      </c>
      <c r="BQ96" s="155">
        <f t="shared" si="362"/>
        <v>3882.8577648644714</v>
      </c>
      <c r="BR96" s="156">
        <f t="shared" si="362"/>
        <v>0</v>
      </c>
      <c r="BS96" s="157">
        <f t="shared" si="362"/>
        <v>0</v>
      </c>
      <c r="BT96" s="154">
        <f t="shared" si="362"/>
        <v>1.2045214696447376E-2</v>
      </c>
      <c r="BU96" s="155">
        <f t="shared" si="362"/>
        <v>130.07017997668319</v>
      </c>
      <c r="BV96" s="156">
        <f t="shared" si="362"/>
        <v>0</v>
      </c>
      <c r="BW96" s="157">
        <f t="shared" si="362"/>
        <v>0</v>
      </c>
      <c r="BX96" s="154">
        <f t="shared" si="362"/>
        <v>0</v>
      </c>
      <c r="BY96" s="155">
        <f t="shared" si="362"/>
        <v>0</v>
      </c>
      <c r="BZ96" s="156">
        <f t="shared" si="362"/>
        <v>0</v>
      </c>
      <c r="CA96" s="157">
        <f t="shared" si="362"/>
        <v>0</v>
      </c>
      <c r="CB96" s="154">
        <f t="shared" si="362"/>
        <v>2.046980853436161E-3</v>
      </c>
      <c r="CC96" s="155">
        <f t="shared" si="362"/>
        <v>21.103834523462545</v>
      </c>
      <c r="CD96" s="156">
        <f t="shared" si="362"/>
        <v>2.2814002299342481E-3</v>
      </c>
      <c r="CE96" s="157">
        <f t="shared" si="362"/>
        <v>23.318527397260276</v>
      </c>
      <c r="CF96" s="158">
        <f t="shared" si="362"/>
        <v>0.1200252610978699</v>
      </c>
      <c r="CG96" s="159">
        <f t="shared" si="362"/>
        <v>1337.5022329495773</v>
      </c>
      <c r="CH96" s="156">
        <f t="shared" si="362"/>
        <v>1.9006978456004447E-3</v>
      </c>
      <c r="CI96" s="157">
        <f t="shared" si="362"/>
        <v>21.253124089186826</v>
      </c>
      <c r="CJ96" s="158">
        <f t="shared" si="362"/>
        <v>0.15325403346040437</v>
      </c>
      <c r="CK96" s="160">
        <f t="shared" si="362"/>
        <v>0.10941076355507695</v>
      </c>
      <c r="CL96" s="160">
        <f t="shared" si="362"/>
        <v>0.10897944259941558</v>
      </c>
      <c r="CM96" s="159">
        <f t="shared" si="362"/>
        <v>1219.9380905712619</v>
      </c>
      <c r="CN96" s="156">
        <f t="shared" si="362"/>
        <v>0.31334396490525551</v>
      </c>
      <c r="CO96" s="161">
        <f t="shared" si="362"/>
        <v>0.23267722688508455</v>
      </c>
      <c r="CP96" s="161">
        <f t="shared" si="362"/>
        <v>0.23676466375146843</v>
      </c>
      <c r="CQ96" s="162">
        <f t="shared" si="362"/>
        <v>2519.5438778781695</v>
      </c>
      <c r="CR96" s="158">
        <f t="shared" si="362"/>
        <v>2.3175416901628609E-2</v>
      </c>
      <c r="CS96" s="160">
        <f t="shared" si="362"/>
        <v>1.6637342791977087E-2</v>
      </c>
      <c r="CT96" s="160">
        <f t="shared" si="362"/>
        <v>1.6623055653013606E-2</v>
      </c>
      <c r="CU96" s="159">
        <f t="shared" si="362"/>
        <v>184.7406102448266</v>
      </c>
      <c r="CV96" s="156">
        <f t="shared" ref="CV96:EB96" si="363">CV8</f>
        <v>4.4686838446353905E-2</v>
      </c>
      <c r="CW96" s="161">
        <f t="shared" si="363"/>
        <v>3.1966396166234555E-2</v>
      </c>
      <c r="CX96" s="161">
        <f t="shared" si="363"/>
        <v>3.1875881362078085E-2</v>
      </c>
      <c r="CY96" s="157">
        <f t="shared" si="363"/>
        <v>355.89686825998251</v>
      </c>
      <c r="CZ96" s="158">
        <f t="shared" si="363"/>
        <v>0.55663495440064747</v>
      </c>
      <c r="DA96" s="160">
        <f t="shared" si="363"/>
        <v>0.40639882195491561</v>
      </c>
      <c r="DB96" s="160">
        <f t="shared" si="363"/>
        <v>0.40981917409805446</v>
      </c>
      <c r="DC96" s="159">
        <f t="shared" si="363"/>
        <v>4456.2869088822499</v>
      </c>
      <c r="DD96" s="156">
        <f t="shared" si="363"/>
        <v>8.745804326361864E-3</v>
      </c>
      <c r="DE96" s="161">
        <f t="shared" si="363"/>
        <v>6.4466112440980123E-3</v>
      </c>
      <c r="DF96" s="157">
        <f t="shared" si="363"/>
        <v>70.030526085689303</v>
      </c>
      <c r="DG96" s="158">
        <f t="shared" si="363"/>
        <v>8.9572240616274282E-4</v>
      </c>
      <c r="DH96" s="159">
        <f t="shared" si="363"/>
        <v>9.529820023316816</v>
      </c>
      <c r="DI96" s="156">
        <f t="shared" si="363"/>
        <v>9.4117834575557537E-3</v>
      </c>
      <c r="DJ96" s="161">
        <f t="shared" si="363"/>
        <v>6.6379248062726779E-3</v>
      </c>
      <c r="DK96" s="157">
        <f t="shared" si="363"/>
        <v>74.820724278635964</v>
      </c>
      <c r="DL96" s="158">
        <f t="shared" si="363"/>
        <v>3.7919485276473501E-3</v>
      </c>
      <c r="DM96" s="160">
        <f t="shared" si="363"/>
        <v>2.8547535059163034E-3</v>
      </c>
      <c r="DN96" s="159">
        <f t="shared" si="363"/>
        <v>30.471439449140192</v>
      </c>
      <c r="DO96" s="156">
        <f t="shared" si="363"/>
        <v>7.1462586262048978E-3</v>
      </c>
      <c r="DP96" s="161">
        <f t="shared" si="363"/>
        <v>5.3728159573915614E-3</v>
      </c>
      <c r="DQ96" s="161">
        <f t="shared" si="363"/>
        <v>5.5027311590194975E-3</v>
      </c>
      <c r="DR96" s="157">
        <f t="shared" si="363"/>
        <v>57.648285485281264</v>
      </c>
      <c r="DS96" s="158">
        <f t="shared" si="363"/>
        <v>3.4086613552439717E-3</v>
      </c>
      <c r="DT96" s="160">
        <f t="shared" si="363"/>
        <v>2.5712019604966184E-3</v>
      </c>
      <c r="DU96" s="159">
        <f t="shared" si="363"/>
        <v>27.40047325852521</v>
      </c>
      <c r="DV96" s="156">
        <f t="shared" si="363"/>
        <v>1.6797428865257261E-2</v>
      </c>
      <c r="DW96" s="161">
        <f t="shared" si="363"/>
        <v>1.1038777898595045E-2</v>
      </c>
      <c r="DX96" s="157">
        <f t="shared" si="363"/>
        <v>132.07094505974933</v>
      </c>
      <c r="DY96" s="163">
        <f t="shared" si="363"/>
        <v>5.6211701892150256E-3</v>
      </c>
      <c r="DZ96" s="159">
        <f t="shared" si="363"/>
        <v>66.586627440979314</v>
      </c>
      <c r="EA96" s="164">
        <f t="shared" si="363"/>
        <v>4.7750914938017646E-3</v>
      </c>
      <c r="EB96" s="157">
        <f t="shared" si="363"/>
        <v>56.454919848440689</v>
      </c>
      <c r="EC96" s="241">
        <f>SUM(EC4:EC7)</f>
        <v>0</v>
      </c>
    </row>
    <row r="97" spans="1:227">
      <c r="B97" t="s">
        <v>173</v>
      </c>
      <c r="C97" s="14" t="s">
        <v>288</v>
      </c>
      <c r="D97" s="153">
        <f t="shared" ref="D97:AN97" si="364">SUM(D9:D79)</f>
        <v>142479398.79000002</v>
      </c>
      <c r="E97" s="153">
        <f t="shared" si="364"/>
        <v>0</v>
      </c>
      <c r="F97" s="153">
        <f t="shared" si="364"/>
        <v>13610815.640000001</v>
      </c>
      <c r="G97" s="153">
        <f t="shared" si="364"/>
        <v>0</v>
      </c>
      <c r="H97" s="153">
        <f t="shared" si="364"/>
        <v>6962682.0800000001</v>
      </c>
      <c r="I97" s="153">
        <f t="shared" si="364"/>
        <v>5158398.7100000009</v>
      </c>
      <c r="J97" s="153">
        <f t="shared" si="364"/>
        <v>6344966.1600000001</v>
      </c>
      <c r="K97" s="153">
        <f t="shared" si="364"/>
        <v>1822586.0500000003</v>
      </c>
      <c r="L97" s="153">
        <f t="shared" si="364"/>
        <v>3365764.5699999989</v>
      </c>
      <c r="M97" s="153">
        <f t="shared" si="364"/>
        <v>457130.24000000005</v>
      </c>
      <c r="N97" s="153">
        <f t="shared" si="364"/>
        <v>79281.100000000006</v>
      </c>
      <c r="O97" s="153">
        <f t="shared" si="364"/>
        <v>370608.2</v>
      </c>
      <c r="P97" s="153">
        <f t="shared" si="364"/>
        <v>3360875.2899999996</v>
      </c>
      <c r="Q97" s="153">
        <f t="shared" si="364"/>
        <v>5793813.8599999985</v>
      </c>
      <c r="R97" s="153">
        <f t="shared" si="364"/>
        <v>0</v>
      </c>
      <c r="S97" s="153">
        <f t="shared" si="364"/>
        <v>664168.51</v>
      </c>
      <c r="T97" s="153">
        <f t="shared" si="364"/>
        <v>0</v>
      </c>
      <c r="U97" s="153">
        <f t="shared" si="364"/>
        <v>83658493.929999977</v>
      </c>
      <c r="V97" s="153">
        <f t="shared" si="364"/>
        <v>176621.87</v>
      </c>
      <c r="W97" s="153">
        <f t="shared" si="364"/>
        <v>40097910.57</v>
      </c>
      <c r="X97" s="153">
        <f t="shared" si="364"/>
        <v>4520116.6199999992</v>
      </c>
      <c r="Y97" s="153">
        <f t="shared" si="364"/>
        <v>7725851.7900000047</v>
      </c>
      <c r="Z97" s="153">
        <f t="shared" si="364"/>
        <v>288508.75</v>
      </c>
      <c r="AA97" s="153">
        <f t="shared" si="364"/>
        <v>4574705.5699999994</v>
      </c>
      <c r="AB97" s="153">
        <f t="shared" si="364"/>
        <v>849402.84999999986</v>
      </c>
      <c r="AC97" s="153">
        <f t="shared" si="364"/>
        <v>329933.88</v>
      </c>
      <c r="AD97" s="153">
        <f t="shared" si="364"/>
        <v>131069.15000000002</v>
      </c>
      <c r="AE97" s="153">
        <f t="shared" si="364"/>
        <v>32582.61</v>
      </c>
      <c r="AF97" s="153">
        <f t="shared" si="364"/>
        <v>2514743.5099999998</v>
      </c>
      <c r="AG97" s="153">
        <f t="shared" si="364"/>
        <v>299780.92</v>
      </c>
      <c r="AH97" s="153">
        <f t="shared" si="364"/>
        <v>2579397.1300000004</v>
      </c>
      <c r="AI97" s="153">
        <f t="shared" si="364"/>
        <v>556241.92000000016</v>
      </c>
      <c r="AJ97" s="153">
        <f t="shared" si="364"/>
        <v>2849874.7399999988</v>
      </c>
      <c r="AK97" s="153">
        <f t="shared" si="364"/>
        <v>1932034.689999999</v>
      </c>
      <c r="AL97" s="153">
        <f t="shared" si="364"/>
        <v>1820661.8699999996</v>
      </c>
      <c r="AM97" s="153">
        <f t="shared" si="364"/>
        <v>5287473.74</v>
      </c>
      <c r="AN97" s="153">
        <f t="shared" si="364"/>
        <v>573705.53000000014</v>
      </c>
      <c r="AO97" s="153">
        <f t="shared" ref="AO97:AT97" si="365">SUM(AO9:AO79)</f>
        <v>30542.739999999998</v>
      </c>
      <c r="AP97" s="153">
        <f t="shared" si="365"/>
        <v>377191.45999999996</v>
      </c>
      <c r="AQ97" s="153">
        <f t="shared" si="365"/>
        <v>627239.21999999986</v>
      </c>
      <c r="AR97" s="153">
        <f t="shared" si="365"/>
        <v>123760.94000000002</v>
      </c>
      <c r="AS97" s="153">
        <f t="shared" si="365"/>
        <v>77066.680000000022</v>
      </c>
      <c r="AT97" s="153">
        <f t="shared" si="365"/>
        <v>543399.4600000002</v>
      </c>
      <c r="AU97" s="153">
        <f t="shared" ref="AU97:BN97" si="366">SUM(AU9:AU79)</f>
        <v>0</v>
      </c>
      <c r="AV97" s="153">
        <f t="shared" si="366"/>
        <v>746293.33999999973</v>
      </c>
      <c r="AW97" s="153">
        <f t="shared" si="366"/>
        <v>1028538.4000000001</v>
      </c>
      <c r="AX97" s="153">
        <f t="shared" si="366"/>
        <v>1051029.2899999998</v>
      </c>
      <c r="AY97" s="153">
        <f t="shared" si="366"/>
        <v>8953633.9199999999</v>
      </c>
      <c r="AZ97" s="153">
        <f t="shared" si="366"/>
        <v>4343490.75</v>
      </c>
      <c r="BA97" s="153">
        <f t="shared" si="366"/>
        <v>11742789.92</v>
      </c>
      <c r="BB97" s="153">
        <f t="shared" si="366"/>
        <v>2625268.0100000002</v>
      </c>
      <c r="BC97" s="153">
        <f t="shared" si="366"/>
        <v>71182.78</v>
      </c>
      <c r="BD97" s="153">
        <f t="shared" si="366"/>
        <v>0</v>
      </c>
      <c r="BE97" s="153">
        <f t="shared" si="366"/>
        <v>261195.45000000004</v>
      </c>
      <c r="BF97" s="153">
        <f t="shared" si="366"/>
        <v>409431.74</v>
      </c>
      <c r="BG97" s="153">
        <f t="shared" si="366"/>
        <v>135487.76999999999</v>
      </c>
      <c r="BH97" s="153">
        <f t="shared" si="366"/>
        <v>189806320.69</v>
      </c>
      <c r="BI97" s="153">
        <f t="shared" si="366"/>
        <v>193401734</v>
      </c>
      <c r="BJ97" s="153">
        <f t="shared" si="366"/>
        <v>-3595413.3100000024</v>
      </c>
      <c r="BK97" s="153">
        <f t="shared" si="366"/>
        <v>563213.92999999959</v>
      </c>
      <c r="BL97" s="153">
        <f t="shared" si="366"/>
        <v>-3032199.3800000027</v>
      </c>
      <c r="BM97" s="153">
        <f t="shared" si="366"/>
        <v>21315</v>
      </c>
      <c r="BN97" s="153">
        <f t="shared" si="366"/>
        <v>156090214.42999998</v>
      </c>
      <c r="BO97" t="s">
        <v>173</v>
      </c>
      <c r="BP97" s="165">
        <f t="shared" ref="BP97:CU97" si="367">BP80</f>
        <v>0.74955796460287727</v>
      </c>
      <c r="BQ97" s="166">
        <f t="shared" si="367"/>
        <v>6789.9641796488404</v>
      </c>
      <c r="BR97" s="167">
        <f t="shared" si="367"/>
        <v>0</v>
      </c>
      <c r="BS97" s="168">
        <f t="shared" si="367"/>
        <v>0</v>
      </c>
      <c r="BT97" s="165">
        <f t="shared" si="367"/>
        <v>7.0161524507500114E-2</v>
      </c>
      <c r="BU97" s="166">
        <f t="shared" si="367"/>
        <v>669.97913744965388</v>
      </c>
      <c r="BV97" s="167">
        <f t="shared" si="367"/>
        <v>0</v>
      </c>
      <c r="BW97" s="168">
        <f t="shared" si="367"/>
        <v>0</v>
      </c>
      <c r="BX97" s="165">
        <f t="shared" si="367"/>
        <v>3.4005077230865891E-2</v>
      </c>
      <c r="BY97" s="166">
        <f t="shared" si="367"/>
        <v>309.47882632743858</v>
      </c>
      <c r="BZ97" s="167">
        <f t="shared" si="367"/>
        <v>2.8753972073604174E-2</v>
      </c>
      <c r="CA97" s="168">
        <f t="shared" si="367"/>
        <v>264.84914095685889</v>
      </c>
      <c r="CB97" s="165">
        <f t="shared" si="367"/>
        <v>3.4148446091133614E-2</v>
      </c>
      <c r="CC97" s="166">
        <f t="shared" si="367"/>
        <v>303.19415662932931</v>
      </c>
      <c r="CD97" s="167">
        <f t="shared" si="367"/>
        <v>2.7342237613505658E-2</v>
      </c>
      <c r="CE97" s="168">
        <f t="shared" si="367"/>
        <v>244.91194993208785</v>
      </c>
      <c r="CF97" s="169">
        <f t="shared" si="367"/>
        <v>1.7861169682537991E-2</v>
      </c>
      <c r="CG97" s="170">
        <f t="shared" si="367"/>
        <v>161.34342289888599</v>
      </c>
      <c r="CH97" s="167">
        <f t="shared" si="367"/>
        <v>3.2728282843897061E-2</v>
      </c>
      <c r="CI97" s="168">
        <f t="shared" si="367"/>
        <v>335.36901410396626</v>
      </c>
      <c r="CJ97" s="169">
        <f t="shared" si="367"/>
        <v>0.57800268380845976</v>
      </c>
      <c r="CK97" s="171">
        <f t="shared" si="367"/>
        <v>0.47108862138555063</v>
      </c>
      <c r="CL97" s="171">
        <f t="shared" si="367"/>
        <v>0.46035589670595384</v>
      </c>
      <c r="CM97" s="170">
        <f t="shared" si="367"/>
        <v>4270.4617615959178</v>
      </c>
      <c r="CN97" s="167">
        <f t="shared" si="367"/>
        <v>0.25323717394598344</v>
      </c>
      <c r="CO97" s="172">
        <f t="shared" si="367"/>
        <v>0.20532144395009463</v>
      </c>
      <c r="CP97" s="172">
        <f t="shared" si="367"/>
        <v>0.20044462858551595</v>
      </c>
      <c r="CQ97" s="173">
        <f t="shared" si="367"/>
        <v>1914.5890179054502</v>
      </c>
      <c r="CR97" s="169">
        <f t="shared" si="367"/>
        <v>2.8317637997884264E-2</v>
      </c>
      <c r="CS97" s="171">
        <f t="shared" si="367"/>
        <v>2.3370892692267383E-2</v>
      </c>
      <c r="CT97" s="171">
        <f t="shared" si="367"/>
        <v>2.283922627680611E-2</v>
      </c>
      <c r="CU97" s="170">
        <f t="shared" si="367"/>
        <v>210.5985111895354</v>
      </c>
      <c r="CV97" s="167">
        <f t="shared" ref="CV97:EB97" si="368">CV80</f>
        <v>5.1902375072653738E-2</v>
      </c>
      <c r="CW97" s="172">
        <f t="shared" si="368"/>
        <v>4.1920048743474651E-2</v>
      </c>
      <c r="CX97" s="172">
        <f t="shared" si="368"/>
        <v>4.105033640414258E-2</v>
      </c>
      <c r="CY97" s="168">
        <f t="shared" si="368"/>
        <v>381.58138181995787</v>
      </c>
      <c r="CZ97" s="169">
        <f t="shared" si="368"/>
        <v>0.9104461347565026</v>
      </c>
      <c r="DA97" s="171">
        <f t="shared" si="368"/>
        <v>0.74084749695380048</v>
      </c>
      <c r="DB97" s="171">
        <f t="shared" si="368"/>
        <v>0.72375697685340623</v>
      </c>
      <c r="DC97" s="170">
        <f t="shared" si="368"/>
        <v>6768.6879726834777</v>
      </c>
      <c r="DD97" s="167">
        <f t="shared" si="368"/>
        <v>1.6709066711265191E-2</v>
      </c>
      <c r="DE97" s="172">
        <f t="shared" si="368"/>
        <v>1.2810619481076686E-2</v>
      </c>
      <c r="DF97" s="168">
        <f t="shared" si="368"/>
        <v>122.17855698258849</v>
      </c>
      <c r="DG97" s="169">
        <f t="shared" si="368"/>
        <v>2.8623365141353199E-3</v>
      </c>
      <c r="DH97" s="170">
        <f t="shared" si="368"/>
        <v>27.138119663429759</v>
      </c>
      <c r="DI97" s="167">
        <f t="shared" si="368"/>
        <v>1.800193658066403E-2</v>
      </c>
      <c r="DJ97" s="172">
        <f t="shared" si="368"/>
        <v>1.4375270244186104E-2</v>
      </c>
      <c r="DK97" s="168">
        <f t="shared" si="368"/>
        <v>133.63725837608135</v>
      </c>
      <c r="DL97" s="169">
        <f t="shared" si="368"/>
        <v>1.3247008621479607E-2</v>
      </c>
      <c r="DM97" s="171">
        <f t="shared" si="368"/>
        <v>9.7719044266671058E-3</v>
      </c>
      <c r="DN97" s="170">
        <f t="shared" si="368"/>
        <v>96.514506088221637</v>
      </c>
      <c r="DO97" s="167">
        <f t="shared" si="368"/>
        <v>3.5890983199768071E-2</v>
      </c>
      <c r="DP97" s="172">
        <f t="shared" si="368"/>
        <v>2.8611261920056832E-2</v>
      </c>
      <c r="DQ97" s="172">
        <f t="shared" si="368"/>
        <v>2.814412664748497E-2</v>
      </c>
      <c r="DR97" s="168">
        <f t="shared" si="368"/>
        <v>259.62404726421437</v>
      </c>
      <c r="DS97" s="169">
        <f t="shared" si="368"/>
        <v>4.6484411205875639E-3</v>
      </c>
      <c r="DT97" s="171">
        <f t="shared" si="368"/>
        <v>3.6708546655086259E-3</v>
      </c>
      <c r="DU97" s="170">
        <f t="shared" si="368"/>
        <v>33.442401591707203</v>
      </c>
      <c r="DV97" s="167">
        <f t="shared" si="368"/>
        <v>7.7507958014893408E-2</v>
      </c>
      <c r="DW97" s="172">
        <f t="shared" si="368"/>
        <v>6.2229374730662784E-2</v>
      </c>
      <c r="DX97" s="168">
        <f t="shared" si="368"/>
        <v>599.0329392746936</v>
      </c>
      <c r="DY97" s="174">
        <f t="shared" si="368"/>
        <v>4.6973713241700792E-2</v>
      </c>
      <c r="DZ97" s="170">
        <f t="shared" si="368"/>
        <v>429.45011663286726</v>
      </c>
      <c r="EA97" s="175">
        <f t="shared" si="368"/>
        <v>1.3710090760148565E-2</v>
      </c>
      <c r="EB97" s="168">
        <f t="shared" si="368"/>
        <v>129.49471932240115</v>
      </c>
      <c r="EC97" s="240">
        <f>SUM(EC9:EC79)</f>
        <v>4400</v>
      </c>
    </row>
    <row r="98" spans="1:227">
      <c r="B98" t="s">
        <v>175</v>
      </c>
      <c r="C98" s="14" t="s">
        <v>289</v>
      </c>
      <c r="D98" s="153">
        <f t="shared" ref="D98:AN98" si="369">SUM(D81:D86)</f>
        <v>36140767.859999999</v>
      </c>
      <c r="E98" s="153">
        <f t="shared" si="369"/>
        <v>8003666.919999999</v>
      </c>
      <c r="F98" s="153">
        <f t="shared" si="369"/>
        <v>3211810.96</v>
      </c>
      <c r="G98" s="153">
        <f t="shared" si="369"/>
        <v>0</v>
      </c>
      <c r="H98" s="153">
        <f t="shared" si="369"/>
        <v>994119</v>
      </c>
      <c r="I98" s="153">
        <f t="shared" si="369"/>
        <v>323770.60000000003</v>
      </c>
      <c r="J98" s="153">
        <f t="shared" si="369"/>
        <v>51311.100000000006</v>
      </c>
      <c r="K98" s="153">
        <f t="shared" si="369"/>
        <v>58853.1</v>
      </c>
      <c r="L98" s="153">
        <f t="shared" si="369"/>
        <v>143630.66</v>
      </c>
      <c r="M98" s="153">
        <f t="shared" si="369"/>
        <v>857517.65999999992</v>
      </c>
      <c r="N98" s="153">
        <f t="shared" si="369"/>
        <v>0</v>
      </c>
      <c r="O98" s="153">
        <f t="shared" si="369"/>
        <v>4315.8</v>
      </c>
      <c r="P98" s="153">
        <f t="shared" si="369"/>
        <v>2355264.8600000003</v>
      </c>
      <c r="Q98" s="153">
        <f t="shared" si="369"/>
        <v>3300294.0700000003</v>
      </c>
      <c r="R98" s="153">
        <f t="shared" si="369"/>
        <v>0</v>
      </c>
      <c r="S98" s="153">
        <f t="shared" si="369"/>
        <v>0</v>
      </c>
      <c r="T98" s="153">
        <f t="shared" si="369"/>
        <v>0</v>
      </c>
      <c r="U98" s="153">
        <f t="shared" si="369"/>
        <v>32424088.259999998</v>
      </c>
      <c r="V98" s="153">
        <f t="shared" si="369"/>
        <v>147022.91</v>
      </c>
      <c r="W98" s="153">
        <f t="shared" si="369"/>
        <v>6314978.7300000004</v>
      </c>
      <c r="X98" s="153">
        <f t="shared" si="369"/>
        <v>774602.57</v>
      </c>
      <c r="Y98" s="153">
        <f t="shared" si="369"/>
        <v>3539155.0999999996</v>
      </c>
      <c r="Z98" s="153">
        <f t="shared" si="369"/>
        <v>284499.55</v>
      </c>
      <c r="AA98" s="153">
        <f t="shared" si="369"/>
        <v>290757.98000000004</v>
      </c>
      <c r="AB98" s="153">
        <f t="shared" si="369"/>
        <v>340298.4</v>
      </c>
      <c r="AC98" s="153">
        <f t="shared" si="369"/>
        <v>89563.97</v>
      </c>
      <c r="AD98" s="153">
        <f t="shared" si="369"/>
        <v>5682.35</v>
      </c>
      <c r="AE98" s="153">
        <f t="shared" si="369"/>
        <v>0</v>
      </c>
      <c r="AF98" s="153">
        <f t="shared" si="369"/>
        <v>660239.79999999993</v>
      </c>
      <c r="AG98" s="153">
        <f t="shared" si="369"/>
        <v>100745.40000000001</v>
      </c>
      <c r="AH98" s="153">
        <f t="shared" si="369"/>
        <v>916486.51</v>
      </c>
      <c r="AI98" s="153">
        <f t="shared" si="369"/>
        <v>81998.31</v>
      </c>
      <c r="AJ98" s="153">
        <f t="shared" si="369"/>
        <v>1026025.8200000001</v>
      </c>
      <c r="AK98" s="153">
        <f t="shared" si="369"/>
        <v>253940.00000000003</v>
      </c>
      <c r="AL98" s="153">
        <f t="shared" si="369"/>
        <v>506357.35</v>
      </c>
      <c r="AM98" s="153">
        <f t="shared" si="369"/>
        <v>1800703.9100000001</v>
      </c>
      <c r="AN98" s="153">
        <f t="shared" si="369"/>
        <v>82611.839999999997</v>
      </c>
      <c r="AO98" s="153">
        <f t="shared" ref="AO98:AT98" si="370">SUM(AO81:AO86)</f>
        <v>1317.69</v>
      </c>
      <c r="AP98" s="153">
        <f t="shared" si="370"/>
        <v>290731.93</v>
      </c>
      <c r="AQ98" s="153">
        <f t="shared" si="370"/>
        <v>222901.42</v>
      </c>
      <c r="AR98" s="153">
        <f t="shared" si="370"/>
        <v>38869.71</v>
      </c>
      <c r="AS98" s="153">
        <f t="shared" si="370"/>
        <v>66247.37</v>
      </c>
      <c r="AT98" s="153">
        <f t="shared" si="370"/>
        <v>65558.83</v>
      </c>
      <c r="AU98" s="153">
        <f t="shared" ref="AU98:BN98" si="371">SUM(AU81:AU86)</f>
        <v>891441.24</v>
      </c>
      <c r="AV98" s="153">
        <f t="shared" si="371"/>
        <v>308653.84999999998</v>
      </c>
      <c r="AW98" s="153">
        <f t="shared" si="371"/>
        <v>234515.83000000002</v>
      </c>
      <c r="AX98" s="153">
        <f t="shared" si="371"/>
        <v>18540.04</v>
      </c>
      <c r="AY98" s="153">
        <f t="shared" si="371"/>
        <v>825378.99999999988</v>
      </c>
      <c r="AZ98" s="153">
        <f t="shared" si="371"/>
        <v>802773.99</v>
      </c>
      <c r="BA98" s="153">
        <f t="shared" si="371"/>
        <v>1103659.3699999999</v>
      </c>
      <c r="BB98" s="153">
        <f t="shared" si="371"/>
        <v>1517179.39</v>
      </c>
      <c r="BC98" s="153">
        <f t="shared" si="371"/>
        <v>2374</v>
      </c>
      <c r="BD98" s="153">
        <f t="shared" si="371"/>
        <v>0</v>
      </c>
      <c r="BE98" s="153">
        <f t="shared" si="371"/>
        <v>25803.56</v>
      </c>
      <c r="BF98" s="153">
        <f t="shared" si="371"/>
        <v>0</v>
      </c>
      <c r="BG98" s="153">
        <f t="shared" si="371"/>
        <v>0</v>
      </c>
      <c r="BH98" s="153">
        <f t="shared" si="371"/>
        <v>55445322.589999996</v>
      </c>
      <c r="BI98" s="153">
        <f t="shared" si="371"/>
        <v>56055705.980000004</v>
      </c>
      <c r="BJ98" s="153">
        <f t="shared" si="371"/>
        <v>-610383.39000000199</v>
      </c>
      <c r="BK98" s="153">
        <f t="shared" si="371"/>
        <v>1876656.84</v>
      </c>
      <c r="BL98" s="153">
        <f t="shared" si="371"/>
        <v>1266273.4499999981</v>
      </c>
      <c r="BM98" s="176">
        <f t="shared" si="371"/>
        <v>4531</v>
      </c>
      <c r="BN98" s="153">
        <f t="shared" si="371"/>
        <v>47356245.739999995</v>
      </c>
      <c r="BO98" t="s">
        <v>175</v>
      </c>
      <c r="BP98" s="165">
        <f t="shared" ref="BP98:CU98" si="372">BP87</f>
        <v>0.66841363231408801</v>
      </c>
      <c r="BQ98" s="166">
        <f t="shared" si="372"/>
        <v>7913.3042550209211</v>
      </c>
      <c r="BR98" s="167">
        <f t="shared" si="372"/>
        <v>0.14137274671867342</v>
      </c>
      <c r="BS98" s="168">
        <f t="shared" si="372"/>
        <v>1726.0909804514704</v>
      </c>
      <c r="BT98" s="165">
        <f t="shared" si="372"/>
        <v>4.9360681001674518E-2</v>
      </c>
      <c r="BU98" s="166">
        <f t="shared" si="372"/>
        <v>649.46558862219774</v>
      </c>
      <c r="BV98" s="167">
        <f t="shared" si="372"/>
        <v>0</v>
      </c>
      <c r="BW98" s="168">
        <f t="shared" si="372"/>
        <v>0</v>
      </c>
      <c r="BX98" s="165">
        <f t="shared" si="372"/>
        <v>1.8695048878693804E-2</v>
      </c>
      <c r="BY98" s="166">
        <f t="shared" si="372"/>
        <v>205.13394940663534</v>
      </c>
      <c r="BZ98" s="167">
        <f t="shared" si="372"/>
        <v>6.1767171954756192E-3</v>
      </c>
      <c r="CA98" s="168">
        <f t="shared" si="372"/>
        <v>85.102308174455587</v>
      </c>
      <c r="CB98" s="165">
        <f t="shared" si="372"/>
        <v>9.1502791970500704E-4</v>
      </c>
      <c r="CC98" s="166">
        <f t="shared" si="372"/>
        <v>9.9653787575091872</v>
      </c>
      <c r="CD98" s="167">
        <f t="shared" si="372"/>
        <v>3.3384903557520744E-3</v>
      </c>
      <c r="CE98" s="168">
        <f t="shared" si="372"/>
        <v>38.897457007443627</v>
      </c>
      <c r="CF98" s="169">
        <f t="shared" si="372"/>
        <v>2.5524925452321851E-2</v>
      </c>
      <c r="CG98" s="170">
        <f t="shared" si="372"/>
        <v>400.24164823954726</v>
      </c>
      <c r="CH98" s="167">
        <f t="shared" si="372"/>
        <v>6.9406447559794179E-2</v>
      </c>
      <c r="CI98" s="168">
        <f t="shared" si="372"/>
        <v>964.56060908610573</v>
      </c>
      <c r="CJ98" s="169">
        <f t="shared" si="372"/>
        <v>0.73243075167124727</v>
      </c>
      <c r="CK98" s="171">
        <f t="shared" si="372"/>
        <v>0.62349898324611686</v>
      </c>
      <c r="CL98" s="171">
        <f t="shared" si="372"/>
        <v>0.61780603331170669</v>
      </c>
      <c r="CM98" s="170">
        <f t="shared" si="372"/>
        <v>7514.3519997677768</v>
      </c>
      <c r="CN98" s="167">
        <f t="shared" si="372"/>
        <v>0.12485186202077327</v>
      </c>
      <c r="CO98" s="172">
        <f t="shared" si="372"/>
        <v>0.10737954024205822</v>
      </c>
      <c r="CP98" s="172">
        <f t="shared" si="372"/>
        <v>0.10582886727234646</v>
      </c>
      <c r="CQ98" s="173">
        <f t="shared" si="372"/>
        <v>1302.8310894061221</v>
      </c>
      <c r="CR98" s="169">
        <f t="shared" si="372"/>
        <v>1.6316657826190777E-2</v>
      </c>
      <c r="CS98" s="171">
        <f t="shared" si="372"/>
        <v>1.3956643268678593E-2</v>
      </c>
      <c r="CT98" s="171">
        <f t="shared" si="372"/>
        <v>1.3802366611390686E-2</v>
      </c>
      <c r="CU98" s="170">
        <f t="shared" si="372"/>
        <v>168.36014404911387</v>
      </c>
      <c r="CV98" s="167">
        <f t="shared" ref="CV98:EB98" si="373">CV87</f>
        <v>7.4298882189213669E-2</v>
      </c>
      <c r="CW98" s="172">
        <f t="shared" si="373"/>
        <v>6.3703577356137173E-2</v>
      </c>
      <c r="CX98" s="172">
        <f t="shared" si="373"/>
        <v>6.2705484758371247E-2</v>
      </c>
      <c r="CY98" s="168">
        <f t="shared" si="373"/>
        <v>770.39682979277177</v>
      </c>
      <c r="CZ98" s="169">
        <f t="shared" si="373"/>
        <v>0.94445000528908774</v>
      </c>
      <c r="DA98" s="171">
        <f t="shared" si="373"/>
        <v>0.80509183648860028</v>
      </c>
      <c r="DB98" s="171">
        <f t="shared" si="373"/>
        <v>0.79664415037773406</v>
      </c>
      <c r="DC98" s="170">
        <f t="shared" si="373"/>
        <v>9723.7992952601271</v>
      </c>
      <c r="DD98" s="167">
        <f t="shared" si="373"/>
        <v>1.4801812659108423E-2</v>
      </c>
      <c r="DE98" s="172">
        <f t="shared" si="373"/>
        <v>1.216279700889387E-2</v>
      </c>
      <c r="DF98" s="168">
        <f t="shared" si="373"/>
        <v>153.792861267576</v>
      </c>
      <c r="DG98" s="169">
        <f t="shared" si="373"/>
        <v>1.3420745020881518E-3</v>
      </c>
      <c r="DH98" s="170">
        <f t="shared" si="373"/>
        <v>15.955171242895013</v>
      </c>
      <c r="DI98" s="167">
        <f t="shared" si="373"/>
        <v>2.0127576569982149E-2</v>
      </c>
      <c r="DJ98" s="172">
        <f t="shared" si="373"/>
        <v>1.7292109861065861E-2</v>
      </c>
      <c r="DK98" s="168">
        <f t="shared" si="373"/>
        <v>208.91142760733689</v>
      </c>
      <c r="DL98" s="169">
        <f t="shared" si="373"/>
        <v>1.2796752183444679E-2</v>
      </c>
      <c r="DM98" s="171">
        <f t="shared" si="373"/>
        <v>1.0326428865837357E-2</v>
      </c>
      <c r="DN98" s="170">
        <f t="shared" si="373"/>
        <v>131.21517882852223</v>
      </c>
      <c r="DO98" s="167">
        <f t="shared" si="373"/>
        <v>3.0886210012329458E-2</v>
      </c>
      <c r="DP98" s="172">
        <f t="shared" si="373"/>
        <v>2.5467516180336366E-2</v>
      </c>
      <c r="DQ98" s="172">
        <f t="shared" si="373"/>
        <v>2.5256823250614398E-2</v>
      </c>
      <c r="DR98" s="168">
        <f t="shared" si="373"/>
        <v>339.58945244905027</v>
      </c>
      <c r="DS98" s="169">
        <f t="shared" si="373"/>
        <v>6.8343866858665489E-3</v>
      </c>
      <c r="DT98" s="171">
        <f t="shared" si="373"/>
        <v>5.834862559235608E-3</v>
      </c>
      <c r="DU98" s="170">
        <f t="shared" si="373"/>
        <v>69.250770604970157</v>
      </c>
      <c r="DV98" s="167">
        <f t="shared" si="373"/>
        <v>2.0009968667460392E-2</v>
      </c>
      <c r="DW98" s="172">
        <f t="shared" si="373"/>
        <v>1.6988295763761711E-2</v>
      </c>
      <c r="DX98" s="168">
        <f t="shared" si="373"/>
        <v>211.67708146299307</v>
      </c>
      <c r="DY98" s="174">
        <f t="shared" si="373"/>
        <v>1.5893262751593706E-2</v>
      </c>
      <c r="DZ98" s="170">
        <f t="shared" si="373"/>
        <v>182.50047129122683</v>
      </c>
      <c r="EA98" s="175">
        <f t="shared" si="373"/>
        <v>1.6604801127167352E-2</v>
      </c>
      <c r="EB98" s="168">
        <f t="shared" si="373"/>
        <v>200.56573201387593</v>
      </c>
      <c r="EC98" s="240">
        <f>SUM(EC81:EC86)</f>
        <v>883</v>
      </c>
    </row>
    <row r="99" spans="1:227">
      <c r="B99" t="s">
        <v>177</v>
      </c>
      <c r="C99" s="14" t="s">
        <v>290</v>
      </c>
      <c r="D99" s="153">
        <f t="shared" ref="D99:AN99" si="374">SUM(D88:D90)</f>
        <v>6264415.2200000007</v>
      </c>
      <c r="E99" s="153">
        <f t="shared" si="374"/>
        <v>4081.8</v>
      </c>
      <c r="F99" s="153">
        <f t="shared" si="374"/>
        <v>9607479.3599999994</v>
      </c>
      <c r="G99" s="153">
        <f t="shared" si="374"/>
        <v>0</v>
      </c>
      <c r="H99" s="153">
        <f t="shared" si="374"/>
        <v>244633.58000000002</v>
      </c>
      <c r="I99" s="153">
        <f t="shared" si="374"/>
        <v>89291.56</v>
      </c>
      <c r="J99" s="153">
        <f t="shared" si="374"/>
        <v>98418.63</v>
      </c>
      <c r="K99" s="153">
        <f t="shared" si="374"/>
        <v>35897.81</v>
      </c>
      <c r="L99" s="153">
        <f t="shared" si="374"/>
        <v>747966.37</v>
      </c>
      <c r="M99" s="153">
        <f t="shared" si="374"/>
        <v>13937.65</v>
      </c>
      <c r="N99" s="153">
        <f t="shared" si="374"/>
        <v>0</v>
      </c>
      <c r="O99" s="153">
        <f t="shared" si="374"/>
        <v>0</v>
      </c>
      <c r="P99" s="153">
        <f t="shared" si="374"/>
        <v>3838.6499999999996</v>
      </c>
      <c r="Q99" s="153">
        <f t="shared" si="374"/>
        <v>30875.260000000002</v>
      </c>
      <c r="R99" s="153">
        <f t="shared" si="374"/>
        <v>0</v>
      </c>
      <c r="S99" s="153">
        <f t="shared" si="374"/>
        <v>0</v>
      </c>
      <c r="T99" s="153">
        <f t="shared" si="374"/>
        <v>0</v>
      </c>
      <c r="U99" s="153">
        <f t="shared" si="374"/>
        <v>5642596.2599999998</v>
      </c>
      <c r="V99" s="153">
        <f t="shared" si="374"/>
        <v>4058.54</v>
      </c>
      <c r="W99" s="153">
        <f t="shared" si="374"/>
        <v>6570254.9399999995</v>
      </c>
      <c r="X99" s="153">
        <f t="shared" si="374"/>
        <v>236410.5</v>
      </c>
      <c r="Y99" s="153">
        <f t="shared" si="374"/>
        <v>569004.86</v>
      </c>
      <c r="Z99" s="153">
        <f t="shared" si="374"/>
        <v>0</v>
      </c>
      <c r="AA99" s="153">
        <f t="shared" si="374"/>
        <v>225419.57</v>
      </c>
      <c r="AB99" s="153">
        <f t="shared" si="374"/>
        <v>78080.22</v>
      </c>
      <c r="AC99" s="153">
        <f t="shared" si="374"/>
        <v>35052.74</v>
      </c>
      <c r="AD99" s="153">
        <f t="shared" si="374"/>
        <v>0</v>
      </c>
      <c r="AE99" s="153">
        <f t="shared" si="374"/>
        <v>0</v>
      </c>
      <c r="AF99" s="153">
        <f t="shared" si="374"/>
        <v>197439.52000000002</v>
      </c>
      <c r="AG99" s="153">
        <f t="shared" si="374"/>
        <v>64498.11</v>
      </c>
      <c r="AH99" s="153">
        <f t="shared" si="374"/>
        <v>128311.25</v>
      </c>
      <c r="AI99" s="153">
        <f t="shared" si="374"/>
        <v>28389.949999999997</v>
      </c>
      <c r="AJ99" s="153">
        <f t="shared" si="374"/>
        <v>138217.66999999998</v>
      </c>
      <c r="AK99" s="153">
        <f t="shared" si="374"/>
        <v>0</v>
      </c>
      <c r="AL99" s="153">
        <f t="shared" si="374"/>
        <v>91122.510000000009</v>
      </c>
      <c r="AM99" s="153">
        <f t="shared" si="374"/>
        <v>206623.16</v>
      </c>
      <c r="AN99" s="153">
        <f t="shared" si="374"/>
        <v>34951.71</v>
      </c>
      <c r="AO99" s="153">
        <f t="shared" ref="AO99:AT99" si="375">SUM(AO88:AO90)</f>
        <v>0</v>
      </c>
      <c r="AP99" s="153">
        <f t="shared" si="375"/>
        <v>16027.82</v>
      </c>
      <c r="AQ99" s="153">
        <f t="shared" si="375"/>
        <v>32066.45</v>
      </c>
      <c r="AR99" s="153">
        <f t="shared" si="375"/>
        <v>21759.43</v>
      </c>
      <c r="AS99" s="153">
        <f t="shared" si="375"/>
        <v>22048.12</v>
      </c>
      <c r="AT99" s="153">
        <f t="shared" si="375"/>
        <v>36225.11</v>
      </c>
      <c r="AU99" s="153">
        <f t="shared" ref="AU99:BN99" si="376">SUM(AU88:AU90)</f>
        <v>1720.95</v>
      </c>
      <c r="AV99" s="153">
        <f t="shared" si="376"/>
        <v>31332.530000000002</v>
      </c>
      <c r="AW99" s="153">
        <f t="shared" si="376"/>
        <v>28115.52</v>
      </c>
      <c r="AX99" s="153">
        <f t="shared" si="376"/>
        <v>171630.96999999997</v>
      </c>
      <c r="AY99" s="153">
        <f t="shared" si="376"/>
        <v>146302.75</v>
      </c>
      <c r="AZ99" s="153">
        <f t="shared" si="376"/>
        <v>168721.07</v>
      </c>
      <c r="BA99" s="153">
        <f t="shared" si="376"/>
        <v>1917186.3599999999</v>
      </c>
      <c r="BB99" s="153">
        <f t="shared" si="376"/>
        <v>152814.31</v>
      </c>
      <c r="BC99" s="153">
        <f t="shared" si="376"/>
        <v>0</v>
      </c>
      <c r="BD99" s="153">
        <f t="shared" si="376"/>
        <v>0</v>
      </c>
      <c r="BE99" s="153">
        <f t="shared" si="376"/>
        <v>22578.66</v>
      </c>
      <c r="BF99" s="153">
        <f t="shared" si="376"/>
        <v>0</v>
      </c>
      <c r="BG99" s="153">
        <f t="shared" si="376"/>
        <v>0</v>
      </c>
      <c r="BH99" s="153">
        <f t="shared" si="376"/>
        <v>17140835.890000001</v>
      </c>
      <c r="BI99" s="153">
        <f t="shared" si="376"/>
        <v>17018961.559999995</v>
      </c>
      <c r="BJ99" s="153">
        <f t="shared" si="376"/>
        <v>121874.3300000038</v>
      </c>
      <c r="BK99" s="153">
        <f t="shared" si="376"/>
        <v>591019.55000000005</v>
      </c>
      <c r="BL99" s="153">
        <f t="shared" si="376"/>
        <v>712893.88000000385</v>
      </c>
      <c r="BM99" s="176">
        <f t="shared" si="376"/>
        <v>371</v>
      </c>
      <c r="BN99" s="153">
        <f t="shared" si="376"/>
        <v>15875976.379999999</v>
      </c>
      <c r="BO99" t="s">
        <v>177</v>
      </c>
      <c r="BP99" s="165">
        <f t="shared" ref="BP99:CU99" si="377">BP91</f>
        <v>0.3666903921627987</v>
      </c>
      <c r="BQ99" s="166">
        <f t="shared" si="377"/>
        <v>17896.646618180384</v>
      </c>
      <c r="BR99" s="167">
        <f t="shared" si="377"/>
        <v>2.7897352701567661E-4</v>
      </c>
      <c r="BS99" s="168">
        <f t="shared" si="377"/>
        <v>18.638356164383563</v>
      </c>
      <c r="BT99" s="165">
        <f t="shared" si="377"/>
        <v>0.56352359084104309</v>
      </c>
      <c r="BU99" s="166">
        <f t="shared" si="377"/>
        <v>28747.553223403982</v>
      </c>
      <c r="BV99" s="167">
        <f t="shared" si="377"/>
        <v>0</v>
      </c>
      <c r="BW99" s="168">
        <f t="shared" si="377"/>
        <v>0</v>
      </c>
      <c r="BX99" s="165">
        <f t="shared" si="377"/>
        <v>1.3853899383235621E-2</v>
      </c>
      <c r="BY99" s="166">
        <f t="shared" si="377"/>
        <v>642.72263576874911</v>
      </c>
      <c r="BZ99" s="167">
        <f t="shared" si="377"/>
        <v>6.0097130979959758E-3</v>
      </c>
      <c r="CA99" s="168">
        <f t="shared" si="377"/>
        <v>394.71735332048866</v>
      </c>
      <c r="CB99" s="165">
        <f t="shared" si="377"/>
        <v>5.6868899306573477E-3</v>
      </c>
      <c r="CC99" s="166">
        <f t="shared" si="377"/>
        <v>293.54210008518197</v>
      </c>
      <c r="CD99" s="167">
        <f t="shared" si="377"/>
        <v>4.0867532155151293E-2</v>
      </c>
      <c r="CE99" s="168">
        <f t="shared" si="377"/>
        <v>1911.3499489509959</v>
      </c>
      <c r="CF99" s="169">
        <f t="shared" si="377"/>
        <v>2.4037400804762161E-4</v>
      </c>
      <c r="CG99" s="170">
        <f t="shared" si="377"/>
        <v>13.638983242704283</v>
      </c>
      <c r="CH99" s="167">
        <f t="shared" si="377"/>
        <v>1.8971468625657139E-3</v>
      </c>
      <c r="CI99" s="168">
        <f t="shared" si="377"/>
        <v>102.4805183089356</v>
      </c>
      <c r="CJ99" s="169">
        <f t="shared" si="377"/>
        <v>0.36575714015398875</v>
      </c>
      <c r="CK99" s="171">
        <f t="shared" si="377"/>
        <v>0.33863462264521527</v>
      </c>
      <c r="CL99" s="171">
        <f t="shared" si="377"/>
        <v>0.34088110997938759</v>
      </c>
      <c r="CM99" s="170">
        <f t="shared" si="377"/>
        <v>17054.563175033898</v>
      </c>
      <c r="CN99" s="167">
        <f t="shared" si="377"/>
        <v>0.41586935344693199</v>
      </c>
      <c r="CO99" s="172">
        <f t="shared" si="377"/>
        <v>0.38734660492539086</v>
      </c>
      <c r="CP99" s="172">
        <f t="shared" si="377"/>
        <v>0.38893855984843917</v>
      </c>
      <c r="CQ99" s="173">
        <f t="shared" si="377"/>
        <v>19731.060274628326</v>
      </c>
      <c r="CR99" s="169">
        <f t="shared" si="377"/>
        <v>1.5512955001518515E-2</v>
      </c>
      <c r="CS99" s="171">
        <f t="shared" si="377"/>
        <v>1.4671387565169199E-2</v>
      </c>
      <c r="CT99" s="171">
        <f t="shared" si="377"/>
        <v>1.4639295325897859E-2</v>
      </c>
      <c r="CU99" s="170">
        <f t="shared" si="377"/>
        <v>818.47315915955187</v>
      </c>
      <c r="CV99" s="167">
        <f t="shared" ref="CV99:EB99" si="378">CV91</f>
        <v>3.5918836644715291E-2</v>
      </c>
      <c r="CW99" s="172">
        <f t="shared" si="378"/>
        <v>3.3859424924851882E-2</v>
      </c>
      <c r="CX99" s="172">
        <f t="shared" si="378"/>
        <v>3.3827208452779305E-2</v>
      </c>
      <c r="CY99" s="168">
        <f t="shared" si="378"/>
        <v>1668.8903429710351</v>
      </c>
      <c r="CZ99" s="169">
        <f t="shared" si="378"/>
        <v>0.83716286667264772</v>
      </c>
      <c r="DA99" s="171">
        <f t="shared" si="378"/>
        <v>0.7778633952164592</v>
      </c>
      <c r="DB99" s="171">
        <f t="shared" si="378"/>
        <v>0.78185263245859826</v>
      </c>
      <c r="DC99" s="170">
        <f t="shared" si="378"/>
        <v>39577.052531180649</v>
      </c>
      <c r="DD99" s="167">
        <f t="shared" si="378"/>
        <v>1.2596370136615043E-2</v>
      </c>
      <c r="DE99" s="172">
        <f t="shared" si="378"/>
        <v>1.1843490898411357E-2</v>
      </c>
      <c r="DF99" s="177">
        <f t="shared" si="378"/>
        <v>609.3878217424641</v>
      </c>
      <c r="DG99" s="169">
        <f t="shared" si="378"/>
        <v>1.640628915185212E-3</v>
      </c>
      <c r="DH99" s="178">
        <f t="shared" si="378"/>
        <v>77.61283850390997</v>
      </c>
      <c r="DI99" s="167">
        <f t="shared" si="378"/>
        <v>8.6800734810327899E-3</v>
      </c>
      <c r="DJ99" s="172">
        <f t="shared" si="378"/>
        <v>8.1473221476634043E-3</v>
      </c>
      <c r="DK99" s="177">
        <f t="shared" si="378"/>
        <v>397.85670382717086</v>
      </c>
      <c r="DL99" s="169">
        <f t="shared" si="378"/>
        <v>5.6350338423811859E-3</v>
      </c>
      <c r="DM99" s="171">
        <f t="shared" si="378"/>
        <v>5.2780064014828027E-3</v>
      </c>
      <c r="DN99" s="178">
        <f t="shared" si="378"/>
        <v>244.25554566780693</v>
      </c>
      <c r="DO99" s="167">
        <f t="shared" si="378"/>
        <v>1.3074094084883052E-2</v>
      </c>
      <c r="DP99" s="172">
        <f t="shared" si="378"/>
        <v>1.2059551463654984E-2</v>
      </c>
      <c r="DQ99" s="172">
        <f t="shared" si="378"/>
        <v>1.2158986635824704E-2</v>
      </c>
      <c r="DR99" s="177">
        <f t="shared" si="378"/>
        <v>625.10054045002232</v>
      </c>
      <c r="DS99" s="169">
        <f t="shared" si="378"/>
        <v>1.9572647457307252E-3</v>
      </c>
      <c r="DT99" s="171">
        <f t="shared" si="378"/>
        <v>1.7960199748996665E-3</v>
      </c>
      <c r="DU99" s="178">
        <f t="shared" si="378"/>
        <v>91.249358576662232</v>
      </c>
      <c r="DV99" s="167">
        <f t="shared" si="378"/>
        <v>0.11758748091515775</v>
      </c>
      <c r="DW99" s="172">
        <f t="shared" si="378"/>
        <v>0.10941466539734779</v>
      </c>
      <c r="DX99" s="177">
        <f t="shared" si="378"/>
        <v>4986.7560216845695</v>
      </c>
      <c r="DY99" s="169">
        <f t="shared" si="378"/>
        <v>8.5867285251706258E-3</v>
      </c>
      <c r="DZ99" s="178">
        <f t="shared" si="378"/>
        <v>405.61471369416876</v>
      </c>
      <c r="EA99" s="167">
        <f t="shared" si="378"/>
        <v>7.2236854600750029E-3</v>
      </c>
      <c r="EB99" s="177">
        <f t="shared" si="378"/>
        <v>296.1963114920955</v>
      </c>
      <c r="EC99" s="240">
        <f>SUM(EC88:EC90)</f>
        <v>173</v>
      </c>
    </row>
    <row r="100" spans="1:227">
      <c r="B100" s="11" t="s">
        <v>304</v>
      </c>
      <c r="C100" s="14" t="s">
        <v>301</v>
      </c>
      <c r="D100" s="153">
        <f t="shared" ref="D100:AN100" si="379">SUM(D92:D93)</f>
        <v>3016379.75</v>
      </c>
      <c r="E100" s="153">
        <f t="shared" si="379"/>
        <v>0</v>
      </c>
      <c r="F100" s="153">
        <f t="shared" si="379"/>
        <v>1182627.0999999999</v>
      </c>
      <c r="G100" s="153">
        <f t="shared" si="379"/>
        <v>0</v>
      </c>
      <c r="H100" s="153">
        <f t="shared" si="379"/>
        <v>42140</v>
      </c>
      <c r="I100" s="153">
        <f t="shared" si="379"/>
        <v>-12429.07</v>
      </c>
      <c r="J100" s="153">
        <f t="shared" si="379"/>
        <v>60357.11</v>
      </c>
      <c r="K100" s="153">
        <f t="shared" si="379"/>
        <v>0</v>
      </c>
      <c r="L100" s="153">
        <f t="shared" si="379"/>
        <v>697586.44</v>
      </c>
      <c r="M100" s="153">
        <f t="shared" si="379"/>
        <v>2313.5700000000002</v>
      </c>
      <c r="N100" s="153">
        <f t="shared" si="379"/>
        <v>0</v>
      </c>
      <c r="O100" s="153">
        <f t="shared" si="379"/>
        <v>0</v>
      </c>
      <c r="P100" s="153">
        <f t="shared" si="379"/>
        <v>430</v>
      </c>
      <c r="Q100" s="153">
        <f t="shared" si="379"/>
        <v>1052</v>
      </c>
      <c r="R100" s="153">
        <f t="shared" si="379"/>
        <v>0</v>
      </c>
      <c r="S100" s="153">
        <f t="shared" si="379"/>
        <v>0</v>
      </c>
      <c r="T100" s="153">
        <f t="shared" si="379"/>
        <v>0</v>
      </c>
      <c r="U100" s="153">
        <f t="shared" si="379"/>
        <v>2725539.54</v>
      </c>
      <c r="V100" s="153">
        <f t="shared" si="379"/>
        <v>145621.92000000001</v>
      </c>
      <c r="W100" s="153">
        <f t="shared" si="379"/>
        <v>578327.84000000008</v>
      </c>
      <c r="X100" s="153">
        <f t="shared" si="379"/>
        <v>53875.44</v>
      </c>
      <c r="Y100" s="153">
        <f t="shared" si="379"/>
        <v>239301.73</v>
      </c>
      <c r="Z100" s="153">
        <f t="shared" si="379"/>
        <v>0</v>
      </c>
      <c r="AA100" s="153">
        <f t="shared" si="379"/>
        <v>11740.72</v>
      </c>
      <c r="AB100" s="153">
        <f t="shared" si="379"/>
        <v>31837.93</v>
      </c>
      <c r="AC100" s="153">
        <f t="shared" si="379"/>
        <v>31049.83</v>
      </c>
      <c r="AD100" s="153">
        <f t="shared" si="379"/>
        <v>0</v>
      </c>
      <c r="AE100" s="153">
        <f t="shared" si="379"/>
        <v>0</v>
      </c>
      <c r="AF100" s="153">
        <f t="shared" si="379"/>
        <v>5158.9000000000005</v>
      </c>
      <c r="AG100" s="153">
        <f t="shared" si="379"/>
        <v>2050</v>
      </c>
      <c r="AH100" s="153">
        <f t="shared" si="379"/>
        <v>40203.83</v>
      </c>
      <c r="AI100" s="153">
        <f t="shared" si="379"/>
        <v>671.27</v>
      </c>
      <c r="AJ100" s="153">
        <f t="shared" si="379"/>
        <v>58115.44</v>
      </c>
      <c r="AK100" s="153">
        <f t="shared" si="379"/>
        <v>0</v>
      </c>
      <c r="AL100" s="153">
        <f t="shared" si="379"/>
        <v>308099.33</v>
      </c>
      <c r="AM100" s="153">
        <f t="shared" si="379"/>
        <v>66935.460000000006</v>
      </c>
      <c r="AN100" s="153">
        <f t="shared" si="379"/>
        <v>43655.29</v>
      </c>
      <c r="AO100" s="153">
        <f t="shared" ref="AO100:AT100" si="380">SUM(AO92:AO93)</f>
        <v>0</v>
      </c>
      <c r="AP100" s="153">
        <f t="shared" si="380"/>
        <v>241.47</v>
      </c>
      <c r="AQ100" s="153">
        <f t="shared" si="380"/>
        <v>13406.05</v>
      </c>
      <c r="AR100" s="153">
        <f t="shared" si="380"/>
        <v>0</v>
      </c>
      <c r="AS100" s="153">
        <f t="shared" si="380"/>
        <v>0</v>
      </c>
      <c r="AT100" s="153">
        <f t="shared" si="380"/>
        <v>7237.72</v>
      </c>
      <c r="AU100" s="153">
        <f t="shared" ref="AU100:BN100" si="381">SUM(AU92:AU93)</f>
        <v>14094.28</v>
      </c>
      <c r="AV100" s="153">
        <f t="shared" si="381"/>
        <v>32112.42</v>
      </c>
      <c r="AW100" s="153">
        <f t="shared" si="381"/>
        <v>6973.25</v>
      </c>
      <c r="AX100" s="153">
        <f t="shared" si="381"/>
        <v>3927.0499999999997</v>
      </c>
      <c r="AY100" s="153">
        <f t="shared" si="381"/>
        <v>45445.32</v>
      </c>
      <c r="AZ100" s="153">
        <f t="shared" si="381"/>
        <v>195250.24</v>
      </c>
      <c r="BA100" s="153">
        <f t="shared" si="381"/>
        <v>244660.05000000002</v>
      </c>
      <c r="BB100" s="153">
        <f t="shared" si="381"/>
        <v>94922.19</v>
      </c>
      <c r="BC100" s="153">
        <f t="shared" si="381"/>
        <v>0</v>
      </c>
      <c r="BD100" s="153">
        <f t="shared" si="381"/>
        <v>0</v>
      </c>
      <c r="BE100" s="153">
        <f t="shared" si="381"/>
        <v>0</v>
      </c>
      <c r="BF100" s="153">
        <f t="shared" si="381"/>
        <v>0</v>
      </c>
      <c r="BG100" s="153">
        <f t="shared" si="381"/>
        <v>0</v>
      </c>
      <c r="BH100" s="153">
        <f t="shared" si="381"/>
        <v>4990456.8999999994</v>
      </c>
      <c r="BI100" s="153">
        <f t="shared" si="381"/>
        <v>5000454.51</v>
      </c>
      <c r="BJ100" s="153">
        <f t="shared" si="381"/>
        <v>-9997.6100000001024</v>
      </c>
      <c r="BK100" s="153">
        <f t="shared" si="381"/>
        <v>356204.61</v>
      </c>
      <c r="BL100" s="153">
        <f t="shared" si="381"/>
        <v>346206.99999999988</v>
      </c>
      <c r="BM100" s="176">
        <f t="shared" si="381"/>
        <v>55</v>
      </c>
      <c r="BN100" s="153">
        <f t="shared" si="381"/>
        <v>4199006.8499999996</v>
      </c>
      <c r="BO100" s="11" t="s">
        <v>304</v>
      </c>
      <c r="BP100" s="179">
        <f t="shared" ref="BP100:CU100" si="382">+BP94</f>
        <v>0.58120447250103835</v>
      </c>
      <c r="BQ100" s="180">
        <f t="shared" si="382"/>
        <v>67338.054345238081</v>
      </c>
      <c r="BR100" s="181">
        <f t="shared" si="382"/>
        <v>0</v>
      </c>
      <c r="BS100" s="182">
        <f t="shared" si="382"/>
        <v>0</v>
      </c>
      <c r="BT100" s="179">
        <f t="shared" si="382"/>
        <v>0.17374828559570676</v>
      </c>
      <c r="BU100" s="180">
        <f t="shared" si="382"/>
        <v>16406.781101190474</v>
      </c>
      <c r="BV100" s="181">
        <f t="shared" si="382"/>
        <v>0</v>
      </c>
      <c r="BW100" s="182">
        <f t="shared" si="382"/>
        <v>0</v>
      </c>
      <c r="BX100" s="179">
        <f t="shared" si="382"/>
        <v>7.1038857908834636E-3</v>
      </c>
      <c r="BY100" s="180">
        <f t="shared" si="382"/>
        <v>753.16964285714289</v>
      </c>
      <c r="BZ100" s="181">
        <f t="shared" si="382"/>
        <v>-1.6112569965565152E-3</v>
      </c>
      <c r="CA100" s="182">
        <f t="shared" si="382"/>
        <v>-132.76839285714286</v>
      </c>
      <c r="CB100" s="179">
        <f t="shared" si="382"/>
        <v>8.6298042978051829E-3</v>
      </c>
      <c r="CC100" s="180">
        <f t="shared" si="382"/>
        <v>793.45203869047623</v>
      </c>
      <c r="CD100" s="181">
        <f t="shared" si="382"/>
        <v>0.2303384388164777</v>
      </c>
      <c r="CE100" s="182">
        <f t="shared" si="382"/>
        <v>33286.398735119044</v>
      </c>
      <c r="CF100" s="183">
        <f t="shared" si="382"/>
        <v>1.4598698134748883E-4</v>
      </c>
      <c r="CG100" s="184">
        <f t="shared" si="382"/>
        <v>21.257440476190474</v>
      </c>
      <c r="CH100" s="181">
        <f t="shared" si="382"/>
        <v>1.4378609402214103E-4</v>
      </c>
      <c r="CI100" s="182">
        <f t="shared" si="382"/>
        <v>12.605654761904763</v>
      </c>
      <c r="CJ100" s="183">
        <f t="shared" si="382"/>
        <v>0.81291906060070795</v>
      </c>
      <c r="CK100" s="185">
        <f t="shared" si="382"/>
        <v>0.59526218413740883</v>
      </c>
      <c r="CL100" s="185">
        <f t="shared" si="382"/>
        <v>0.59532729584603405</v>
      </c>
      <c r="CM100" s="184">
        <f t="shared" si="382"/>
        <v>69270.683928571438</v>
      </c>
      <c r="CN100" s="181">
        <f t="shared" si="382"/>
        <v>0.1092664663538899</v>
      </c>
      <c r="CO100" s="186">
        <f t="shared" si="382"/>
        <v>8.8846139680945901E-2</v>
      </c>
      <c r="CP100" s="186">
        <f t="shared" si="382"/>
        <v>8.8677843764231656E-2</v>
      </c>
      <c r="CQ100" s="187">
        <f t="shared" si="382"/>
        <v>8739.67650297619</v>
      </c>
      <c r="CR100" s="183">
        <f t="shared" si="382"/>
        <v>7.6024122717857738E-3</v>
      </c>
      <c r="CS100" s="185">
        <f t="shared" si="382"/>
        <v>6.9067672595204375E-3</v>
      </c>
      <c r="CT100" s="185">
        <f t="shared" si="382"/>
        <v>6.8805272803775797E-3</v>
      </c>
      <c r="CU100" s="184">
        <f t="shared" si="382"/>
        <v>561.20249999999999</v>
      </c>
      <c r="CV100" s="181">
        <f t="shared" ref="CV100:EB100" si="383">+CV94</f>
        <v>5.4986912499016737E-2</v>
      </c>
      <c r="CW100" s="186">
        <f t="shared" si="383"/>
        <v>4.1959777934636899E-2</v>
      </c>
      <c r="CX100" s="186">
        <f t="shared" si="383"/>
        <v>4.1930208018635499E-2</v>
      </c>
      <c r="CY100" s="182">
        <f t="shared" si="383"/>
        <v>4575.9570982142859</v>
      </c>
      <c r="CZ100" s="183">
        <f t="shared" si="383"/>
        <v>0.9430238421878997</v>
      </c>
      <c r="DA100" s="185">
        <f t="shared" si="383"/>
        <v>0.70101898152881759</v>
      </c>
      <c r="DB100" s="185">
        <f t="shared" si="383"/>
        <v>0.70088436825389433</v>
      </c>
      <c r="DC100" s="184">
        <f t="shared" si="383"/>
        <v>79679.263913690476</v>
      </c>
      <c r="DD100" s="181">
        <f t="shared" si="383"/>
        <v>9.2972106595991732E-4</v>
      </c>
      <c r="DE100" s="186">
        <f t="shared" si="383"/>
        <v>7.6694202279206029E-4</v>
      </c>
      <c r="DF100" s="188">
        <f t="shared" si="383"/>
        <v>73.545446428571438</v>
      </c>
      <c r="DG100" s="183">
        <f t="shared" si="383"/>
        <v>8.5729073349545871E-5</v>
      </c>
      <c r="DH100" s="189">
        <f t="shared" si="383"/>
        <v>6.9923958333333331</v>
      </c>
      <c r="DI100" s="181">
        <f t="shared" si="383"/>
        <v>8.2007225228458436E-3</v>
      </c>
      <c r="DJ100" s="186">
        <f t="shared" si="383"/>
        <v>7.4220251441314711E-3</v>
      </c>
      <c r="DK100" s="188">
        <f t="shared" si="383"/>
        <v>605.36916666666673</v>
      </c>
      <c r="DL100" s="183">
        <f t="shared" si="383"/>
        <v>0.22902695271139858</v>
      </c>
      <c r="DM100" s="185">
        <f t="shared" si="383"/>
        <v>0.13876177068203144</v>
      </c>
      <c r="DN100" s="189">
        <f t="shared" si="383"/>
        <v>21426.44775297619</v>
      </c>
      <c r="DO100" s="181">
        <f t="shared" si="383"/>
        <v>1.4924452992748808E-2</v>
      </c>
      <c r="DP100" s="186">
        <f t="shared" si="383"/>
        <v>1.1494178087539924E-2</v>
      </c>
      <c r="DQ100" s="186">
        <f t="shared" si="383"/>
        <v>1.1484037681779493E-2</v>
      </c>
      <c r="DR100" s="188">
        <f t="shared" si="383"/>
        <v>1235.1765773809525</v>
      </c>
      <c r="DS100" s="183">
        <f t="shared" si="383"/>
        <v>7.4770964041014285E-3</v>
      </c>
      <c r="DT100" s="185">
        <f t="shared" si="383"/>
        <v>5.6793636257568662E-3</v>
      </c>
      <c r="DU100" s="189">
        <f t="shared" si="383"/>
        <v>623.70690476190475</v>
      </c>
      <c r="DV100" s="181">
        <f t="shared" si="383"/>
        <v>3.9767016648905675E-2</v>
      </c>
      <c r="DW100" s="186">
        <f t="shared" si="383"/>
        <v>3.405494593159536E-2</v>
      </c>
      <c r="DX100" s="188">
        <f t="shared" si="383"/>
        <v>3063.2733928571429</v>
      </c>
      <c r="DY100" s="183">
        <f t="shared" si="383"/>
        <v>6.2073974203591606E-3</v>
      </c>
      <c r="DZ100" s="189">
        <f t="shared" si="383"/>
        <v>547.32724702380949</v>
      </c>
      <c r="EA100" s="181">
        <f t="shared" si="383"/>
        <v>5.1391033096595054E-3</v>
      </c>
      <c r="EB100" s="188">
        <f t="shared" si="383"/>
        <v>419.63308035714289</v>
      </c>
      <c r="EC100" s="242">
        <f>SUM(EC92:EC93)</f>
        <v>38</v>
      </c>
    </row>
    <row r="101" spans="1:227" ht="13.8" thickBot="1">
      <c r="D101" s="190">
        <f t="shared" ref="D101:AN101" si="384">SUM(D96:D100)</f>
        <v>190927923.21000001</v>
      </c>
      <c r="E101" s="190">
        <f t="shared" si="384"/>
        <v>8007748.7199999988</v>
      </c>
      <c r="F101" s="190">
        <f t="shared" si="384"/>
        <v>27720631.310000002</v>
      </c>
      <c r="G101" s="190">
        <f t="shared" si="384"/>
        <v>0</v>
      </c>
      <c r="H101" s="190">
        <f t="shared" si="384"/>
        <v>8243574.6600000001</v>
      </c>
      <c r="I101" s="190">
        <f t="shared" si="384"/>
        <v>5559031.7999999998</v>
      </c>
      <c r="J101" s="190">
        <f t="shared" si="384"/>
        <v>6578554.2999999998</v>
      </c>
      <c r="K101" s="190">
        <f t="shared" si="384"/>
        <v>1938536.9600000004</v>
      </c>
      <c r="L101" s="190">
        <f t="shared" si="384"/>
        <v>4960984.0799999982</v>
      </c>
      <c r="M101" s="190">
        <f t="shared" si="384"/>
        <v>1353411.74</v>
      </c>
      <c r="N101" s="190">
        <f t="shared" si="384"/>
        <v>79281.100000000006</v>
      </c>
      <c r="O101" s="190">
        <f t="shared" si="384"/>
        <v>374924</v>
      </c>
      <c r="P101" s="190">
        <f t="shared" si="384"/>
        <v>6581789.0600000005</v>
      </c>
      <c r="Q101" s="190">
        <f t="shared" si="384"/>
        <v>9139300.6099999975</v>
      </c>
      <c r="R101" s="190">
        <f t="shared" si="384"/>
        <v>0</v>
      </c>
      <c r="S101" s="190">
        <f t="shared" si="384"/>
        <v>828391.51</v>
      </c>
      <c r="T101" s="190">
        <f t="shared" si="384"/>
        <v>0</v>
      </c>
      <c r="U101" s="190">
        <f t="shared" si="384"/>
        <v>125190757.03</v>
      </c>
      <c r="V101" s="190">
        <f t="shared" si="384"/>
        <v>473325.24</v>
      </c>
      <c r="W101" s="190">
        <f t="shared" si="384"/>
        <v>55609705.840000004</v>
      </c>
      <c r="X101" s="190">
        <f t="shared" si="384"/>
        <v>5707801.1100000003</v>
      </c>
      <c r="Y101" s="190">
        <f t="shared" si="384"/>
        <v>12304381.820000004</v>
      </c>
      <c r="Z101" s="190">
        <f t="shared" si="384"/>
        <v>573008.30000000005</v>
      </c>
      <c r="AA101" s="190">
        <f t="shared" si="384"/>
        <v>5250941.8999999994</v>
      </c>
      <c r="AB101" s="190">
        <f t="shared" si="384"/>
        <v>1361546.5999999996</v>
      </c>
      <c r="AC101" s="190">
        <f t="shared" si="384"/>
        <v>499048.34</v>
      </c>
      <c r="AD101" s="190">
        <f t="shared" si="384"/>
        <v>136751.50000000003</v>
      </c>
      <c r="AE101" s="190">
        <f t="shared" si="384"/>
        <v>32582.61</v>
      </c>
      <c r="AF101" s="190">
        <f t="shared" si="384"/>
        <v>3429525.4299999997</v>
      </c>
      <c r="AG101" s="190">
        <f t="shared" si="384"/>
        <v>480250.25</v>
      </c>
      <c r="AH101" s="190">
        <f t="shared" si="384"/>
        <v>3690603.3000000007</v>
      </c>
      <c r="AI101" s="190">
        <f t="shared" si="384"/>
        <v>675055.79</v>
      </c>
      <c r="AJ101" s="190">
        <f t="shared" si="384"/>
        <v>4118456.7899999986</v>
      </c>
      <c r="AK101" s="190">
        <f t="shared" si="384"/>
        <v>2284230.0399999991</v>
      </c>
      <c r="AL101" s="190">
        <f t="shared" si="384"/>
        <v>2750689.8199999994</v>
      </c>
      <c r="AM101" s="190">
        <f t="shared" si="384"/>
        <v>7411775.0100000007</v>
      </c>
      <c r="AN101" s="190">
        <f t="shared" si="384"/>
        <v>756367.97000000009</v>
      </c>
      <c r="AO101" s="190">
        <f t="shared" ref="AO101:AT101" si="385">SUM(AO96:AO100)</f>
        <v>31860.429999999997</v>
      </c>
      <c r="AP101" s="190">
        <f t="shared" si="385"/>
        <v>684192.67999999982</v>
      </c>
      <c r="AQ101" s="190">
        <f t="shared" si="385"/>
        <v>921516.62999999989</v>
      </c>
      <c r="AR101" s="190">
        <f t="shared" si="385"/>
        <v>185369.56</v>
      </c>
      <c r="AS101" s="190">
        <f t="shared" si="385"/>
        <v>165670.97000000003</v>
      </c>
      <c r="AT101" s="190">
        <f t="shared" si="385"/>
        <v>662674.28000000014</v>
      </c>
      <c r="AU101" s="190">
        <f t="shared" ref="AU101:BN101" si="386">SUM(AU96:AU100)</f>
        <v>907256.47</v>
      </c>
      <c r="AV101" s="190">
        <f t="shared" si="386"/>
        <v>1140531.2799999996</v>
      </c>
      <c r="AW101" s="190">
        <f t="shared" si="386"/>
        <v>1301437.0000000002</v>
      </c>
      <c r="AX101" s="190">
        <f t="shared" si="386"/>
        <v>1248809.5299999998</v>
      </c>
      <c r="AY101" s="190">
        <f t="shared" si="386"/>
        <v>10001264.029999999</v>
      </c>
      <c r="AZ101" s="190">
        <f t="shared" si="386"/>
        <v>5551691.0300000012</v>
      </c>
      <c r="BA101" s="190">
        <f t="shared" si="386"/>
        <v>15064691.799999999</v>
      </c>
      <c r="BB101" s="190">
        <f t="shared" si="386"/>
        <v>4453832.7</v>
      </c>
      <c r="BC101" s="190">
        <f t="shared" si="386"/>
        <v>73556.78</v>
      </c>
      <c r="BD101" s="190">
        <f t="shared" si="386"/>
        <v>0</v>
      </c>
      <c r="BE101" s="190">
        <f t="shared" si="386"/>
        <v>309577.67000000004</v>
      </c>
      <c r="BF101" s="190">
        <f t="shared" si="386"/>
        <v>540148.04</v>
      </c>
      <c r="BG101" s="190">
        <f t="shared" si="386"/>
        <v>162004.47</v>
      </c>
      <c r="BH101" s="190">
        <f t="shared" si="386"/>
        <v>271465691.54999995</v>
      </c>
      <c r="BI101" s="190">
        <f t="shared" si="386"/>
        <v>275440737.52999997</v>
      </c>
      <c r="BJ101" s="190">
        <f t="shared" si="386"/>
        <v>-3975045.9800000004</v>
      </c>
      <c r="BK101" s="190">
        <f t="shared" si="386"/>
        <v>3445434.9299999992</v>
      </c>
      <c r="BL101" s="190">
        <f t="shared" si="386"/>
        <v>-529611.05000000086</v>
      </c>
      <c r="BM101" s="190">
        <f t="shared" si="386"/>
        <v>26835</v>
      </c>
      <c r="BN101" s="191">
        <f t="shared" si="386"/>
        <v>226656303.23999998</v>
      </c>
      <c r="EC101" s="192">
        <f>SUM(EC96:EC100)</f>
        <v>5494</v>
      </c>
    </row>
    <row r="102" spans="1:227" ht="15.6" thickTop="1"/>
    <row r="103" spans="1:227" s="15" customFormat="1" ht="16.2" thickBot="1">
      <c r="A103" s="193"/>
      <c r="B103" s="194"/>
      <c r="C103" s="195" t="s">
        <v>296</v>
      </c>
      <c r="D103" s="196">
        <f>CFR20252026_BenchMarkDataReport!S90</f>
        <v>195306164.18000007</v>
      </c>
      <c r="E103" s="196">
        <f>CFR20252026_BenchMarkDataReport!T90</f>
        <v>8445943.2300000004</v>
      </c>
      <c r="F103" s="196">
        <f>CFR20252026_BenchMarkDataReport!U90</f>
        <v>27954979.580000006</v>
      </c>
      <c r="G103" s="196">
        <f>CFR20252026_BenchMarkDataReport!V90</f>
        <v>0</v>
      </c>
      <c r="H103" s="196">
        <f>CFR20252026_BenchMarkDataReport!W90</f>
        <v>8451267.9900000002</v>
      </c>
      <c r="I103" s="196">
        <f>CFR20252026_BenchMarkDataReport!X90</f>
        <v>5550428.7999999998</v>
      </c>
      <c r="J103" s="196">
        <f>CFR20252026_BenchMarkDataReport!Y90</f>
        <v>6615441.7999999998</v>
      </c>
      <c r="K103" s="196">
        <f>CFR20252026_BenchMarkDataReport!Z90</f>
        <v>1972141.9400000006</v>
      </c>
      <c r="L103" s="196">
        <f>CFR20252026_BenchMarkDataReport!AA90</f>
        <v>5002074.9499999983</v>
      </c>
      <c r="M103" s="196">
        <f>CFR20252026_BenchMarkDataReport!AB90</f>
        <v>1418333.44</v>
      </c>
      <c r="N103" s="196">
        <f>CFR20252026_BenchMarkDataReport!AC90</f>
        <v>79281.100000000006</v>
      </c>
      <c r="O103" s="196">
        <f>CFR20252026_BenchMarkDataReport!AD90</f>
        <v>387358.69</v>
      </c>
      <c r="P103" s="196">
        <f>CFR20252026_BenchMarkDataReport!AE90</f>
        <v>6679560.4699999979</v>
      </c>
      <c r="Q103" s="196">
        <f>CFR20252026_BenchMarkDataReport!AF90</f>
        <v>9140204.6199999992</v>
      </c>
      <c r="R103" s="196">
        <f>CFR20252026_BenchMarkDataReport!AG90</f>
        <v>0</v>
      </c>
      <c r="S103" s="196">
        <f>CFR20252026_BenchMarkDataReport!AH90</f>
        <v>828391.51</v>
      </c>
      <c r="T103" s="196">
        <f>CFR20252026_BenchMarkDataReport!AI90</f>
        <v>0</v>
      </c>
      <c r="U103" s="196">
        <f>CFR20252026_BenchMarkDataReport!AJ90</f>
        <v>128239178.31999998</v>
      </c>
      <c r="V103" s="196">
        <f>CFR20252026_BenchMarkDataReport!AK90</f>
        <v>473325.24000000005</v>
      </c>
      <c r="W103" s="196">
        <f>CFR20252026_BenchMarkDataReport!AL90</f>
        <v>56245033.980000004</v>
      </c>
      <c r="X103" s="196">
        <f>CFR20252026_BenchMarkDataReport!AM90</f>
        <v>5829223.0700000003</v>
      </c>
      <c r="Y103" s="196">
        <f>CFR20252026_BenchMarkDataReport!AN90</f>
        <v>12723994.369999999</v>
      </c>
      <c r="Z103" s="196">
        <f>CFR20252026_BenchMarkDataReport!AO90</f>
        <v>573008.30000000005</v>
      </c>
      <c r="AA103" s="196">
        <f>CFR20252026_BenchMarkDataReport!AP90</f>
        <v>5307659.5200000014</v>
      </c>
      <c r="AB103" s="196">
        <f>CFR20252026_BenchMarkDataReport!AQ90</f>
        <v>1375675.2700000003</v>
      </c>
      <c r="AC103" s="196">
        <f>CFR20252026_BenchMarkDataReport!AR90</f>
        <v>501259.33999999997</v>
      </c>
      <c r="AD103" s="196">
        <f>CFR20252026_BenchMarkDataReport!AS90</f>
        <v>136751.50000000003</v>
      </c>
      <c r="AE103" s="196">
        <f>CFR20252026_BenchMarkDataReport!AT90</f>
        <v>32733.54</v>
      </c>
      <c r="AF103" s="196">
        <f>CFR20252026_BenchMarkDataReport!AU90</f>
        <v>3533609.5800000005</v>
      </c>
      <c r="AG103" s="196">
        <f>CFR20252026_BenchMarkDataReport!AV90</f>
        <v>483806.24999999988</v>
      </c>
      <c r="AH103" s="196">
        <f>CFR20252026_BenchMarkDataReport!AW90</f>
        <v>3765519.5799999991</v>
      </c>
      <c r="AI103" s="196">
        <f>CFR20252026_BenchMarkDataReport!AX90</f>
        <v>704816.60999999975</v>
      </c>
      <c r="AJ103" s="196">
        <f>CFR20252026_BenchMarkDataReport!AY90</f>
        <v>4183276.5200000005</v>
      </c>
      <c r="AK103" s="196">
        <f>CFR20252026_BenchMarkDataReport!AZ90</f>
        <v>2392539.1599999988</v>
      </c>
      <c r="AL103" s="196">
        <f>CFR20252026_BenchMarkDataReport!BA90</f>
        <v>2795394.7</v>
      </c>
      <c r="AM103" s="196">
        <f>CFR20252026_BenchMarkDataReport!BB90</f>
        <v>7684986.7400000021</v>
      </c>
      <c r="AN103" s="196">
        <f>CFR20252026_BenchMarkDataReport!BC90</f>
        <v>780085.59000000008</v>
      </c>
      <c r="AO103" s="196">
        <f>CFR20252026_BenchMarkDataReport!BD90</f>
        <v>31860.430000000004</v>
      </c>
      <c r="AP103" s="196">
        <f>CFR20252026_BenchMarkDataReport!BE90</f>
        <v>684192.67999999993</v>
      </c>
      <c r="AQ103" s="196">
        <f>CFR20252026_BenchMarkDataReport!BF90</f>
        <v>921516.63</v>
      </c>
      <c r="AR103" s="196">
        <f>CFR20252026_BenchMarkDataReport!BG90</f>
        <v>185369.56000000003</v>
      </c>
      <c r="AS103" s="196">
        <f>CFR20252026_BenchMarkDataReport!BH90</f>
        <v>165670.97</v>
      </c>
      <c r="AT103" s="196">
        <f>CFR20252026_BenchMarkDataReport!BI90</f>
        <v>662674.28</v>
      </c>
      <c r="AU103" s="196">
        <f>CFR20252026_BenchMarkDataReport!BJ90</f>
        <v>1022414.5399999999</v>
      </c>
      <c r="AV103" s="196">
        <f>CFR20252026_BenchMarkDataReport!BK90</f>
        <v>1228027.5099999998</v>
      </c>
      <c r="AW103" s="196">
        <f>CFR20252026_BenchMarkDataReport!BL90</f>
        <v>1320869.2400000002</v>
      </c>
      <c r="AX103" s="196">
        <f>CFR20252026_BenchMarkDataReport!BM90</f>
        <v>1251763.4899999995</v>
      </c>
      <c r="AY103" s="196">
        <f>CFR20252026_BenchMarkDataReport!BN90</f>
        <v>10202309.340000004</v>
      </c>
      <c r="AZ103" s="196">
        <f>CFR20252026_BenchMarkDataReport!BO90</f>
        <v>5592603.3100000005</v>
      </c>
      <c r="BA103" s="196">
        <f>CFR20252026_BenchMarkDataReport!BP90</f>
        <v>15353125.380000003</v>
      </c>
      <c r="BB103" s="196">
        <f>CFR20252026_BenchMarkDataReport!BQ90</f>
        <v>4564045.7799999984</v>
      </c>
      <c r="BC103" s="196">
        <f>CFR20252026_BenchMarkDataReport!BR90</f>
        <v>73556.78</v>
      </c>
      <c r="BD103" s="196">
        <f>CFR20252026_BenchMarkDataReport!BS90</f>
        <v>0</v>
      </c>
      <c r="BE103" s="196">
        <f>CFR20252026_BenchMarkDataReport!BT90</f>
        <v>309577.67</v>
      </c>
      <c r="BF103" s="196">
        <f>CFR20252026_BenchMarkDataReport!BU90</f>
        <v>540148.04</v>
      </c>
      <c r="BG103" s="196">
        <f>CFR20252026_BenchMarkDataReport!BV90</f>
        <v>162004.47</v>
      </c>
      <c r="BH103" s="196"/>
      <c r="BI103" s="196"/>
      <c r="BJ103" s="196"/>
      <c r="BK103" s="196"/>
      <c r="BL103" s="196"/>
      <c r="BM103" s="196"/>
      <c r="BN103" s="196"/>
      <c r="BO103" s="16"/>
      <c r="BP103" s="197"/>
      <c r="BQ103" s="197"/>
      <c r="BR103" s="198"/>
      <c r="BS103" s="198"/>
      <c r="BT103" s="197"/>
      <c r="BU103" s="197"/>
      <c r="BV103" s="198"/>
      <c r="BW103" s="198"/>
      <c r="BX103" s="197"/>
      <c r="BY103" s="197"/>
      <c r="BZ103" s="198"/>
      <c r="CA103" s="198"/>
      <c r="CB103" s="197"/>
      <c r="CC103" s="197"/>
      <c r="CD103" s="198"/>
      <c r="CE103" s="198"/>
      <c r="CF103" s="199"/>
      <c r="CG103" s="200"/>
      <c r="CH103" s="198"/>
      <c r="CI103" s="201"/>
      <c r="CJ103" s="199"/>
      <c r="CK103" s="199"/>
      <c r="CL103" s="199"/>
      <c r="CM103" s="200"/>
      <c r="CN103" s="198"/>
      <c r="CO103" s="198"/>
      <c r="CP103" s="198"/>
      <c r="CQ103" s="201"/>
      <c r="CR103" s="199"/>
      <c r="CS103" s="199"/>
      <c r="CT103" s="199"/>
      <c r="CU103" s="200"/>
      <c r="CV103" s="198"/>
      <c r="CW103" s="198"/>
      <c r="CX103" s="198"/>
      <c r="CY103" s="201"/>
      <c r="CZ103" s="199"/>
      <c r="DA103" s="199"/>
      <c r="DB103" s="199"/>
      <c r="DC103" s="200"/>
      <c r="DD103" s="198"/>
      <c r="DE103" s="198"/>
      <c r="DF103" s="201"/>
      <c r="DG103" s="199"/>
      <c r="DH103" s="200"/>
      <c r="DI103" s="198"/>
      <c r="DJ103" s="198"/>
      <c r="DK103" s="201"/>
      <c r="DL103" s="199"/>
      <c r="DM103" s="199"/>
      <c r="DN103" s="199"/>
      <c r="DO103" s="198"/>
      <c r="DP103" s="198"/>
      <c r="DQ103" s="198"/>
      <c r="DR103" s="201"/>
      <c r="DS103" s="199"/>
      <c r="DT103" s="199"/>
      <c r="DU103" s="200"/>
      <c r="DV103" s="198"/>
      <c r="DW103" s="198"/>
      <c r="DX103" s="201"/>
      <c r="DY103" s="202"/>
      <c r="DZ103" s="200"/>
      <c r="EA103" s="203"/>
      <c r="EB103" s="204"/>
      <c r="EC103" s="205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X103" s="16"/>
      <c r="FY103" s="16"/>
      <c r="FZ103" s="16"/>
      <c r="GA103" s="16"/>
      <c r="GB103" s="16"/>
      <c r="GC103" s="16"/>
      <c r="GD103" s="16"/>
      <c r="GE103" s="16"/>
      <c r="GF103" s="16"/>
      <c r="GG103" s="16"/>
      <c r="GH103" s="16"/>
      <c r="GI103" s="16"/>
      <c r="GJ103" s="16"/>
      <c r="GK103" s="16"/>
      <c r="GL103" s="16"/>
      <c r="GM103" s="16"/>
      <c r="GN103" s="16"/>
      <c r="GO103" s="16"/>
      <c r="GP103" s="16"/>
      <c r="GQ103" s="16"/>
      <c r="GR103" s="16"/>
      <c r="GS103" s="16"/>
      <c r="GT103" s="16"/>
      <c r="GU103" s="16"/>
      <c r="GV103" s="16"/>
      <c r="GW103" s="16"/>
      <c r="GX103" s="16"/>
      <c r="GY103" s="16"/>
      <c r="GZ103" s="16"/>
      <c r="HA103" s="16"/>
      <c r="HB103" s="16"/>
      <c r="HC103" s="16"/>
      <c r="HD103" s="16"/>
      <c r="HE103" s="16"/>
      <c r="HF103" s="16"/>
      <c r="HG103" s="16"/>
      <c r="HH103" s="16"/>
      <c r="HI103" s="16"/>
      <c r="HJ103" s="16"/>
      <c r="HK103" s="16"/>
      <c r="HL103" s="16"/>
      <c r="HM103" s="16"/>
      <c r="HN103" s="16"/>
      <c r="HO103" s="16"/>
      <c r="HP103" s="16"/>
      <c r="HQ103" s="16"/>
      <c r="HR103" s="16"/>
      <c r="HS103" s="16"/>
    </row>
    <row r="104" spans="1:227" ht="15.6" thickTop="1">
      <c r="BH104" s="206"/>
    </row>
    <row r="105" spans="1:227">
      <c r="C105" s="11" t="s">
        <v>343</v>
      </c>
      <c r="D105" s="207">
        <f>(D101-D103)+CFR20252026_BenchMarkDataReport!S75</f>
        <v>-5.8673322200775146E-8</v>
      </c>
      <c r="E105" s="207">
        <f>(E101-E103)+CFR20252026_BenchMarkDataReport!T75</f>
        <v>-1.6298145055770874E-9</v>
      </c>
      <c r="F105" s="207">
        <f>(F101-F103)+CFR20252026_BenchMarkDataReport!U75</f>
        <v>-3.2887328416109085E-9</v>
      </c>
      <c r="G105" s="207">
        <f>(G101-G103)+CFR20252026_BenchMarkDataReport!V75</f>
        <v>0</v>
      </c>
      <c r="H105" s="207">
        <f>(H101-H103)+CFR20252026_BenchMarkDataReport!W75</f>
        <v>0</v>
      </c>
      <c r="I105" s="207">
        <f>(I101-I103)+CFR20252026_BenchMarkDataReport!X75</f>
        <v>0</v>
      </c>
      <c r="J105" s="207">
        <f>(J101-J103)+CFR20252026_BenchMarkDataReport!Y75</f>
        <v>0</v>
      </c>
      <c r="K105" s="207">
        <f>(K101-K103)+CFR20252026_BenchMarkDataReport!Z75</f>
        <v>-2.1100277081131935E-10</v>
      </c>
      <c r="L105" s="207">
        <f>(L101-L103)+CFR20252026_BenchMarkDataReport!AA75</f>
        <v>-1.0913936421275139E-10</v>
      </c>
      <c r="M105" s="207">
        <f>(M101-M103)+CFR20252026_BenchMarkDataReport!AB75</f>
        <v>0</v>
      </c>
      <c r="N105" s="207">
        <f>(N101-N103)+CFR20252026_BenchMarkDataReport!AC75</f>
        <v>0</v>
      </c>
      <c r="O105" s="207">
        <f>(O101-O103)+CFR20252026_BenchMarkDataReport!AD75</f>
        <v>0</v>
      </c>
      <c r="P105" s="207">
        <f>(P101-P103)+CFR20252026_BenchMarkDataReport!AE75</f>
        <v>2.648448571562767E-9</v>
      </c>
      <c r="Q105" s="207">
        <f>(Q101-Q103)+CFR20252026_BenchMarkDataReport!AF75</f>
        <v>-1.6391368262702599E-9</v>
      </c>
      <c r="R105" s="207">
        <f>(R101-R103)+CFR20252026_BenchMarkDataReport!AG75</f>
        <v>0</v>
      </c>
      <c r="S105" s="207">
        <f>(S101-S103)+CFR20252026_BenchMarkDataReport!AH75</f>
        <v>0</v>
      </c>
      <c r="T105" s="207">
        <f>(T101-T103)+CFR20252026_BenchMarkDataReport!AI75</f>
        <v>0</v>
      </c>
      <c r="U105" s="207">
        <f>(U101-U103)+CFR20252026_BenchMarkDataReport!AJ75</f>
        <v>2.3283064365386963E-8</v>
      </c>
      <c r="V105" s="207">
        <f>(V101-V103)+CFR20252026_BenchMarkDataReport!AK75</f>
        <v>-5.8207660913467407E-11</v>
      </c>
      <c r="W105" s="207">
        <f>(W101-W103)+CFR20252026_BenchMarkDataReport!AL75</f>
        <v>0</v>
      </c>
      <c r="X105" s="207">
        <f>(X101-X103)+CFR20252026_BenchMarkDataReport!AM75</f>
        <v>0</v>
      </c>
      <c r="Y105" s="207">
        <f>(Y101-Y103)+CFR20252026_BenchMarkDataReport!AN75</f>
        <v>4.8312358558177948E-9</v>
      </c>
      <c r="Z105" s="207">
        <f>(Z101-Z103)+CFR20252026_BenchMarkDataReport!AO75</f>
        <v>0</v>
      </c>
      <c r="AA105" s="207">
        <f>(AA101-AA103)+CFR20252026_BenchMarkDataReport!AP75</f>
        <v>-1.9717845134437084E-9</v>
      </c>
      <c r="AB105" s="207">
        <f>(AB101-AB103)+CFR20252026_BenchMarkDataReport!AQ75</f>
        <v>-6.2391336541622877E-10</v>
      </c>
      <c r="AC105" s="207">
        <f>(AC101-AC103)+CFR20252026_BenchMarkDataReport!AR75</f>
        <v>5.8207660913467407E-11</v>
      </c>
      <c r="AD105" s="207">
        <f>(AD101-AD103)+CFR20252026_BenchMarkDataReport!AS75</f>
        <v>0</v>
      </c>
      <c r="AE105" s="207">
        <f>(AE101-AE103)+CFR20252026_BenchMarkDataReport!AT75</f>
        <v>-2.8421709430404007E-13</v>
      </c>
      <c r="AF105" s="207">
        <f>(AF101-AF103)+CFR20252026_BenchMarkDataReport!AU75</f>
        <v>-8.440110832452774E-10</v>
      </c>
      <c r="AG105" s="207">
        <f>(AG101-AG103)+CFR20252026_BenchMarkDataReport!AV75</f>
        <v>1.1641532182693481E-10</v>
      </c>
      <c r="AH105" s="207">
        <f>(AH101-AH103)+CFR20252026_BenchMarkDataReport!AW75</f>
        <v>1.6007106751203537E-9</v>
      </c>
      <c r="AI105" s="207">
        <f>(AI101-AI103)+CFR20252026_BenchMarkDataReport!AX75</f>
        <v>2.8376234695315361E-10</v>
      </c>
      <c r="AJ105" s="207">
        <f>(AJ101-AJ103)+CFR20252026_BenchMarkDataReport!AY75</f>
        <v>-1.8408172763884068E-9</v>
      </c>
      <c r="AK105" s="207">
        <f>(AK101-AK103)+CFR20252026_BenchMarkDataReport!AZ75</f>
        <v>3.4924596548080444E-10</v>
      </c>
      <c r="AL105" s="207">
        <f>(AL101-AL103)+CFR20252026_BenchMarkDataReport!BA75</f>
        <v>-8.2218321040272713E-10</v>
      </c>
      <c r="AM105" s="207">
        <f>(AM101-AM103)+CFR20252026_BenchMarkDataReport!BB75</f>
        <v>-1.3969838619232178E-9</v>
      </c>
      <c r="AN105" s="207">
        <f>(AN101-AN103)+CFR20252026_BenchMarkDataReport!BC75</f>
        <v>0</v>
      </c>
      <c r="AO105" s="207">
        <f>(AO101-AO103)+CFR20252026_BenchMarkDataReport!BD75</f>
        <v>-7.2759576141834259E-12</v>
      </c>
      <c r="AP105" s="207">
        <f>(AP101-AP103)+CFR20252026_BenchMarkDataReport!BE75</f>
        <v>-1.1641532182693481E-10</v>
      </c>
      <c r="AQ105" s="207">
        <f>(AQ101-AQ103)+CFR20252026_BenchMarkDataReport!BF75</f>
        <v>-1.1641532182693481E-10</v>
      </c>
      <c r="AR105" s="207">
        <f>(AR101-AR103)+CFR20252026_BenchMarkDataReport!BG75</f>
        <v>-2.9103830456733704E-11</v>
      </c>
      <c r="AS105" s="207">
        <f>(AS101-AS103)+CFR20252026_BenchMarkDataReport!BH75</f>
        <v>2.9103830456733704E-11</v>
      </c>
      <c r="AT105" s="207">
        <f>(AT101-AT103)+CFR20252026_BenchMarkDataReport!BI75</f>
        <v>1.1641532182693481E-10</v>
      </c>
      <c r="AU105" s="207">
        <f>(AU101-AU103)+CFR20252026_BenchMarkDataReport!BJ75</f>
        <v>0</v>
      </c>
      <c r="AV105" s="207">
        <f>(AV101-AV103)+CFR20252026_BenchMarkDataReport!BK75</f>
        <v>-2.1827872842550278E-10</v>
      </c>
      <c r="AW105" s="207">
        <f>(AW101-AW103)+CFR20252026_BenchMarkDataReport!BL75</f>
        <v>0</v>
      </c>
      <c r="AX105" s="207">
        <f>(AX101-AX103)+CFR20252026_BenchMarkDataReport!BM75</f>
        <v>2.7011992642655969E-10</v>
      </c>
      <c r="AY105" s="207">
        <f>(AY101-AY103)+CFR20252026_BenchMarkDataReport!BN75</f>
        <v>-4.2491592466831207E-9</v>
      </c>
      <c r="AZ105" s="207">
        <f>(AZ101-AZ103)+CFR20252026_BenchMarkDataReport!BO75</f>
        <v>6.6938810050487518E-10</v>
      </c>
      <c r="BA105" s="207">
        <f>(BA101-BA103)+CFR20252026_BenchMarkDataReport!BP75</f>
        <v>-3.7834979593753815E-9</v>
      </c>
      <c r="BB105" s="207">
        <f>(BB101-BB103)+CFR20252026_BenchMarkDataReport!BQ75</f>
        <v>1.7898855730891228E-9</v>
      </c>
      <c r="BC105" s="207">
        <f>(BC101-BC103)+CFR20252026_BenchMarkDataReport!BR75</f>
        <v>0</v>
      </c>
      <c r="BD105" s="207">
        <f>(BD101-BD103)+CFR20252026_BenchMarkDataReport!BS75</f>
        <v>0</v>
      </c>
      <c r="BE105" s="207">
        <f>(BE101-BE103)+CFR20252026_BenchMarkDataReport!BT75</f>
        <v>5.8207660913467407E-11</v>
      </c>
      <c r="BF105" s="207">
        <f>(BF101-BF103)+CFR20252026_BenchMarkDataReport!BU75</f>
        <v>0</v>
      </c>
      <c r="BG105" s="207">
        <f>(BG101-BG103)+CFR20252026_BenchMarkDataReport!BV75</f>
        <v>0</v>
      </c>
      <c r="BH105" s="207"/>
      <c r="BI105" s="207"/>
      <c r="BJ105" s="207"/>
      <c r="BK105" s="207"/>
      <c r="BL105" s="207"/>
      <c r="BM105" s="207"/>
    </row>
    <row r="108" spans="1:227">
      <c r="D108" s="231"/>
    </row>
    <row r="109" spans="1:227">
      <c r="D109" s="231"/>
    </row>
    <row r="111" spans="1:227">
      <c r="D111" s="231"/>
    </row>
  </sheetData>
  <sheetProtection algorithmName="SHA-512" hashValue="LNLI4NTDQPxxx5lNa4hT23SSnbU3cFrh9PXKpXjZTehA77Qo7IL8uCnP2kc1aDJJU5xBCk5kkNCPVvPD25EE6Q==" saltValue="JTwbHaB/A6i23j8XsdSXVg==" spinCount="100000" sheet="1" objects="1" scenarios="1"/>
  <mergeCells count="25">
    <mergeCell ref="BP2:BQ2"/>
    <mergeCell ref="BR2:BS2"/>
    <mergeCell ref="BT2:BU2"/>
    <mergeCell ref="BV2:BW2"/>
    <mergeCell ref="BX2:BY2"/>
    <mergeCell ref="BZ2:CA2"/>
    <mergeCell ref="CB2:CC2"/>
    <mergeCell ref="CD2:CE2"/>
    <mergeCell ref="CJ2:CM2"/>
    <mergeCell ref="CF2:CG2"/>
    <mergeCell ref="CH2:CI2"/>
    <mergeCell ref="EC2:EC3"/>
    <mergeCell ref="DY2:DZ2"/>
    <mergeCell ref="CN2:CQ2"/>
    <mergeCell ref="CR2:CU2"/>
    <mergeCell ref="CV2:CY2"/>
    <mergeCell ref="EA2:EB2"/>
    <mergeCell ref="DS2:DU2"/>
    <mergeCell ref="DV2:DX2"/>
    <mergeCell ref="CZ2:DC2"/>
    <mergeCell ref="DI2:DK2"/>
    <mergeCell ref="DO2:DR2"/>
    <mergeCell ref="DL2:DN2"/>
    <mergeCell ref="DD2:DF2"/>
    <mergeCell ref="DG2:DH2"/>
  </mergeCells>
  <phoneticPr fontId="7" type="noConversion"/>
  <pageMargins left="0.75" right="0.75" top="1" bottom="1" header="0.5" footer="0.5"/>
  <pageSetup paperSize="9" orientation="portrait" r:id="rId1"/>
  <headerFooter alignWithMargins="0"/>
  <ignoredErrors>
    <ignoredError sqref="BP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A12F7-97F0-41A4-9CEF-7D5EC24E3ED6}">
  <dimension ref="A1:CQ90"/>
  <sheetViews>
    <sheetView showGridLines="0" topLeftCell="D54" workbookViewId="0">
      <selection activeCell="EE3" sqref="EE3"/>
    </sheetView>
  </sheetViews>
  <sheetFormatPr defaultRowHeight="14.4"/>
  <cols>
    <col min="1" max="1" width="15.5546875" style="25" customWidth="1"/>
    <col min="2" max="2" width="16.6640625" style="25" customWidth="1"/>
    <col min="3" max="3" width="38" style="25" customWidth="1"/>
    <col min="4" max="4" width="28.109375" style="25" customWidth="1"/>
    <col min="5" max="5" width="35.88671875" style="25" customWidth="1"/>
    <col min="6" max="8" width="13.6640625" style="25" customWidth="1"/>
    <col min="9" max="9" width="17.44140625" style="25" customWidth="1"/>
    <col min="10" max="10" width="18.6640625" style="25" customWidth="1"/>
    <col min="11" max="11" width="13.6640625" style="25" customWidth="1"/>
    <col min="12" max="12" width="17.6640625" style="25" customWidth="1"/>
    <col min="13" max="13" width="13.6640625" style="25" customWidth="1"/>
    <col min="14" max="14" width="19.109375" style="25" customWidth="1"/>
    <col min="15" max="15" width="13.6640625" style="25" customWidth="1"/>
    <col min="16" max="16" width="16.21875" style="25" customWidth="1"/>
    <col min="17" max="18" width="13.6640625" style="25" customWidth="1"/>
    <col min="19" max="19" width="15.5546875" style="25" bestFit="1" customWidth="1"/>
    <col min="20" max="26" width="13.6640625" style="25" customWidth="1"/>
    <col min="27" max="27" width="13.5546875" style="25" customWidth="1"/>
    <col min="28" max="35" width="13.6640625" style="25" customWidth="1"/>
    <col min="36" max="36" width="15.5546875" style="25" bestFit="1" customWidth="1"/>
    <col min="37" max="55" width="13.6640625" style="25" customWidth="1"/>
    <col min="56" max="56" width="13.5546875" style="25" customWidth="1"/>
    <col min="57" max="58" width="13.44140625" style="25" customWidth="1"/>
    <col min="59" max="59" width="13.5546875" style="25" customWidth="1"/>
    <col min="60" max="61" width="13.44140625" style="25" customWidth="1"/>
    <col min="62" max="69" width="13.6640625" style="25" customWidth="1"/>
    <col min="70" max="70" width="13.44140625" style="25" customWidth="1"/>
    <col min="71" max="74" width="13.6640625" style="25" customWidth="1"/>
    <col min="75" max="75" width="0.21875" style="25" customWidth="1"/>
    <col min="76" max="76" width="13.5546875" style="25" customWidth="1"/>
    <col min="77" max="78" width="13.6640625" style="25" customWidth="1"/>
    <col min="79" max="79" width="17" style="25" customWidth="1"/>
    <col min="80" max="83" width="13.6640625" style="25" customWidth="1"/>
    <col min="84" max="85" width="13.44140625" style="25" customWidth="1"/>
    <col min="86" max="86" width="13.5546875" style="25" customWidth="1"/>
    <col min="87" max="87" width="13.44140625" style="25" customWidth="1"/>
    <col min="88" max="91" width="13.6640625" style="25" customWidth="1"/>
    <col min="92" max="92" width="13.5546875" style="25" customWidth="1"/>
    <col min="93" max="93" width="13.44140625" style="25" customWidth="1"/>
    <col min="94" max="94" width="0" style="25" hidden="1" customWidth="1"/>
    <col min="95" max="95" width="15.44140625" style="25" customWidth="1"/>
    <col min="96" max="16384" width="8.88671875" style="25"/>
  </cols>
  <sheetData>
    <row r="1" spans="1:95" ht="31.2" customHeight="1">
      <c r="A1" s="336" t="s">
        <v>459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7"/>
      <c r="AB1" s="337"/>
      <c r="AC1" s="337"/>
      <c r="AD1" s="337"/>
      <c r="AE1" s="337"/>
      <c r="AF1" s="337"/>
      <c r="AG1" s="337"/>
      <c r="AH1" s="337"/>
      <c r="AI1" s="337"/>
      <c r="AJ1" s="337"/>
      <c r="AK1" s="337"/>
      <c r="AL1" s="337"/>
      <c r="AM1" s="337"/>
      <c r="AN1" s="337"/>
      <c r="AO1" s="337"/>
      <c r="AP1" s="337"/>
      <c r="AQ1" s="337"/>
      <c r="AR1" s="337"/>
      <c r="AS1" s="337"/>
      <c r="AT1" s="337"/>
      <c r="AU1" s="337"/>
      <c r="AV1" s="337"/>
      <c r="AW1" s="337"/>
      <c r="AX1" s="337"/>
      <c r="AY1" s="337"/>
      <c r="AZ1" s="337"/>
      <c r="BA1" s="337"/>
      <c r="BB1" s="337"/>
      <c r="BC1" s="337"/>
      <c r="BD1" s="337"/>
      <c r="BE1" s="337"/>
      <c r="BF1" s="337"/>
      <c r="BG1" s="337"/>
      <c r="BH1" s="337"/>
      <c r="BI1" s="337"/>
      <c r="BJ1" s="337"/>
      <c r="BK1" s="337"/>
      <c r="BL1" s="337"/>
      <c r="BM1" s="337"/>
      <c r="BN1" s="337"/>
      <c r="BO1" s="337"/>
      <c r="BP1" s="337"/>
      <c r="BQ1" s="337"/>
      <c r="BR1" s="337"/>
      <c r="BS1" s="337"/>
      <c r="BT1" s="337"/>
      <c r="BU1" s="337"/>
      <c r="BV1" s="337"/>
      <c r="BW1" s="337"/>
    </row>
    <row r="2" spans="1:95" ht="4.5" customHeight="1"/>
    <row r="3" spans="1:95" ht="15.6">
      <c r="A3" s="225" t="s">
        <v>391</v>
      </c>
      <c r="B3" s="225" t="s">
        <v>392</v>
      </c>
      <c r="C3" s="225" t="s">
        <v>114</v>
      </c>
      <c r="D3" s="225" t="s">
        <v>393</v>
      </c>
      <c r="E3" s="225" t="s">
        <v>394</v>
      </c>
      <c r="F3" s="225" t="s">
        <v>395</v>
      </c>
      <c r="G3" s="225" t="s">
        <v>396</v>
      </c>
      <c r="H3" s="225" t="s">
        <v>397</v>
      </c>
      <c r="I3" s="225" t="s">
        <v>398</v>
      </c>
      <c r="J3" s="225" t="s">
        <v>399</v>
      </c>
      <c r="K3" s="225" t="s">
        <v>400</v>
      </c>
      <c r="L3" s="225" t="s">
        <v>401</v>
      </c>
      <c r="M3" s="225" t="s">
        <v>402</v>
      </c>
      <c r="N3" s="225" t="s">
        <v>403</v>
      </c>
      <c r="O3" s="225" t="s">
        <v>405</v>
      </c>
      <c r="P3" s="225" t="s">
        <v>273</v>
      </c>
      <c r="Q3" s="225" t="s">
        <v>274</v>
      </c>
      <c r="R3" s="225" t="s">
        <v>275</v>
      </c>
      <c r="S3" s="225" t="s">
        <v>179</v>
      </c>
      <c r="T3" s="225" t="s">
        <v>180</v>
      </c>
      <c r="U3" s="225" t="s">
        <v>181</v>
      </c>
      <c r="V3" s="225" t="s">
        <v>182</v>
      </c>
      <c r="W3" s="225" t="s">
        <v>183</v>
      </c>
      <c r="X3" s="225" t="s">
        <v>184</v>
      </c>
      <c r="Y3" s="225" t="s">
        <v>185</v>
      </c>
      <c r="Z3" s="225" t="s">
        <v>406</v>
      </c>
      <c r="AA3" s="225" t="s">
        <v>407</v>
      </c>
      <c r="AB3" s="225" t="s">
        <v>186</v>
      </c>
      <c r="AC3" s="225" t="s">
        <v>187</v>
      </c>
      <c r="AD3" s="225" t="s">
        <v>188</v>
      </c>
      <c r="AE3" s="225" t="s">
        <v>189</v>
      </c>
      <c r="AF3" s="225" t="s">
        <v>190</v>
      </c>
      <c r="AG3" s="225" t="s">
        <v>191</v>
      </c>
      <c r="AH3" s="225" t="s">
        <v>192</v>
      </c>
      <c r="AI3" s="225" t="s">
        <v>193</v>
      </c>
      <c r="AJ3" s="225" t="s">
        <v>194</v>
      </c>
      <c r="AK3" s="225" t="s">
        <v>195</v>
      </c>
      <c r="AL3" s="225" t="s">
        <v>196</v>
      </c>
      <c r="AM3" s="225" t="s">
        <v>197</v>
      </c>
      <c r="AN3" s="225" t="s">
        <v>198</v>
      </c>
      <c r="AO3" s="225" t="s">
        <v>199</v>
      </c>
      <c r="AP3" s="225" t="s">
        <v>200</v>
      </c>
      <c r="AQ3" s="225" t="s">
        <v>201</v>
      </c>
      <c r="AR3" s="225" t="s">
        <v>202</v>
      </c>
      <c r="AS3" s="225" t="s">
        <v>203</v>
      </c>
      <c r="AT3" s="225" t="s">
        <v>204</v>
      </c>
      <c r="AU3" s="225" t="s">
        <v>205</v>
      </c>
      <c r="AV3" s="225" t="s">
        <v>206</v>
      </c>
      <c r="AW3" s="225" t="s">
        <v>207</v>
      </c>
      <c r="AX3" s="225" t="s">
        <v>208</v>
      </c>
      <c r="AY3" s="225" t="s">
        <v>209</v>
      </c>
      <c r="AZ3" s="225" t="s">
        <v>210</v>
      </c>
      <c r="BA3" s="225" t="s">
        <v>211</v>
      </c>
      <c r="BB3" s="225" t="s">
        <v>212</v>
      </c>
      <c r="BC3" s="225" t="s">
        <v>460</v>
      </c>
      <c r="BD3" s="225" t="s">
        <v>461</v>
      </c>
      <c r="BE3" s="225" t="s">
        <v>462</v>
      </c>
      <c r="BF3" s="225" t="s">
        <v>463</v>
      </c>
      <c r="BG3" s="225" t="s">
        <v>464</v>
      </c>
      <c r="BH3" s="225" t="s">
        <v>465</v>
      </c>
      <c r="BI3" s="225" t="s">
        <v>466</v>
      </c>
      <c r="BJ3" s="225" t="s">
        <v>213</v>
      </c>
      <c r="BK3" s="225" t="s">
        <v>214</v>
      </c>
      <c r="BL3" s="225" t="s">
        <v>215</v>
      </c>
      <c r="BM3" s="225" t="s">
        <v>216</v>
      </c>
      <c r="BN3" s="225" t="s">
        <v>217</v>
      </c>
      <c r="BO3" s="225" t="s">
        <v>218</v>
      </c>
      <c r="BP3" s="225" t="s">
        <v>219</v>
      </c>
      <c r="BQ3" s="225" t="s">
        <v>408</v>
      </c>
      <c r="BR3" s="225" t="s">
        <v>409</v>
      </c>
      <c r="BS3" s="225" t="s">
        <v>220</v>
      </c>
      <c r="BT3" s="225" t="s">
        <v>221</v>
      </c>
      <c r="BU3" s="225" t="s">
        <v>222</v>
      </c>
      <c r="BV3" s="225" t="s">
        <v>223</v>
      </c>
      <c r="BW3" s="338" t="s">
        <v>276</v>
      </c>
      <c r="BX3" s="335"/>
      <c r="BY3" s="225" t="s">
        <v>277</v>
      </c>
      <c r="BZ3" s="225" t="s">
        <v>410</v>
      </c>
      <c r="CA3" s="225" t="s">
        <v>411</v>
      </c>
      <c r="CB3" s="225" t="s">
        <v>278</v>
      </c>
      <c r="CC3" s="225" t="s">
        <v>279</v>
      </c>
      <c r="CD3" s="225" t="s">
        <v>280</v>
      </c>
      <c r="CE3" s="225" t="s">
        <v>467</v>
      </c>
      <c r="CF3" s="225" t="s">
        <v>468</v>
      </c>
      <c r="CG3" s="225" t="s">
        <v>469</v>
      </c>
      <c r="CH3" s="225" t="s">
        <v>470</v>
      </c>
      <c r="CI3" s="225" t="s">
        <v>471</v>
      </c>
      <c r="CJ3" s="225" t="s">
        <v>412</v>
      </c>
      <c r="CK3" s="225" t="s">
        <v>413</v>
      </c>
      <c r="CL3" s="225" t="s">
        <v>414</v>
      </c>
      <c r="CM3" s="225" t="s">
        <v>415</v>
      </c>
      <c r="CN3" s="225" t="s">
        <v>416</v>
      </c>
      <c r="CO3" s="225" t="s">
        <v>417</v>
      </c>
    </row>
    <row r="4" spans="1:95" ht="15">
      <c r="A4" s="226">
        <v>302</v>
      </c>
      <c r="B4" s="226">
        <v>1000</v>
      </c>
      <c r="C4" s="226" t="s">
        <v>27</v>
      </c>
      <c r="D4" s="226" t="s">
        <v>418</v>
      </c>
      <c r="E4" s="226" t="s">
        <v>419</v>
      </c>
      <c r="F4" s="226" t="s">
        <v>420</v>
      </c>
      <c r="G4" s="226">
        <v>0</v>
      </c>
      <c r="H4" s="226">
        <v>2</v>
      </c>
      <c r="I4" s="226" t="s">
        <v>483</v>
      </c>
      <c r="J4" s="226" t="s">
        <v>482</v>
      </c>
      <c r="K4" s="226" t="s">
        <v>421</v>
      </c>
      <c r="L4" s="226" t="s">
        <v>422</v>
      </c>
      <c r="M4" s="226" t="s">
        <v>421</v>
      </c>
      <c r="N4" s="226" t="s">
        <v>423</v>
      </c>
      <c r="O4" s="226" t="s">
        <v>171</v>
      </c>
      <c r="P4" s="227">
        <v>106980</v>
      </c>
      <c r="Q4" s="227">
        <v>-27607</v>
      </c>
      <c r="R4" s="227">
        <v>61103</v>
      </c>
      <c r="S4" s="227">
        <v>2310939.7200000002</v>
      </c>
      <c r="T4" s="227">
        <v>0</v>
      </c>
      <c r="U4" s="227">
        <v>86998.1</v>
      </c>
      <c r="V4" s="227">
        <v>0</v>
      </c>
      <c r="W4" s="227">
        <v>0</v>
      </c>
      <c r="X4" s="227">
        <v>0</v>
      </c>
      <c r="Y4" s="227">
        <v>22956.3</v>
      </c>
      <c r="Z4" s="227">
        <v>21200</v>
      </c>
      <c r="AA4" s="227">
        <v>6036.04</v>
      </c>
      <c r="AB4" s="227">
        <v>0</v>
      </c>
      <c r="AC4" s="227">
        <v>0</v>
      </c>
      <c r="AD4" s="227">
        <v>0</v>
      </c>
      <c r="AE4" s="227">
        <v>528666.62</v>
      </c>
      <c r="AF4" s="227">
        <v>7778.18</v>
      </c>
      <c r="AG4" s="227">
        <v>0</v>
      </c>
      <c r="AH4" s="227">
        <v>164223</v>
      </c>
      <c r="AI4" s="227">
        <v>0</v>
      </c>
      <c r="AJ4" s="227">
        <v>476044.5</v>
      </c>
      <c r="AK4" s="227">
        <v>0</v>
      </c>
      <c r="AL4" s="227">
        <v>1623527.76</v>
      </c>
      <c r="AM4" s="227">
        <v>78653.460000000006</v>
      </c>
      <c r="AN4" s="227">
        <v>143420.84</v>
      </c>
      <c r="AO4" s="227">
        <v>0</v>
      </c>
      <c r="AP4" s="227">
        <v>59910.31</v>
      </c>
      <c r="AQ4" s="227">
        <v>53143.14</v>
      </c>
      <c r="AR4" s="227">
        <v>9582.94</v>
      </c>
      <c r="AS4" s="227">
        <v>0</v>
      </c>
      <c r="AT4" s="227">
        <v>0</v>
      </c>
      <c r="AU4" s="227">
        <v>37771.56</v>
      </c>
      <c r="AV4" s="227">
        <v>8475.82</v>
      </c>
      <c r="AW4" s="227">
        <v>7340.6</v>
      </c>
      <c r="AX4" s="227">
        <v>6151.36</v>
      </c>
      <c r="AY4" s="227">
        <v>26678.959999999999</v>
      </c>
      <c r="AZ4" s="227">
        <v>98255.35</v>
      </c>
      <c r="BA4" s="227">
        <v>19159.18</v>
      </c>
      <c r="BB4" s="227">
        <v>41828.239999999998</v>
      </c>
      <c r="BC4" s="227">
        <v>12968.5</v>
      </c>
      <c r="BD4" s="227">
        <v>0</v>
      </c>
      <c r="BE4" s="227">
        <v>0</v>
      </c>
      <c r="BF4" s="227">
        <v>20694.02</v>
      </c>
      <c r="BG4" s="227">
        <v>0</v>
      </c>
      <c r="BH4" s="227">
        <v>164.16</v>
      </c>
      <c r="BI4" s="227">
        <v>7503.16</v>
      </c>
      <c r="BJ4" s="227">
        <v>0</v>
      </c>
      <c r="BK4" s="227">
        <v>17455.939999999999</v>
      </c>
      <c r="BL4" s="227">
        <v>1930.5</v>
      </c>
      <c r="BM4" s="227">
        <v>0</v>
      </c>
      <c r="BN4" s="227">
        <v>8061.66</v>
      </c>
      <c r="BO4" s="227">
        <v>0</v>
      </c>
      <c r="BP4" s="227">
        <v>9936</v>
      </c>
      <c r="BQ4" s="227">
        <v>51795</v>
      </c>
      <c r="BR4" s="227">
        <v>0</v>
      </c>
      <c r="BS4" s="227">
        <v>0</v>
      </c>
      <c r="BT4" s="227">
        <v>0</v>
      </c>
      <c r="BU4" s="227">
        <v>130716.3</v>
      </c>
      <c r="BV4" s="227">
        <v>26516.7</v>
      </c>
      <c r="BW4" s="334">
        <v>14605.5</v>
      </c>
      <c r="BX4" s="335"/>
      <c r="BY4" s="227">
        <v>0</v>
      </c>
      <c r="BZ4" s="227">
        <v>0</v>
      </c>
      <c r="CA4" s="227">
        <v>6000</v>
      </c>
      <c r="CB4" s="227">
        <v>0</v>
      </c>
      <c r="CC4" s="227">
        <v>56655.5</v>
      </c>
      <c r="CD4" s="227">
        <v>0</v>
      </c>
      <c r="CE4" s="227">
        <v>0</v>
      </c>
      <c r="CF4" s="227">
        <v>0</v>
      </c>
      <c r="CG4" s="227">
        <v>0</v>
      </c>
      <c r="CH4" s="227">
        <v>16781</v>
      </c>
      <c r="CI4" s="227">
        <v>0</v>
      </c>
      <c r="CJ4" s="227">
        <v>0</v>
      </c>
      <c r="CK4" s="227">
        <v>271102</v>
      </c>
      <c r="CL4" s="227">
        <v>2272</v>
      </c>
      <c r="CM4" s="227">
        <v>0</v>
      </c>
      <c r="CN4" s="227">
        <v>-20617</v>
      </c>
      <c r="CO4" s="227">
        <v>0</v>
      </c>
      <c r="CQ4" s="229">
        <f>CJ4+CK4+CN4</f>
        <v>250485</v>
      </c>
    </row>
    <row r="5" spans="1:95" ht="15">
      <c r="A5" s="226">
        <v>302</v>
      </c>
      <c r="B5" s="226">
        <v>1002</v>
      </c>
      <c r="C5" s="226" t="s">
        <v>29</v>
      </c>
      <c r="D5" s="226" t="s">
        <v>424</v>
      </c>
      <c r="E5" s="226"/>
      <c r="F5" s="226" t="s">
        <v>420</v>
      </c>
      <c r="G5" s="226">
        <v>0</v>
      </c>
      <c r="H5" s="226">
        <v>2</v>
      </c>
      <c r="I5" s="226" t="s">
        <v>483</v>
      </c>
      <c r="J5" s="226" t="s">
        <v>482</v>
      </c>
      <c r="K5" s="226" t="s">
        <v>421</v>
      </c>
      <c r="L5" s="226" t="s">
        <v>422</v>
      </c>
      <c r="M5" s="226" t="s">
        <v>421</v>
      </c>
      <c r="N5" s="226" t="s">
        <v>423</v>
      </c>
      <c r="O5" s="226" t="s">
        <v>171</v>
      </c>
      <c r="P5" s="227">
        <v>-21033</v>
      </c>
      <c r="Q5" s="227">
        <v>0</v>
      </c>
      <c r="R5" s="227">
        <v>6603</v>
      </c>
      <c r="S5" s="227">
        <v>716021.87</v>
      </c>
      <c r="T5" s="227">
        <v>0</v>
      </c>
      <c r="U5" s="227">
        <v>20900.150000000001</v>
      </c>
      <c r="V5" s="227">
        <v>0</v>
      </c>
      <c r="W5" s="227">
        <v>0</v>
      </c>
      <c r="X5" s="227">
        <v>0</v>
      </c>
      <c r="Y5" s="227">
        <v>545</v>
      </c>
      <c r="Z5" s="227">
        <v>0</v>
      </c>
      <c r="AA5" s="227">
        <v>0</v>
      </c>
      <c r="AB5" s="227">
        <v>22512.62</v>
      </c>
      <c r="AC5" s="227">
        <v>0</v>
      </c>
      <c r="AD5" s="227">
        <v>0</v>
      </c>
      <c r="AE5" s="227">
        <v>332713.64</v>
      </c>
      <c r="AF5" s="227">
        <v>5487.24</v>
      </c>
      <c r="AG5" s="227">
        <v>0</v>
      </c>
      <c r="AH5" s="227">
        <v>0</v>
      </c>
      <c r="AI5" s="227">
        <v>0</v>
      </c>
      <c r="AJ5" s="227">
        <v>263994.53999999998</v>
      </c>
      <c r="AK5" s="227">
        <v>0</v>
      </c>
      <c r="AL5" s="227">
        <v>424706</v>
      </c>
      <c r="AM5" s="227">
        <v>44142.52</v>
      </c>
      <c r="AN5" s="227">
        <v>87647.5</v>
      </c>
      <c r="AO5" s="227">
        <v>0</v>
      </c>
      <c r="AP5" s="227">
        <v>88407.75</v>
      </c>
      <c r="AQ5" s="227">
        <v>8784.06</v>
      </c>
      <c r="AR5" s="227">
        <v>3864.98</v>
      </c>
      <c r="AS5" s="227">
        <v>0</v>
      </c>
      <c r="AT5" s="227">
        <v>0</v>
      </c>
      <c r="AU5" s="227">
        <v>14172.14</v>
      </c>
      <c r="AV5" s="227">
        <v>4700</v>
      </c>
      <c r="AW5" s="227">
        <v>18863.98</v>
      </c>
      <c r="AX5" s="227">
        <v>1602.98</v>
      </c>
      <c r="AY5" s="227">
        <v>19544.16</v>
      </c>
      <c r="AZ5" s="227">
        <v>0</v>
      </c>
      <c r="BA5" s="227">
        <v>5289.58</v>
      </c>
      <c r="BB5" s="227">
        <v>8210.5</v>
      </c>
      <c r="BC5" s="227">
        <v>8475.1</v>
      </c>
      <c r="BD5" s="227">
        <v>0</v>
      </c>
      <c r="BE5" s="227">
        <v>0</v>
      </c>
      <c r="BF5" s="227">
        <v>5209.47</v>
      </c>
      <c r="BG5" s="227">
        <v>979.48</v>
      </c>
      <c r="BH5" s="227">
        <v>144.63999999999999</v>
      </c>
      <c r="BI5" s="227">
        <v>2750</v>
      </c>
      <c r="BJ5" s="227">
        <v>0</v>
      </c>
      <c r="BK5" s="227">
        <v>4683.2</v>
      </c>
      <c r="BL5" s="227">
        <v>1363.5</v>
      </c>
      <c r="BM5" s="227">
        <v>3682.18</v>
      </c>
      <c r="BN5" s="227">
        <v>22441.38</v>
      </c>
      <c r="BO5" s="227">
        <v>41454.980000000003</v>
      </c>
      <c r="BP5" s="227">
        <v>46460.1</v>
      </c>
      <c r="BQ5" s="227">
        <v>11853.8</v>
      </c>
      <c r="BR5" s="227">
        <v>0</v>
      </c>
      <c r="BS5" s="227">
        <v>0</v>
      </c>
      <c r="BT5" s="227">
        <v>0</v>
      </c>
      <c r="BU5" s="227">
        <v>0</v>
      </c>
      <c r="BV5" s="227">
        <v>0</v>
      </c>
      <c r="BW5" s="334">
        <v>4709</v>
      </c>
      <c r="BX5" s="335"/>
      <c r="BY5" s="227">
        <v>0</v>
      </c>
      <c r="BZ5" s="227">
        <v>0</v>
      </c>
      <c r="CA5" s="227">
        <v>6000</v>
      </c>
      <c r="CB5" s="227">
        <v>0</v>
      </c>
      <c r="CC5" s="227">
        <v>0</v>
      </c>
      <c r="CD5" s="227">
        <v>0</v>
      </c>
      <c r="CE5" s="227">
        <v>0</v>
      </c>
      <c r="CF5" s="227">
        <v>0</v>
      </c>
      <c r="CG5" s="227">
        <v>0</v>
      </c>
      <c r="CH5" s="227">
        <v>0</v>
      </c>
      <c r="CI5" s="227">
        <v>0</v>
      </c>
      <c r="CJ5" s="227">
        <v>0</v>
      </c>
      <c r="CK5" s="227">
        <v>-66281</v>
      </c>
      <c r="CL5" s="227">
        <v>11312</v>
      </c>
      <c r="CM5" s="227">
        <v>0</v>
      </c>
      <c r="CN5" s="227">
        <v>0</v>
      </c>
      <c r="CO5" s="227">
        <v>0</v>
      </c>
      <c r="CQ5" s="229">
        <f t="shared" ref="CQ5:CQ68" si="0">CJ5+CK5+CN5</f>
        <v>-66281</v>
      </c>
    </row>
    <row r="6" spans="1:95" ht="15">
      <c r="A6" s="226">
        <v>302</v>
      </c>
      <c r="B6" s="226">
        <v>1100</v>
      </c>
      <c r="C6" s="226" t="s">
        <v>292</v>
      </c>
      <c r="D6" s="226" t="s">
        <v>424</v>
      </c>
      <c r="E6" s="226"/>
      <c r="F6" s="226" t="s">
        <v>420</v>
      </c>
      <c r="G6" s="226">
        <v>0</v>
      </c>
      <c r="H6" s="226">
        <v>2</v>
      </c>
      <c r="I6" s="226" t="s">
        <v>483</v>
      </c>
      <c r="J6" s="226" t="s">
        <v>482</v>
      </c>
      <c r="K6" s="226" t="s">
        <v>421</v>
      </c>
      <c r="L6" s="226" t="s">
        <v>422</v>
      </c>
      <c r="M6" s="226" t="s">
        <v>421</v>
      </c>
      <c r="N6" s="226" t="s">
        <v>423</v>
      </c>
      <c r="O6" s="226" t="s">
        <v>171</v>
      </c>
      <c r="P6" s="227">
        <v>503848</v>
      </c>
      <c r="Q6" s="227">
        <v>0</v>
      </c>
      <c r="R6" s="227">
        <v>25937.62</v>
      </c>
      <c r="S6" s="227">
        <v>2427684.2799999998</v>
      </c>
      <c r="T6" s="227">
        <v>0</v>
      </c>
      <c r="U6" s="227">
        <v>1115627.8999999999</v>
      </c>
      <c r="V6" s="227">
        <v>0</v>
      </c>
      <c r="W6" s="227">
        <v>36990</v>
      </c>
      <c r="X6" s="227">
        <v>-12375</v>
      </c>
      <c r="Y6" s="227">
        <v>57657.11</v>
      </c>
      <c r="Z6" s="227">
        <v>0</v>
      </c>
      <c r="AA6" s="227">
        <v>271114.37</v>
      </c>
      <c r="AB6" s="227">
        <v>2313.5700000000002</v>
      </c>
      <c r="AC6" s="227">
        <v>0</v>
      </c>
      <c r="AD6" s="227">
        <v>0</v>
      </c>
      <c r="AE6" s="227">
        <v>155</v>
      </c>
      <c r="AF6" s="227">
        <v>1025</v>
      </c>
      <c r="AG6" s="227">
        <v>0</v>
      </c>
      <c r="AH6" s="227">
        <v>0</v>
      </c>
      <c r="AI6" s="227">
        <v>0</v>
      </c>
      <c r="AJ6" s="227">
        <v>2150965.23</v>
      </c>
      <c r="AK6" s="227">
        <v>145621.92000000001</v>
      </c>
      <c r="AL6" s="227">
        <v>533821.31000000006</v>
      </c>
      <c r="AM6" s="227">
        <v>53875.44</v>
      </c>
      <c r="AN6" s="227">
        <v>205157.07</v>
      </c>
      <c r="AO6" s="227">
        <v>0</v>
      </c>
      <c r="AP6" s="227">
        <v>0</v>
      </c>
      <c r="AQ6" s="227">
        <v>29433.61</v>
      </c>
      <c r="AR6" s="227">
        <v>28899.47</v>
      </c>
      <c r="AS6" s="227">
        <v>0</v>
      </c>
      <c r="AT6" s="227">
        <v>0</v>
      </c>
      <c r="AU6" s="227">
        <v>4834.26</v>
      </c>
      <c r="AV6" s="227">
        <v>2050</v>
      </c>
      <c r="AW6" s="227">
        <v>40190.01</v>
      </c>
      <c r="AX6" s="227">
        <v>671.27</v>
      </c>
      <c r="AY6" s="227">
        <v>58115.44</v>
      </c>
      <c r="AZ6" s="227">
        <v>0</v>
      </c>
      <c r="BA6" s="227">
        <v>9516.9500000000007</v>
      </c>
      <c r="BB6" s="227">
        <v>58118.62</v>
      </c>
      <c r="BC6" s="227">
        <v>38376.080000000002</v>
      </c>
      <c r="BD6" s="227">
        <v>0</v>
      </c>
      <c r="BE6" s="227">
        <v>0</v>
      </c>
      <c r="BF6" s="227">
        <v>0</v>
      </c>
      <c r="BG6" s="227">
        <v>0</v>
      </c>
      <c r="BH6" s="227">
        <v>0</v>
      </c>
      <c r="BI6" s="227">
        <v>0</v>
      </c>
      <c r="BJ6" s="227">
        <v>10162.780000000001</v>
      </c>
      <c r="BK6" s="227">
        <v>27372.32</v>
      </c>
      <c r="BL6" s="227">
        <v>5515.25</v>
      </c>
      <c r="BM6" s="227">
        <v>3902.35</v>
      </c>
      <c r="BN6" s="227">
        <v>44233.45</v>
      </c>
      <c r="BO6" s="227">
        <v>157994.85</v>
      </c>
      <c r="BP6" s="227">
        <v>236223.48</v>
      </c>
      <c r="BQ6" s="227">
        <v>70015.070000000007</v>
      </c>
      <c r="BR6" s="227">
        <v>0</v>
      </c>
      <c r="BS6" s="227">
        <v>0</v>
      </c>
      <c r="BT6" s="227">
        <v>0</v>
      </c>
      <c r="BU6" s="227">
        <v>0</v>
      </c>
      <c r="BV6" s="227">
        <v>0</v>
      </c>
      <c r="BW6" s="334">
        <v>276741.11</v>
      </c>
      <c r="BX6" s="335"/>
      <c r="BY6" s="227">
        <v>0</v>
      </c>
      <c r="BZ6" s="227">
        <v>0</v>
      </c>
      <c r="CA6" s="227">
        <v>6000</v>
      </c>
      <c r="CB6" s="227">
        <v>0</v>
      </c>
      <c r="CC6" s="227">
        <v>268125.73</v>
      </c>
      <c r="CD6" s="227">
        <v>0</v>
      </c>
      <c r="CE6" s="227">
        <v>0</v>
      </c>
      <c r="CF6" s="227">
        <v>0</v>
      </c>
      <c r="CG6" s="227">
        <v>0</v>
      </c>
      <c r="CH6" s="227">
        <v>0</v>
      </c>
      <c r="CI6" s="227">
        <v>0</v>
      </c>
      <c r="CJ6" s="227">
        <v>0</v>
      </c>
      <c r="CK6" s="227">
        <v>488974</v>
      </c>
      <c r="CL6" s="227">
        <v>34553</v>
      </c>
      <c r="CM6" s="227">
        <v>0</v>
      </c>
      <c r="CN6" s="227">
        <v>0</v>
      </c>
      <c r="CO6" s="227">
        <v>0</v>
      </c>
      <c r="CQ6" s="229">
        <f t="shared" si="0"/>
        <v>488974</v>
      </c>
    </row>
    <row r="7" spans="1:95" ht="15">
      <c r="A7" s="226">
        <v>302</v>
      </c>
      <c r="B7" s="226">
        <v>1102</v>
      </c>
      <c r="C7" s="226" t="s">
        <v>305</v>
      </c>
      <c r="D7" s="226" t="s">
        <v>424</v>
      </c>
      <c r="E7" s="226"/>
      <c r="F7" s="226" t="s">
        <v>420</v>
      </c>
      <c r="G7" s="226">
        <v>0</v>
      </c>
      <c r="H7" s="226">
        <v>7</v>
      </c>
      <c r="I7" s="226" t="s">
        <v>483</v>
      </c>
      <c r="J7" s="226" t="s">
        <v>482</v>
      </c>
      <c r="K7" s="226" t="s">
        <v>421</v>
      </c>
      <c r="L7" s="226" t="s">
        <v>422</v>
      </c>
      <c r="M7" s="226" t="s">
        <v>421</v>
      </c>
      <c r="N7" s="226" t="s">
        <v>423</v>
      </c>
      <c r="O7" s="226" t="s">
        <v>171</v>
      </c>
      <c r="P7" s="227">
        <v>-147643.39000000001</v>
      </c>
      <c r="Q7" s="227">
        <v>0</v>
      </c>
      <c r="R7" s="227">
        <v>22981.61</v>
      </c>
      <c r="S7" s="227">
        <v>588695.47</v>
      </c>
      <c r="T7" s="227">
        <v>0</v>
      </c>
      <c r="U7" s="227">
        <v>66999.199999999997</v>
      </c>
      <c r="V7" s="227">
        <v>0</v>
      </c>
      <c r="W7" s="227">
        <v>5150</v>
      </c>
      <c r="X7" s="227">
        <v>-54.07</v>
      </c>
      <c r="Y7" s="227">
        <v>2700</v>
      </c>
      <c r="Z7" s="227">
        <v>0</v>
      </c>
      <c r="AA7" s="227">
        <v>426472.07</v>
      </c>
      <c r="AB7" s="227">
        <v>0</v>
      </c>
      <c r="AC7" s="227">
        <v>0</v>
      </c>
      <c r="AD7" s="227">
        <v>0</v>
      </c>
      <c r="AE7" s="227">
        <v>275</v>
      </c>
      <c r="AF7" s="227">
        <v>27</v>
      </c>
      <c r="AG7" s="227">
        <v>0</v>
      </c>
      <c r="AH7" s="227">
        <v>0</v>
      </c>
      <c r="AI7" s="227">
        <v>0</v>
      </c>
      <c r="AJ7" s="227">
        <v>574574.31000000006</v>
      </c>
      <c r="AK7" s="227">
        <v>0</v>
      </c>
      <c r="AL7" s="227">
        <v>44506.53</v>
      </c>
      <c r="AM7" s="227">
        <v>0</v>
      </c>
      <c r="AN7" s="227">
        <v>34144.660000000003</v>
      </c>
      <c r="AO7" s="227">
        <v>0</v>
      </c>
      <c r="AP7" s="227">
        <v>11740.72</v>
      </c>
      <c r="AQ7" s="227">
        <v>2404.3200000000002</v>
      </c>
      <c r="AR7" s="227">
        <v>2150.36</v>
      </c>
      <c r="AS7" s="227">
        <v>0</v>
      </c>
      <c r="AT7" s="227">
        <v>0</v>
      </c>
      <c r="AU7" s="227">
        <v>324.64</v>
      </c>
      <c r="AV7" s="227">
        <v>0</v>
      </c>
      <c r="AW7" s="227">
        <v>13.82</v>
      </c>
      <c r="AX7" s="227">
        <v>0</v>
      </c>
      <c r="AY7" s="227">
        <v>0</v>
      </c>
      <c r="AZ7" s="227">
        <v>0</v>
      </c>
      <c r="BA7" s="227">
        <v>298582.38</v>
      </c>
      <c r="BB7" s="227">
        <v>8816.84</v>
      </c>
      <c r="BC7" s="227">
        <v>5279.21</v>
      </c>
      <c r="BD7" s="227">
        <v>0</v>
      </c>
      <c r="BE7" s="227">
        <v>241.47</v>
      </c>
      <c r="BF7" s="227">
        <v>13406.05</v>
      </c>
      <c r="BG7" s="227">
        <v>0</v>
      </c>
      <c r="BH7" s="227">
        <v>0</v>
      </c>
      <c r="BI7" s="227">
        <v>7237.72</v>
      </c>
      <c r="BJ7" s="227">
        <v>3931.5</v>
      </c>
      <c r="BK7" s="227">
        <v>4740.1000000000004</v>
      </c>
      <c r="BL7" s="227">
        <v>1458</v>
      </c>
      <c r="BM7" s="227">
        <v>24.7</v>
      </c>
      <c r="BN7" s="227">
        <v>1211.8699999999999</v>
      </c>
      <c r="BO7" s="227">
        <v>37255.39</v>
      </c>
      <c r="BP7" s="227">
        <v>8436.57</v>
      </c>
      <c r="BQ7" s="227">
        <v>24907.119999999999</v>
      </c>
      <c r="BR7" s="227">
        <v>0</v>
      </c>
      <c r="BS7" s="227">
        <v>0</v>
      </c>
      <c r="BT7" s="227">
        <v>0</v>
      </c>
      <c r="BU7" s="227">
        <v>0</v>
      </c>
      <c r="BV7" s="227">
        <v>0</v>
      </c>
      <c r="BW7" s="334">
        <v>4928.3900000000003</v>
      </c>
      <c r="BX7" s="335"/>
      <c r="BY7" s="227">
        <v>0</v>
      </c>
      <c r="BZ7" s="227">
        <v>0</v>
      </c>
      <c r="CA7" s="227">
        <v>6000</v>
      </c>
      <c r="CB7" s="227">
        <v>0</v>
      </c>
      <c r="CC7" s="227">
        <v>0</v>
      </c>
      <c r="CD7" s="227">
        <v>0</v>
      </c>
      <c r="CE7" s="227">
        <v>0</v>
      </c>
      <c r="CF7" s="227">
        <v>0</v>
      </c>
      <c r="CG7" s="227">
        <v>0</v>
      </c>
      <c r="CH7" s="227">
        <v>0</v>
      </c>
      <c r="CI7" s="227">
        <v>0</v>
      </c>
      <c r="CJ7" s="227">
        <v>0</v>
      </c>
      <c r="CK7" s="227">
        <v>-142767</v>
      </c>
      <c r="CL7" s="227">
        <v>27910</v>
      </c>
      <c r="CM7" s="227">
        <v>0</v>
      </c>
      <c r="CN7" s="227">
        <v>0</v>
      </c>
      <c r="CO7" s="227">
        <v>0</v>
      </c>
      <c r="CQ7" s="229">
        <f t="shared" si="0"/>
        <v>-142767</v>
      </c>
    </row>
    <row r="8" spans="1:95" ht="15">
      <c r="A8" s="226">
        <v>302</v>
      </c>
      <c r="B8" s="226">
        <v>2002</v>
      </c>
      <c r="C8" s="226" t="s">
        <v>230</v>
      </c>
      <c r="D8" s="226" t="s">
        <v>424</v>
      </c>
      <c r="E8" s="226"/>
      <c r="F8" s="226" t="s">
        <v>420</v>
      </c>
      <c r="G8" s="226">
        <v>0</v>
      </c>
      <c r="H8" s="226">
        <v>0</v>
      </c>
      <c r="I8" s="226" t="s">
        <v>483</v>
      </c>
      <c r="J8" s="226" t="s">
        <v>482</v>
      </c>
      <c r="K8" s="226" t="s">
        <v>421</v>
      </c>
      <c r="L8" s="226" t="s">
        <v>422</v>
      </c>
      <c r="M8" s="226" t="s">
        <v>421</v>
      </c>
      <c r="N8" s="226" t="s">
        <v>423</v>
      </c>
      <c r="O8" s="226" t="s">
        <v>171</v>
      </c>
      <c r="P8" s="227">
        <v>-64202</v>
      </c>
      <c r="Q8" s="227">
        <v>0</v>
      </c>
      <c r="R8" s="227">
        <v>0</v>
      </c>
      <c r="S8" s="227">
        <v>2883453.14</v>
      </c>
      <c r="T8" s="227">
        <v>0</v>
      </c>
      <c r="U8" s="227">
        <v>342941.7</v>
      </c>
      <c r="V8" s="227">
        <v>0</v>
      </c>
      <c r="W8" s="227">
        <v>150535</v>
      </c>
      <c r="X8" s="227">
        <v>71483.31</v>
      </c>
      <c r="Y8" s="227">
        <v>169833.29</v>
      </c>
      <c r="Z8" s="227">
        <v>36192.04</v>
      </c>
      <c r="AA8" s="227">
        <v>52405.68</v>
      </c>
      <c r="AB8" s="227">
        <v>596.5</v>
      </c>
      <c r="AC8" s="227">
        <v>0</v>
      </c>
      <c r="AD8" s="227">
        <v>0</v>
      </c>
      <c r="AE8" s="227">
        <v>30530.52</v>
      </c>
      <c r="AF8" s="227">
        <v>6500.75</v>
      </c>
      <c r="AG8" s="227">
        <v>0</v>
      </c>
      <c r="AH8" s="227">
        <v>0</v>
      </c>
      <c r="AI8" s="227">
        <v>0</v>
      </c>
      <c r="AJ8" s="227">
        <v>1508118.5</v>
      </c>
      <c r="AK8" s="227">
        <v>0</v>
      </c>
      <c r="AL8" s="227">
        <v>824973.54</v>
      </c>
      <c r="AM8" s="227">
        <v>28431.77</v>
      </c>
      <c r="AN8" s="227">
        <v>128385.43</v>
      </c>
      <c r="AO8" s="227">
        <v>0</v>
      </c>
      <c r="AP8" s="227">
        <v>36765.449999999997</v>
      </c>
      <c r="AQ8" s="227">
        <v>17496.39</v>
      </c>
      <c r="AR8" s="227">
        <v>5686.75</v>
      </c>
      <c r="AS8" s="227">
        <v>722</v>
      </c>
      <c r="AT8" s="227">
        <v>0</v>
      </c>
      <c r="AU8" s="227">
        <v>28039.29</v>
      </c>
      <c r="AV8" s="227">
        <v>0</v>
      </c>
      <c r="AW8" s="227">
        <v>87771.99</v>
      </c>
      <c r="AX8" s="227">
        <v>8168.45</v>
      </c>
      <c r="AY8" s="227">
        <v>49084.17</v>
      </c>
      <c r="AZ8" s="227">
        <v>40279</v>
      </c>
      <c r="BA8" s="227">
        <v>16358.74</v>
      </c>
      <c r="BB8" s="227">
        <v>69536.429999999993</v>
      </c>
      <c r="BC8" s="227">
        <v>5495</v>
      </c>
      <c r="BD8" s="227">
        <v>4461</v>
      </c>
      <c r="BE8" s="227">
        <v>2401.85</v>
      </c>
      <c r="BF8" s="227">
        <v>7897.3</v>
      </c>
      <c r="BG8" s="227">
        <v>383.14</v>
      </c>
      <c r="BH8" s="227">
        <v>510.23</v>
      </c>
      <c r="BI8" s="227">
        <v>22317.24</v>
      </c>
      <c r="BJ8" s="227">
        <v>0</v>
      </c>
      <c r="BK8" s="227">
        <v>12161.95</v>
      </c>
      <c r="BL8" s="227">
        <v>19930.580000000002</v>
      </c>
      <c r="BM8" s="227">
        <v>7101.87</v>
      </c>
      <c r="BN8" s="227">
        <v>166678.60999999999</v>
      </c>
      <c r="BO8" s="227">
        <v>24047.75</v>
      </c>
      <c r="BP8" s="227">
        <v>379546.3</v>
      </c>
      <c r="BQ8" s="227">
        <v>65609.25</v>
      </c>
      <c r="BR8" s="227">
        <v>0</v>
      </c>
      <c r="BS8" s="227">
        <v>0</v>
      </c>
      <c r="BT8" s="227">
        <v>21109.96</v>
      </c>
      <c r="BU8" s="227">
        <v>0</v>
      </c>
      <c r="BV8" s="227">
        <v>0</v>
      </c>
      <c r="BW8" s="334">
        <v>8897.1299999999992</v>
      </c>
      <c r="BX8" s="335"/>
      <c r="BY8" s="227">
        <v>750</v>
      </c>
      <c r="BZ8" s="227">
        <v>21109.96</v>
      </c>
      <c r="CA8" s="227">
        <v>6000</v>
      </c>
      <c r="CB8" s="227">
        <v>0</v>
      </c>
      <c r="CC8" s="227">
        <v>0</v>
      </c>
      <c r="CD8" s="227">
        <v>19006.599999999999</v>
      </c>
      <c r="CE8" s="227">
        <v>0</v>
      </c>
      <c r="CF8" s="227">
        <v>0</v>
      </c>
      <c r="CG8" s="227">
        <v>0</v>
      </c>
      <c r="CH8" s="227">
        <v>11750.49</v>
      </c>
      <c r="CI8" s="227">
        <v>0</v>
      </c>
      <c r="CJ8" s="227">
        <v>2384</v>
      </c>
      <c r="CK8" s="227">
        <v>88416</v>
      </c>
      <c r="CL8" s="227">
        <v>0</v>
      </c>
      <c r="CM8" s="227">
        <v>0</v>
      </c>
      <c r="CN8" s="227">
        <v>0</v>
      </c>
      <c r="CO8" s="227">
        <v>0</v>
      </c>
      <c r="CQ8" s="229">
        <f t="shared" si="0"/>
        <v>90800</v>
      </c>
    </row>
    <row r="9" spans="1:95" ht="15">
      <c r="A9" s="226">
        <v>302</v>
      </c>
      <c r="B9" s="226">
        <v>2007</v>
      </c>
      <c r="C9" s="226" t="s">
        <v>42</v>
      </c>
      <c r="D9" s="226" t="s">
        <v>424</v>
      </c>
      <c r="E9" s="226"/>
      <c r="F9" s="226" t="s">
        <v>420</v>
      </c>
      <c r="G9" s="226">
        <v>0</v>
      </c>
      <c r="H9" s="226">
        <v>0</v>
      </c>
      <c r="I9" s="226" t="s">
        <v>483</v>
      </c>
      <c r="J9" s="226" t="s">
        <v>482</v>
      </c>
      <c r="K9" s="226" t="s">
        <v>421</v>
      </c>
      <c r="L9" s="226" t="s">
        <v>422</v>
      </c>
      <c r="M9" s="226" t="s">
        <v>421</v>
      </c>
      <c r="N9" s="226" t="s">
        <v>423</v>
      </c>
      <c r="O9" s="226" t="s">
        <v>171</v>
      </c>
      <c r="P9" s="227">
        <v>46395</v>
      </c>
      <c r="Q9" s="227">
        <v>0</v>
      </c>
      <c r="R9" s="227">
        <v>3974</v>
      </c>
      <c r="S9" s="227">
        <v>2064596.39</v>
      </c>
      <c r="T9" s="227">
        <v>0</v>
      </c>
      <c r="U9" s="227">
        <v>179607</v>
      </c>
      <c r="V9" s="227">
        <v>0</v>
      </c>
      <c r="W9" s="227">
        <v>97675</v>
      </c>
      <c r="X9" s="227">
        <v>23381.42</v>
      </c>
      <c r="Y9" s="227">
        <v>158083.94</v>
      </c>
      <c r="Z9" s="227">
        <v>47724.2</v>
      </c>
      <c r="AA9" s="227">
        <v>44858.8</v>
      </c>
      <c r="AB9" s="227">
        <v>890.74</v>
      </c>
      <c r="AC9" s="227">
        <v>5272.5</v>
      </c>
      <c r="AD9" s="227">
        <v>11570</v>
      </c>
      <c r="AE9" s="227">
        <v>50533.47</v>
      </c>
      <c r="AF9" s="227">
        <v>31849.54</v>
      </c>
      <c r="AG9" s="227">
        <v>0</v>
      </c>
      <c r="AH9" s="227">
        <v>0</v>
      </c>
      <c r="AI9" s="227">
        <v>0</v>
      </c>
      <c r="AJ9" s="227">
        <v>1277049.92</v>
      </c>
      <c r="AK9" s="227">
        <v>0</v>
      </c>
      <c r="AL9" s="227">
        <v>468470.25</v>
      </c>
      <c r="AM9" s="227">
        <v>39623.94</v>
      </c>
      <c r="AN9" s="227">
        <v>128454.93</v>
      </c>
      <c r="AO9" s="227">
        <v>0</v>
      </c>
      <c r="AP9" s="227">
        <v>69883.66</v>
      </c>
      <c r="AQ9" s="227">
        <v>8528.39</v>
      </c>
      <c r="AR9" s="227">
        <v>4160.5</v>
      </c>
      <c r="AS9" s="227">
        <v>610.47</v>
      </c>
      <c r="AT9" s="227">
        <v>0</v>
      </c>
      <c r="AU9" s="227">
        <v>43633.25</v>
      </c>
      <c r="AV9" s="227">
        <v>11468.62</v>
      </c>
      <c r="AW9" s="227">
        <v>52946.44</v>
      </c>
      <c r="AX9" s="227">
        <v>11058.07</v>
      </c>
      <c r="AY9" s="227">
        <v>54663.55</v>
      </c>
      <c r="AZ9" s="227">
        <v>24536.94</v>
      </c>
      <c r="BA9" s="227">
        <v>11385.97</v>
      </c>
      <c r="BB9" s="227">
        <v>44133.62</v>
      </c>
      <c r="BC9" s="227">
        <v>6364.93</v>
      </c>
      <c r="BD9" s="227">
        <v>0</v>
      </c>
      <c r="BE9" s="227">
        <v>9276.2199999999993</v>
      </c>
      <c r="BF9" s="227">
        <v>8415.6</v>
      </c>
      <c r="BG9" s="227">
        <v>0</v>
      </c>
      <c r="BH9" s="227">
        <v>266.02999999999997</v>
      </c>
      <c r="BI9" s="227">
        <v>6462</v>
      </c>
      <c r="BJ9" s="227">
        <v>0</v>
      </c>
      <c r="BK9" s="227">
        <v>10208.67</v>
      </c>
      <c r="BL9" s="227">
        <v>15171.66</v>
      </c>
      <c r="BM9" s="227">
        <v>7004.21</v>
      </c>
      <c r="BN9" s="227">
        <v>143659.16</v>
      </c>
      <c r="BO9" s="227">
        <v>34158</v>
      </c>
      <c r="BP9" s="227">
        <v>163159.23000000001</v>
      </c>
      <c r="BQ9" s="227">
        <v>13716.77</v>
      </c>
      <c r="BR9" s="227">
        <v>0</v>
      </c>
      <c r="BS9" s="227">
        <v>0</v>
      </c>
      <c r="BT9" s="227">
        <v>0</v>
      </c>
      <c r="BU9" s="227">
        <v>0</v>
      </c>
      <c r="BV9" s="227">
        <v>0</v>
      </c>
      <c r="BW9" s="334">
        <v>7982.5</v>
      </c>
      <c r="BX9" s="335"/>
      <c r="BY9" s="227">
        <v>0</v>
      </c>
      <c r="BZ9" s="227">
        <v>0</v>
      </c>
      <c r="CA9" s="227">
        <v>6000</v>
      </c>
      <c r="CB9" s="227">
        <v>0</v>
      </c>
      <c r="CC9" s="227">
        <v>0</v>
      </c>
      <c r="CD9" s="227">
        <v>0</v>
      </c>
      <c r="CE9" s="227">
        <v>0</v>
      </c>
      <c r="CF9" s="227">
        <v>0</v>
      </c>
      <c r="CG9" s="227">
        <v>0</v>
      </c>
      <c r="CH9" s="227">
        <v>2231.9499999999998</v>
      </c>
      <c r="CI9" s="227">
        <v>8829.5499999999993</v>
      </c>
      <c r="CJ9" s="227">
        <v>15776</v>
      </c>
      <c r="CK9" s="227">
        <v>78191</v>
      </c>
      <c r="CL9" s="227">
        <v>0</v>
      </c>
      <c r="CM9" s="227">
        <v>895</v>
      </c>
      <c r="CN9" s="227">
        <v>0</v>
      </c>
      <c r="CO9" s="227">
        <v>0</v>
      </c>
      <c r="CQ9" s="229">
        <f t="shared" si="0"/>
        <v>93967</v>
      </c>
    </row>
    <row r="10" spans="1:95" ht="15">
      <c r="A10" s="226">
        <v>302</v>
      </c>
      <c r="B10" s="226">
        <v>2008</v>
      </c>
      <c r="C10" s="226" t="s">
        <v>308</v>
      </c>
      <c r="D10" s="226" t="s">
        <v>424</v>
      </c>
      <c r="E10" s="226"/>
      <c r="F10" s="226" t="s">
        <v>420</v>
      </c>
      <c r="G10" s="226">
        <v>0</v>
      </c>
      <c r="H10" s="226">
        <v>1</v>
      </c>
      <c r="I10" s="226" t="s">
        <v>483</v>
      </c>
      <c r="J10" s="226" t="s">
        <v>482</v>
      </c>
      <c r="K10" s="226" t="s">
        <v>421</v>
      </c>
      <c r="L10" s="226" t="s">
        <v>422</v>
      </c>
      <c r="M10" s="226" t="s">
        <v>421</v>
      </c>
      <c r="N10" s="226" t="s">
        <v>423</v>
      </c>
      <c r="O10" s="226" t="s">
        <v>171</v>
      </c>
      <c r="P10" s="227">
        <v>-93162</v>
      </c>
      <c r="Q10" s="227">
        <v>0</v>
      </c>
      <c r="R10" s="227">
        <v>2985</v>
      </c>
      <c r="S10" s="227">
        <v>1882398.17</v>
      </c>
      <c r="T10" s="227">
        <v>0</v>
      </c>
      <c r="U10" s="227">
        <v>126042.51</v>
      </c>
      <c r="V10" s="227">
        <v>0</v>
      </c>
      <c r="W10" s="227">
        <v>42420</v>
      </c>
      <c r="X10" s="227">
        <v>127791</v>
      </c>
      <c r="Y10" s="227">
        <v>5817.87</v>
      </c>
      <c r="Z10" s="227">
        <v>47436.98</v>
      </c>
      <c r="AA10" s="227">
        <v>20303.8</v>
      </c>
      <c r="AB10" s="227">
        <v>13611.58</v>
      </c>
      <c r="AC10" s="227">
        <v>23352</v>
      </c>
      <c r="AD10" s="227">
        <v>5092</v>
      </c>
      <c r="AE10" s="227">
        <v>102518.05</v>
      </c>
      <c r="AF10" s="227">
        <v>36779.97</v>
      </c>
      <c r="AG10" s="227">
        <v>0</v>
      </c>
      <c r="AH10" s="227">
        <v>0</v>
      </c>
      <c r="AI10" s="227">
        <v>0</v>
      </c>
      <c r="AJ10" s="227">
        <v>1023869.49</v>
      </c>
      <c r="AK10" s="227">
        <v>0</v>
      </c>
      <c r="AL10" s="227">
        <v>526685.92000000004</v>
      </c>
      <c r="AM10" s="227">
        <v>34727.65</v>
      </c>
      <c r="AN10" s="227">
        <v>72527.960000000006</v>
      </c>
      <c r="AO10" s="227">
        <v>0</v>
      </c>
      <c r="AP10" s="227">
        <v>24553.75</v>
      </c>
      <c r="AQ10" s="227">
        <v>8706.66</v>
      </c>
      <c r="AR10" s="227">
        <v>3875</v>
      </c>
      <c r="AS10" s="227">
        <v>23364.82</v>
      </c>
      <c r="AT10" s="227">
        <v>0</v>
      </c>
      <c r="AU10" s="227">
        <v>18006.18</v>
      </c>
      <c r="AV10" s="227">
        <v>11227.55</v>
      </c>
      <c r="AW10" s="227">
        <v>46399.96</v>
      </c>
      <c r="AX10" s="227">
        <v>3976.58</v>
      </c>
      <c r="AY10" s="227">
        <v>28214.78</v>
      </c>
      <c r="AZ10" s="227">
        <v>44619.94</v>
      </c>
      <c r="BA10" s="227">
        <v>11136.94</v>
      </c>
      <c r="BB10" s="227">
        <v>50280.38</v>
      </c>
      <c r="BC10" s="227">
        <v>5644.73</v>
      </c>
      <c r="BD10" s="227">
        <v>0</v>
      </c>
      <c r="BE10" s="227">
        <v>9430.11</v>
      </c>
      <c r="BF10" s="227">
        <v>7599.26</v>
      </c>
      <c r="BG10" s="227">
        <v>460</v>
      </c>
      <c r="BH10" s="227">
        <v>401.59</v>
      </c>
      <c r="BI10" s="227">
        <v>9600</v>
      </c>
      <c r="BJ10" s="227">
        <v>0</v>
      </c>
      <c r="BK10" s="227">
        <v>1268.07</v>
      </c>
      <c r="BL10" s="227">
        <v>12565.08</v>
      </c>
      <c r="BM10" s="227">
        <v>12208.79</v>
      </c>
      <c r="BN10" s="227">
        <v>117889.84</v>
      </c>
      <c r="BO10" s="227">
        <v>117928.6</v>
      </c>
      <c r="BP10" s="227">
        <v>195272.95999999999</v>
      </c>
      <c r="BQ10" s="227">
        <v>22604.34</v>
      </c>
      <c r="BR10" s="227">
        <v>0</v>
      </c>
      <c r="BS10" s="227">
        <v>0</v>
      </c>
      <c r="BT10" s="227">
        <v>673</v>
      </c>
      <c r="BU10" s="227">
        <v>0</v>
      </c>
      <c r="BV10" s="227">
        <v>0</v>
      </c>
      <c r="BW10" s="334">
        <v>7291.75</v>
      </c>
      <c r="BX10" s="335"/>
      <c r="BY10" s="227">
        <v>0</v>
      </c>
      <c r="BZ10" s="227">
        <v>673</v>
      </c>
      <c r="CA10" s="227">
        <v>6000</v>
      </c>
      <c r="CB10" s="227">
        <v>0</v>
      </c>
      <c r="CC10" s="227">
        <v>0</v>
      </c>
      <c r="CD10" s="227">
        <v>0</v>
      </c>
      <c r="CE10" s="227">
        <v>0</v>
      </c>
      <c r="CF10" s="227">
        <v>0</v>
      </c>
      <c r="CG10" s="227">
        <v>0</v>
      </c>
      <c r="CH10" s="227">
        <v>0</v>
      </c>
      <c r="CI10" s="227">
        <v>10949.75</v>
      </c>
      <c r="CJ10" s="227">
        <v>0</v>
      </c>
      <c r="CK10" s="227">
        <v>-105318</v>
      </c>
      <c r="CL10" s="227">
        <v>0</v>
      </c>
      <c r="CM10" s="227">
        <v>0</v>
      </c>
      <c r="CN10" s="227">
        <v>0</v>
      </c>
      <c r="CO10" s="227">
        <v>0</v>
      </c>
      <c r="CQ10" s="229">
        <f t="shared" si="0"/>
        <v>-105318</v>
      </c>
    </row>
    <row r="11" spans="1:95" ht="30">
      <c r="A11" s="226">
        <v>302</v>
      </c>
      <c r="B11" s="226">
        <v>2009</v>
      </c>
      <c r="C11" s="226" t="s">
        <v>309</v>
      </c>
      <c r="D11" s="226" t="s">
        <v>424</v>
      </c>
      <c r="E11" s="226"/>
      <c r="F11" s="226" t="s">
        <v>420</v>
      </c>
      <c r="G11" s="226">
        <v>0</v>
      </c>
      <c r="H11" s="226">
        <v>1</v>
      </c>
      <c r="I11" s="226" t="s">
        <v>483</v>
      </c>
      <c r="J11" s="226" t="s">
        <v>482</v>
      </c>
      <c r="K11" s="226" t="s">
        <v>421</v>
      </c>
      <c r="L11" s="226" t="s">
        <v>422</v>
      </c>
      <c r="M11" s="226" t="s">
        <v>421</v>
      </c>
      <c r="N11" s="226" t="s">
        <v>423</v>
      </c>
      <c r="O11" s="226" t="s">
        <v>171</v>
      </c>
      <c r="P11" s="227">
        <v>-121402</v>
      </c>
      <c r="Q11" s="227">
        <v>0</v>
      </c>
      <c r="R11" s="227">
        <v>1877</v>
      </c>
      <c r="S11" s="227">
        <v>2616380.9900000002</v>
      </c>
      <c r="T11" s="227">
        <v>0</v>
      </c>
      <c r="U11" s="227">
        <v>280447.71000000002</v>
      </c>
      <c r="V11" s="227">
        <v>0</v>
      </c>
      <c r="W11" s="227">
        <v>123707</v>
      </c>
      <c r="X11" s="227">
        <v>71416.5</v>
      </c>
      <c r="Y11" s="227">
        <v>98035.83</v>
      </c>
      <c r="Z11" s="227">
        <v>12123.85</v>
      </c>
      <c r="AA11" s="227">
        <v>252406.99</v>
      </c>
      <c r="AB11" s="227">
        <v>3458.45</v>
      </c>
      <c r="AC11" s="227">
        <v>0</v>
      </c>
      <c r="AD11" s="227">
        <v>99976</v>
      </c>
      <c r="AE11" s="227">
        <v>76300.61</v>
      </c>
      <c r="AF11" s="227">
        <v>17939.13</v>
      </c>
      <c r="AG11" s="227">
        <v>0</v>
      </c>
      <c r="AH11" s="227">
        <v>0</v>
      </c>
      <c r="AI11" s="227">
        <v>0</v>
      </c>
      <c r="AJ11" s="227">
        <v>1853796.97</v>
      </c>
      <c r="AK11" s="227">
        <v>0</v>
      </c>
      <c r="AL11" s="227">
        <v>684974.53</v>
      </c>
      <c r="AM11" s="227">
        <v>32834.29</v>
      </c>
      <c r="AN11" s="227">
        <v>133718.25</v>
      </c>
      <c r="AO11" s="227">
        <v>0</v>
      </c>
      <c r="AP11" s="227">
        <v>129315.49</v>
      </c>
      <c r="AQ11" s="227">
        <v>13443.45</v>
      </c>
      <c r="AR11" s="227">
        <v>2844.89</v>
      </c>
      <c r="AS11" s="227">
        <v>711.36</v>
      </c>
      <c r="AT11" s="227">
        <v>0</v>
      </c>
      <c r="AU11" s="227">
        <v>128931.11</v>
      </c>
      <c r="AV11" s="227">
        <v>5031.5</v>
      </c>
      <c r="AW11" s="227">
        <v>58791.85</v>
      </c>
      <c r="AX11" s="227">
        <v>9607.75</v>
      </c>
      <c r="AY11" s="227">
        <v>36639.65</v>
      </c>
      <c r="AZ11" s="227">
        <v>49222.38</v>
      </c>
      <c r="BA11" s="227">
        <v>72994.41</v>
      </c>
      <c r="BB11" s="227">
        <v>110128.56</v>
      </c>
      <c r="BC11" s="227">
        <v>11458.2</v>
      </c>
      <c r="BD11" s="227">
        <v>495</v>
      </c>
      <c r="BE11" s="227">
        <v>10132.75</v>
      </c>
      <c r="BF11" s="227">
        <v>15876.89</v>
      </c>
      <c r="BG11" s="227">
        <v>2040</v>
      </c>
      <c r="BH11" s="227">
        <v>204.8</v>
      </c>
      <c r="BI11" s="227">
        <v>11188.14</v>
      </c>
      <c r="BJ11" s="227">
        <v>0</v>
      </c>
      <c r="BK11" s="227">
        <v>10019.1</v>
      </c>
      <c r="BL11" s="227">
        <v>21876.14</v>
      </c>
      <c r="BM11" s="227">
        <v>53096.79</v>
      </c>
      <c r="BN11" s="227">
        <v>160893.35</v>
      </c>
      <c r="BO11" s="227">
        <v>25012.85</v>
      </c>
      <c r="BP11" s="227">
        <v>320950.77</v>
      </c>
      <c r="BQ11" s="227">
        <v>28035.84</v>
      </c>
      <c r="BR11" s="227">
        <v>0</v>
      </c>
      <c r="BS11" s="227">
        <v>0</v>
      </c>
      <c r="BT11" s="227">
        <v>4838</v>
      </c>
      <c r="BU11" s="227">
        <v>0</v>
      </c>
      <c r="BV11" s="227">
        <v>0</v>
      </c>
      <c r="BW11" s="334">
        <v>9035.5</v>
      </c>
      <c r="BX11" s="335"/>
      <c r="BY11" s="227">
        <v>0</v>
      </c>
      <c r="BZ11" s="227">
        <v>4838</v>
      </c>
      <c r="CA11" s="227">
        <v>6000</v>
      </c>
      <c r="CB11" s="227">
        <v>0</v>
      </c>
      <c r="CC11" s="227">
        <v>15750.5</v>
      </c>
      <c r="CD11" s="227">
        <v>0</v>
      </c>
      <c r="CE11" s="227">
        <v>0</v>
      </c>
      <c r="CF11" s="227">
        <v>0</v>
      </c>
      <c r="CG11" s="227">
        <v>0</v>
      </c>
      <c r="CH11" s="227">
        <v>0</v>
      </c>
      <c r="CI11" s="227">
        <v>0</v>
      </c>
      <c r="CJ11" s="227">
        <v>0</v>
      </c>
      <c r="CK11" s="227">
        <v>-468314</v>
      </c>
      <c r="CL11" s="227">
        <v>0</v>
      </c>
      <c r="CM11" s="227">
        <v>0</v>
      </c>
      <c r="CN11" s="227">
        <v>0</v>
      </c>
      <c r="CO11" s="227">
        <v>0</v>
      </c>
      <c r="CQ11" s="229">
        <f t="shared" si="0"/>
        <v>-468314</v>
      </c>
    </row>
    <row r="12" spans="1:95" ht="15">
      <c r="A12" s="226">
        <v>302</v>
      </c>
      <c r="B12" s="226">
        <v>2011</v>
      </c>
      <c r="C12" s="226" t="s">
        <v>46</v>
      </c>
      <c r="D12" s="226" t="s">
        <v>424</v>
      </c>
      <c r="E12" s="226"/>
      <c r="F12" s="226" t="s">
        <v>420</v>
      </c>
      <c r="G12" s="226">
        <v>0</v>
      </c>
      <c r="H12" s="226">
        <v>1</v>
      </c>
      <c r="I12" s="226" t="s">
        <v>483</v>
      </c>
      <c r="J12" s="226" t="s">
        <v>482</v>
      </c>
      <c r="K12" s="226" t="s">
        <v>421</v>
      </c>
      <c r="L12" s="226" t="s">
        <v>422</v>
      </c>
      <c r="M12" s="226" t="s">
        <v>421</v>
      </c>
      <c r="N12" s="226" t="s">
        <v>423</v>
      </c>
      <c r="O12" s="226" t="s">
        <v>171</v>
      </c>
      <c r="P12" s="227">
        <v>-246468</v>
      </c>
      <c r="Q12" s="227">
        <v>0</v>
      </c>
      <c r="R12" s="227">
        <v>0</v>
      </c>
      <c r="S12" s="227">
        <v>1252249.43</v>
      </c>
      <c r="T12" s="227">
        <v>0</v>
      </c>
      <c r="U12" s="227">
        <v>171027.74</v>
      </c>
      <c r="V12" s="227">
        <v>0</v>
      </c>
      <c r="W12" s="227">
        <v>66770</v>
      </c>
      <c r="X12" s="227">
        <v>45722.81</v>
      </c>
      <c r="Y12" s="227">
        <v>53439.81</v>
      </c>
      <c r="Z12" s="227">
        <v>4253.41</v>
      </c>
      <c r="AA12" s="227">
        <v>62890.8</v>
      </c>
      <c r="AB12" s="227">
        <v>204.6</v>
      </c>
      <c r="AC12" s="227">
        <v>0</v>
      </c>
      <c r="AD12" s="227">
        <v>88510</v>
      </c>
      <c r="AE12" s="227">
        <v>23026.14</v>
      </c>
      <c r="AF12" s="227">
        <v>14637.19</v>
      </c>
      <c r="AG12" s="227">
        <v>0</v>
      </c>
      <c r="AH12" s="227">
        <v>0</v>
      </c>
      <c r="AI12" s="227">
        <v>0</v>
      </c>
      <c r="AJ12" s="227">
        <v>746194.94</v>
      </c>
      <c r="AK12" s="227">
        <v>0</v>
      </c>
      <c r="AL12" s="227">
        <v>264526.71000000002</v>
      </c>
      <c r="AM12" s="227">
        <v>28690.03</v>
      </c>
      <c r="AN12" s="227">
        <v>70672.070000000007</v>
      </c>
      <c r="AO12" s="227">
        <v>0</v>
      </c>
      <c r="AP12" s="227">
        <v>90887.62</v>
      </c>
      <c r="AQ12" s="227">
        <v>12222.39</v>
      </c>
      <c r="AR12" s="227">
        <v>2579.96</v>
      </c>
      <c r="AS12" s="227">
        <v>348.84</v>
      </c>
      <c r="AT12" s="227">
        <v>0</v>
      </c>
      <c r="AU12" s="227">
        <v>118269.75999999999</v>
      </c>
      <c r="AV12" s="227">
        <v>4345.25</v>
      </c>
      <c r="AW12" s="227">
        <v>30558.19</v>
      </c>
      <c r="AX12" s="227">
        <v>3137.47</v>
      </c>
      <c r="AY12" s="227">
        <v>30309.42</v>
      </c>
      <c r="AZ12" s="227">
        <v>26506.27</v>
      </c>
      <c r="BA12" s="227">
        <v>55398.34</v>
      </c>
      <c r="BB12" s="227">
        <v>60114.62</v>
      </c>
      <c r="BC12" s="227">
        <v>7175.31</v>
      </c>
      <c r="BD12" s="227">
        <v>0</v>
      </c>
      <c r="BE12" s="227">
        <v>6415.9</v>
      </c>
      <c r="BF12" s="227">
        <v>12145.83</v>
      </c>
      <c r="BG12" s="227">
        <v>634.14</v>
      </c>
      <c r="BH12" s="227">
        <v>31.24</v>
      </c>
      <c r="BI12" s="227">
        <v>8168.77</v>
      </c>
      <c r="BJ12" s="227">
        <v>0</v>
      </c>
      <c r="BK12" s="227">
        <v>1551.03</v>
      </c>
      <c r="BL12" s="227">
        <v>11897.14</v>
      </c>
      <c r="BM12" s="227">
        <v>27844.44</v>
      </c>
      <c r="BN12" s="227">
        <v>70595.95</v>
      </c>
      <c r="BO12" s="227">
        <v>11354.32</v>
      </c>
      <c r="BP12" s="227">
        <v>143408.44</v>
      </c>
      <c r="BQ12" s="227">
        <v>22033.54</v>
      </c>
      <c r="BR12" s="227">
        <v>0</v>
      </c>
      <c r="BS12" s="227">
        <v>0</v>
      </c>
      <c r="BT12" s="227">
        <v>0</v>
      </c>
      <c r="BU12" s="227">
        <v>0</v>
      </c>
      <c r="BV12" s="227">
        <v>0</v>
      </c>
      <c r="BW12" s="334">
        <v>6385</v>
      </c>
      <c r="BX12" s="335"/>
      <c r="BY12" s="227">
        <v>0</v>
      </c>
      <c r="BZ12" s="227">
        <v>0</v>
      </c>
      <c r="CA12" s="227">
        <v>6000</v>
      </c>
      <c r="CB12" s="227">
        <v>0</v>
      </c>
      <c r="CC12" s="227">
        <v>6337</v>
      </c>
      <c r="CD12" s="227">
        <v>0</v>
      </c>
      <c r="CE12" s="227">
        <v>0</v>
      </c>
      <c r="CF12" s="227">
        <v>0</v>
      </c>
      <c r="CG12" s="227">
        <v>0</v>
      </c>
      <c r="CH12" s="227">
        <v>0</v>
      </c>
      <c r="CI12" s="227">
        <v>0</v>
      </c>
      <c r="CJ12" s="227">
        <v>0</v>
      </c>
      <c r="CK12" s="227">
        <v>-331754</v>
      </c>
      <c r="CL12" s="227">
        <v>48</v>
      </c>
      <c r="CM12" s="227">
        <v>0</v>
      </c>
      <c r="CN12" s="227">
        <v>0</v>
      </c>
      <c r="CO12" s="227">
        <v>0</v>
      </c>
      <c r="CQ12" s="229">
        <f t="shared" si="0"/>
        <v>-331754</v>
      </c>
    </row>
    <row r="13" spans="1:95" ht="15">
      <c r="A13" s="226">
        <v>302</v>
      </c>
      <c r="B13" s="226">
        <v>2014</v>
      </c>
      <c r="C13" s="226" t="s">
        <v>237</v>
      </c>
      <c r="D13" s="226" t="s">
        <v>424</v>
      </c>
      <c r="E13" s="226"/>
      <c r="F13" s="226" t="s">
        <v>420</v>
      </c>
      <c r="G13" s="226">
        <v>0</v>
      </c>
      <c r="H13" s="226">
        <v>1</v>
      </c>
      <c r="I13" s="226" t="s">
        <v>483</v>
      </c>
      <c r="J13" s="226" t="s">
        <v>482</v>
      </c>
      <c r="K13" s="226" t="s">
        <v>421</v>
      </c>
      <c r="L13" s="226" t="s">
        <v>422</v>
      </c>
      <c r="M13" s="226" t="s">
        <v>421</v>
      </c>
      <c r="N13" s="226" t="s">
        <v>423</v>
      </c>
      <c r="O13" s="226" t="s">
        <v>171</v>
      </c>
      <c r="P13" s="227">
        <v>-103583.78</v>
      </c>
      <c r="Q13" s="227">
        <v>0</v>
      </c>
      <c r="R13" s="227">
        <v>26015.35</v>
      </c>
      <c r="S13" s="227">
        <v>4373421.97</v>
      </c>
      <c r="T13" s="227">
        <v>0</v>
      </c>
      <c r="U13" s="227">
        <v>458547.5</v>
      </c>
      <c r="V13" s="227">
        <v>0</v>
      </c>
      <c r="W13" s="227">
        <v>271270</v>
      </c>
      <c r="X13" s="227">
        <v>137566.18</v>
      </c>
      <c r="Y13" s="227">
        <v>120238.05</v>
      </c>
      <c r="Z13" s="227">
        <v>68846.06</v>
      </c>
      <c r="AA13" s="227">
        <v>25671.56</v>
      </c>
      <c r="AB13" s="227">
        <v>689.5</v>
      </c>
      <c r="AC13" s="227">
        <v>0</v>
      </c>
      <c r="AD13" s="227">
        <v>0</v>
      </c>
      <c r="AE13" s="227">
        <v>73266.86</v>
      </c>
      <c r="AF13" s="227">
        <v>24229.07</v>
      </c>
      <c r="AG13" s="227">
        <v>0</v>
      </c>
      <c r="AH13" s="227">
        <v>0</v>
      </c>
      <c r="AI13" s="227">
        <v>0</v>
      </c>
      <c r="AJ13" s="227">
        <v>2275934.7799999998</v>
      </c>
      <c r="AK13" s="227">
        <v>0</v>
      </c>
      <c r="AL13" s="227">
        <v>1147937.3999999999</v>
      </c>
      <c r="AM13" s="227">
        <v>176131.31</v>
      </c>
      <c r="AN13" s="227">
        <v>186820.53</v>
      </c>
      <c r="AO13" s="227">
        <v>0</v>
      </c>
      <c r="AP13" s="227">
        <v>136142.45000000001</v>
      </c>
      <c r="AQ13" s="227">
        <v>26036.61</v>
      </c>
      <c r="AR13" s="227">
        <v>6472.41</v>
      </c>
      <c r="AS13" s="227">
        <v>1079.01</v>
      </c>
      <c r="AT13" s="227">
        <v>0</v>
      </c>
      <c r="AU13" s="227">
        <v>183323.31</v>
      </c>
      <c r="AV13" s="227">
        <v>10706.23</v>
      </c>
      <c r="AW13" s="227">
        <v>20878.25</v>
      </c>
      <c r="AX13" s="227">
        <v>22850.05</v>
      </c>
      <c r="AY13" s="227">
        <v>140787.29</v>
      </c>
      <c r="AZ13" s="227">
        <v>153667.43</v>
      </c>
      <c r="BA13" s="227">
        <v>54851.81</v>
      </c>
      <c r="BB13" s="227">
        <v>95194.07</v>
      </c>
      <c r="BC13" s="227">
        <v>18007.64</v>
      </c>
      <c r="BD13" s="227">
        <v>0</v>
      </c>
      <c r="BE13" s="227">
        <v>9323.86</v>
      </c>
      <c r="BF13" s="227">
        <v>15679.28</v>
      </c>
      <c r="BG13" s="227">
        <v>2264.5</v>
      </c>
      <c r="BH13" s="227">
        <v>865.09</v>
      </c>
      <c r="BI13" s="227">
        <v>24465.200000000001</v>
      </c>
      <c r="BJ13" s="227">
        <v>0</v>
      </c>
      <c r="BK13" s="227">
        <v>19322.64</v>
      </c>
      <c r="BL13" s="227">
        <v>30244.560000000001</v>
      </c>
      <c r="BM13" s="227">
        <v>33781.120000000003</v>
      </c>
      <c r="BN13" s="227">
        <v>257773.16</v>
      </c>
      <c r="BO13" s="227">
        <v>20833.419999999998</v>
      </c>
      <c r="BP13" s="227">
        <v>375267.6</v>
      </c>
      <c r="BQ13" s="227">
        <v>52404.959999999999</v>
      </c>
      <c r="BR13" s="227">
        <v>1512</v>
      </c>
      <c r="BS13" s="227">
        <v>0</v>
      </c>
      <c r="BT13" s="227">
        <v>0</v>
      </c>
      <c r="BU13" s="227">
        <v>0</v>
      </c>
      <c r="BV13" s="227">
        <v>0</v>
      </c>
      <c r="BW13" s="334">
        <v>11711.65</v>
      </c>
      <c r="BX13" s="335"/>
      <c r="BY13" s="227">
        <v>0</v>
      </c>
      <c r="BZ13" s="227">
        <v>0</v>
      </c>
      <c r="CA13" s="227">
        <v>6000</v>
      </c>
      <c r="CB13" s="227">
        <v>0</v>
      </c>
      <c r="CC13" s="227">
        <v>0</v>
      </c>
      <c r="CD13" s="227">
        <v>0</v>
      </c>
      <c r="CE13" s="227">
        <v>0</v>
      </c>
      <c r="CF13" s="227">
        <v>0</v>
      </c>
      <c r="CG13" s="227">
        <v>0</v>
      </c>
      <c r="CH13" s="227">
        <v>0</v>
      </c>
      <c r="CI13" s="227">
        <v>0</v>
      </c>
      <c r="CJ13" s="227">
        <v>0</v>
      </c>
      <c r="CK13" s="227">
        <v>-50395</v>
      </c>
      <c r="CL13" s="227">
        <v>37727</v>
      </c>
      <c r="CM13" s="227">
        <v>0</v>
      </c>
      <c r="CN13" s="227">
        <v>0</v>
      </c>
      <c r="CO13" s="227">
        <v>0</v>
      </c>
      <c r="CQ13" s="229">
        <f t="shared" si="0"/>
        <v>-50395</v>
      </c>
    </row>
    <row r="14" spans="1:95" ht="15">
      <c r="A14" s="226">
        <v>302</v>
      </c>
      <c r="B14" s="226">
        <v>2015</v>
      </c>
      <c r="C14" s="226" t="s">
        <v>238</v>
      </c>
      <c r="D14" s="226" t="s">
        <v>424</v>
      </c>
      <c r="E14" s="226"/>
      <c r="F14" s="226" t="s">
        <v>420</v>
      </c>
      <c r="G14" s="226">
        <v>0</v>
      </c>
      <c r="H14" s="226">
        <v>1</v>
      </c>
      <c r="I14" s="226" t="s">
        <v>483</v>
      </c>
      <c r="J14" s="226" t="s">
        <v>482</v>
      </c>
      <c r="K14" s="226" t="s">
        <v>421</v>
      </c>
      <c r="L14" s="226" t="s">
        <v>422</v>
      </c>
      <c r="M14" s="226" t="s">
        <v>421</v>
      </c>
      <c r="N14" s="226" t="s">
        <v>423</v>
      </c>
      <c r="O14" s="226" t="s">
        <v>171</v>
      </c>
      <c r="P14" s="227">
        <v>-416497</v>
      </c>
      <c r="Q14" s="227">
        <v>188376</v>
      </c>
      <c r="R14" s="227">
        <v>28501</v>
      </c>
      <c r="S14" s="227">
        <v>1579649.43</v>
      </c>
      <c r="T14" s="227">
        <v>0</v>
      </c>
      <c r="U14" s="227">
        <v>366088.4</v>
      </c>
      <c r="V14" s="227">
        <v>0</v>
      </c>
      <c r="W14" s="227">
        <v>113225</v>
      </c>
      <c r="X14" s="227">
        <v>18150.75</v>
      </c>
      <c r="Y14" s="227">
        <v>50141.97</v>
      </c>
      <c r="Z14" s="227">
        <v>3645.44</v>
      </c>
      <c r="AA14" s="227">
        <v>3994.18</v>
      </c>
      <c r="AB14" s="227">
        <v>4919.8599999999997</v>
      </c>
      <c r="AC14" s="227">
        <v>0</v>
      </c>
      <c r="AD14" s="227">
        <v>0</v>
      </c>
      <c r="AE14" s="227">
        <v>31347.93</v>
      </c>
      <c r="AF14" s="227">
        <v>4841.33</v>
      </c>
      <c r="AG14" s="227">
        <v>0</v>
      </c>
      <c r="AH14" s="227">
        <v>216786.9</v>
      </c>
      <c r="AI14" s="227">
        <v>0</v>
      </c>
      <c r="AJ14" s="227">
        <v>954702.92</v>
      </c>
      <c r="AK14" s="227">
        <v>0</v>
      </c>
      <c r="AL14" s="227">
        <v>826786.63</v>
      </c>
      <c r="AM14" s="227">
        <v>45007.83</v>
      </c>
      <c r="AN14" s="227">
        <v>100258.33</v>
      </c>
      <c r="AO14" s="227">
        <v>37853.11</v>
      </c>
      <c r="AP14" s="227">
        <v>30295.22</v>
      </c>
      <c r="AQ14" s="227">
        <v>10879.13</v>
      </c>
      <c r="AR14" s="227">
        <v>8511</v>
      </c>
      <c r="AS14" s="227">
        <v>307.8</v>
      </c>
      <c r="AT14" s="227">
        <v>0</v>
      </c>
      <c r="AU14" s="227">
        <v>20939.54</v>
      </c>
      <c r="AV14" s="227">
        <v>9556.25</v>
      </c>
      <c r="AW14" s="227">
        <v>62301.13</v>
      </c>
      <c r="AX14" s="227">
        <v>22890.34</v>
      </c>
      <c r="AY14" s="227">
        <v>30375.73</v>
      </c>
      <c r="AZ14" s="227">
        <v>39858</v>
      </c>
      <c r="BA14" s="227">
        <v>22279.24</v>
      </c>
      <c r="BB14" s="227">
        <v>36385.17</v>
      </c>
      <c r="BC14" s="227">
        <v>4611.63</v>
      </c>
      <c r="BD14" s="227">
        <v>0</v>
      </c>
      <c r="BE14" s="227">
        <v>2774.05</v>
      </c>
      <c r="BF14" s="227">
        <v>1027.83</v>
      </c>
      <c r="BG14" s="227">
        <v>5648.23</v>
      </c>
      <c r="BH14" s="227">
        <v>902.33</v>
      </c>
      <c r="BI14" s="227">
        <v>0</v>
      </c>
      <c r="BJ14" s="227">
        <v>0</v>
      </c>
      <c r="BK14" s="227">
        <v>16704.900000000001</v>
      </c>
      <c r="BL14" s="227">
        <v>13078.9</v>
      </c>
      <c r="BM14" s="227">
        <v>3383.16</v>
      </c>
      <c r="BN14" s="227">
        <v>58459.03</v>
      </c>
      <c r="BO14" s="227">
        <v>122146.48</v>
      </c>
      <c r="BP14" s="227">
        <v>276631.76</v>
      </c>
      <c r="BQ14" s="227">
        <v>46711.62</v>
      </c>
      <c r="BR14" s="227">
        <v>0</v>
      </c>
      <c r="BS14" s="227">
        <v>0</v>
      </c>
      <c r="BT14" s="227">
        <v>0</v>
      </c>
      <c r="BU14" s="227">
        <v>112871.95</v>
      </c>
      <c r="BV14" s="227">
        <v>3384.95</v>
      </c>
      <c r="BW14" s="334">
        <v>6581</v>
      </c>
      <c r="BX14" s="335"/>
      <c r="BY14" s="227">
        <v>0</v>
      </c>
      <c r="BZ14" s="227">
        <v>0</v>
      </c>
      <c r="CA14" s="227">
        <v>6000</v>
      </c>
      <c r="CB14" s="227">
        <v>0</v>
      </c>
      <c r="CC14" s="227">
        <v>0</v>
      </c>
      <c r="CD14" s="227">
        <v>0</v>
      </c>
      <c r="CE14" s="227">
        <v>0</v>
      </c>
      <c r="CF14" s="227">
        <v>0</v>
      </c>
      <c r="CG14" s="227">
        <v>0</v>
      </c>
      <c r="CH14" s="227">
        <v>0</v>
      </c>
      <c r="CI14" s="227">
        <v>0</v>
      </c>
      <c r="CJ14" s="227">
        <v>0</v>
      </c>
      <c r="CK14" s="227">
        <v>-1051760</v>
      </c>
      <c r="CL14" s="227">
        <v>35082</v>
      </c>
      <c r="CM14" s="227">
        <v>0</v>
      </c>
      <c r="CN14" s="227">
        <v>288906</v>
      </c>
      <c r="CO14" s="227">
        <v>0</v>
      </c>
      <c r="CQ14" s="229">
        <f t="shared" si="0"/>
        <v>-762854</v>
      </c>
    </row>
    <row r="15" spans="1:95" ht="15">
      <c r="A15" s="226">
        <v>302</v>
      </c>
      <c r="B15" s="226">
        <v>2016</v>
      </c>
      <c r="C15" s="226" t="s">
        <v>50</v>
      </c>
      <c r="D15" s="226" t="s">
        <v>424</v>
      </c>
      <c r="E15" s="226"/>
      <c r="F15" s="226" t="s">
        <v>420</v>
      </c>
      <c r="G15" s="226">
        <v>0</v>
      </c>
      <c r="H15" s="226">
        <v>0</v>
      </c>
      <c r="I15" s="226" t="s">
        <v>483</v>
      </c>
      <c r="J15" s="226" t="s">
        <v>482</v>
      </c>
      <c r="K15" s="226" t="s">
        <v>421</v>
      </c>
      <c r="L15" s="226" t="s">
        <v>422</v>
      </c>
      <c r="M15" s="226" t="s">
        <v>421</v>
      </c>
      <c r="N15" s="226" t="s">
        <v>423</v>
      </c>
      <c r="O15" s="226" t="s">
        <v>171</v>
      </c>
      <c r="P15" s="227">
        <v>-3348</v>
      </c>
      <c r="Q15" s="227">
        <v>0</v>
      </c>
      <c r="R15" s="227">
        <v>36699</v>
      </c>
      <c r="S15" s="227">
        <v>1270908.76</v>
      </c>
      <c r="T15" s="227">
        <v>0</v>
      </c>
      <c r="U15" s="227">
        <v>124946.33</v>
      </c>
      <c r="V15" s="227">
        <v>0</v>
      </c>
      <c r="W15" s="227">
        <v>46765</v>
      </c>
      <c r="X15" s="227">
        <v>68978</v>
      </c>
      <c r="Y15" s="227">
        <v>51370.400000000001</v>
      </c>
      <c r="Z15" s="227">
        <v>2285</v>
      </c>
      <c r="AA15" s="227">
        <v>3721.61</v>
      </c>
      <c r="AB15" s="227">
        <v>105.23</v>
      </c>
      <c r="AC15" s="227">
        <v>0</v>
      </c>
      <c r="AD15" s="227">
        <v>0</v>
      </c>
      <c r="AE15" s="227">
        <v>25947.53</v>
      </c>
      <c r="AF15" s="227">
        <v>28152.43</v>
      </c>
      <c r="AG15" s="227">
        <v>0</v>
      </c>
      <c r="AH15" s="227">
        <v>0</v>
      </c>
      <c r="AI15" s="227">
        <v>0</v>
      </c>
      <c r="AJ15" s="227">
        <v>725387.44</v>
      </c>
      <c r="AK15" s="227">
        <v>7889.99</v>
      </c>
      <c r="AL15" s="227">
        <v>279559.57</v>
      </c>
      <c r="AM15" s="227">
        <v>42888.72</v>
      </c>
      <c r="AN15" s="227">
        <v>74666.52</v>
      </c>
      <c r="AO15" s="227">
        <v>0</v>
      </c>
      <c r="AP15" s="227">
        <v>19231.28</v>
      </c>
      <c r="AQ15" s="227">
        <v>7065.05</v>
      </c>
      <c r="AR15" s="227">
        <v>8</v>
      </c>
      <c r="AS15" s="227">
        <v>359.1</v>
      </c>
      <c r="AT15" s="227">
        <v>0</v>
      </c>
      <c r="AU15" s="227">
        <v>8170.28</v>
      </c>
      <c r="AV15" s="227">
        <v>4051.83</v>
      </c>
      <c r="AW15" s="227">
        <v>27940.560000000001</v>
      </c>
      <c r="AX15" s="227">
        <v>6363.36</v>
      </c>
      <c r="AY15" s="227">
        <v>18159.2</v>
      </c>
      <c r="AZ15" s="227">
        <v>26367.15</v>
      </c>
      <c r="BA15" s="227">
        <v>8264.16</v>
      </c>
      <c r="BB15" s="227">
        <v>58179.01</v>
      </c>
      <c r="BC15" s="227">
        <v>5773.4</v>
      </c>
      <c r="BD15" s="227">
        <v>0</v>
      </c>
      <c r="BE15" s="227">
        <v>1339.85</v>
      </c>
      <c r="BF15" s="227">
        <v>7942.49</v>
      </c>
      <c r="BG15" s="227">
        <v>0</v>
      </c>
      <c r="BH15" s="227">
        <v>126</v>
      </c>
      <c r="BI15" s="227">
        <v>11735</v>
      </c>
      <c r="BJ15" s="227">
        <v>0</v>
      </c>
      <c r="BK15" s="227">
        <v>86.69</v>
      </c>
      <c r="BL15" s="227">
        <v>9109.7999999999993</v>
      </c>
      <c r="BM15" s="227">
        <v>1790.85</v>
      </c>
      <c r="BN15" s="227">
        <v>94958.06</v>
      </c>
      <c r="BO15" s="227">
        <v>27970.54</v>
      </c>
      <c r="BP15" s="227">
        <v>79206.350000000006</v>
      </c>
      <c r="BQ15" s="227">
        <v>22927.040000000001</v>
      </c>
      <c r="BR15" s="227">
        <v>0</v>
      </c>
      <c r="BS15" s="227">
        <v>0</v>
      </c>
      <c r="BT15" s="227">
        <v>0</v>
      </c>
      <c r="BU15" s="227">
        <v>0</v>
      </c>
      <c r="BV15" s="227">
        <v>0</v>
      </c>
      <c r="BW15" s="334">
        <v>6368</v>
      </c>
      <c r="BX15" s="335"/>
      <c r="BY15" s="227">
        <v>0</v>
      </c>
      <c r="BZ15" s="227">
        <v>0</v>
      </c>
      <c r="CA15" s="227">
        <v>6000</v>
      </c>
      <c r="CB15" s="227">
        <v>0</v>
      </c>
      <c r="CC15" s="227">
        <v>18164</v>
      </c>
      <c r="CD15" s="227">
        <v>0</v>
      </c>
      <c r="CE15" s="227">
        <v>0</v>
      </c>
      <c r="CF15" s="227">
        <v>0</v>
      </c>
      <c r="CG15" s="227">
        <v>0</v>
      </c>
      <c r="CH15" s="227">
        <v>9582</v>
      </c>
      <c r="CI15" s="227">
        <v>0</v>
      </c>
      <c r="CJ15" s="227">
        <v>23498</v>
      </c>
      <c r="CK15" s="227">
        <v>18817</v>
      </c>
      <c r="CL15" s="227">
        <v>15321</v>
      </c>
      <c r="CM15" s="227">
        <v>0</v>
      </c>
      <c r="CN15" s="227">
        <v>0</v>
      </c>
      <c r="CO15" s="227">
        <v>0</v>
      </c>
      <c r="CQ15" s="229">
        <f t="shared" si="0"/>
        <v>42315</v>
      </c>
    </row>
    <row r="16" spans="1:95" ht="15">
      <c r="A16" s="226">
        <v>302</v>
      </c>
      <c r="B16" s="226">
        <v>2017</v>
      </c>
      <c r="C16" s="226" t="s">
        <v>239</v>
      </c>
      <c r="D16" s="226" t="s">
        <v>424</v>
      </c>
      <c r="E16" s="226"/>
      <c r="F16" s="226" t="s">
        <v>420</v>
      </c>
      <c r="G16" s="226">
        <v>0</v>
      </c>
      <c r="H16" s="226">
        <v>1</v>
      </c>
      <c r="I16" s="226" t="s">
        <v>483</v>
      </c>
      <c r="J16" s="226" t="s">
        <v>482</v>
      </c>
      <c r="K16" s="226" t="s">
        <v>421</v>
      </c>
      <c r="L16" s="226" t="s">
        <v>422</v>
      </c>
      <c r="M16" s="226" t="s">
        <v>421</v>
      </c>
      <c r="N16" s="226" t="s">
        <v>423</v>
      </c>
      <c r="O16" s="226" t="s">
        <v>171</v>
      </c>
      <c r="P16" s="227">
        <v>-119192</v>
      </c>
      <c r="Q16" s="227">
        <v>0</v>
      </c>
      <c r="R16" s="227">
        <v>10515</v>
      </c>
      <c r="S16" s="227">
        <v>2299297.0099999998</v>
      </c>
      <c r="T16" s="227">
        <v>0</v>
      </c>
      <c r="U16" s="227">
        <v>387094.38</v>
      </c>
      <c r="V16" s="227">
        <v>0</v>
      </c>
      <c r="W16" s="227">
        <v>116255</v>
      </c>
      <c r="X16" s="227">
        <v>22881.45</v>
      </c>
      <c r="Y16" s="227">
        <v>159322.03</v>
      </c>
      <c r="Z16" s="227">
        <v>420</v>
      </c>
      <c r="AA16" s="227">
        <v>151644.06</v>
      </c>
      <c r="AB16" s="227">
        <v>4</v>
      </c>
      <c r="AC16" s="227">
        <v>0</v>
      </c>
      <c r="AD16" s="227">
        <v>0</v>
      </c>
      <c r="AE16" s="227">
        <v>35421.47</v>
      </c>
      <c r="AF16" s="227">
        <v>24274.27</v>
      </c>
      <c r="AG16" s="227">
        <v>0</v>
      </c>
      <c r="AH16" s="227">
        <v>0</v>
      </c>
      <c r="AI16" s="227">
        <v>0</v>
      </c>
      <c r="AJ16" s="227">
        <v>1168861.8799999999</v>
      </c>
      <c r="AK16" s="227">
        <v>0</v>
      </c>
      <c r="AL16" s="227">
        <v>880674.17</v>
      </c>
      <c r="AM16" s="227">
        <v>0</v>
      </c>
      <c r="AN16" s="227">
        <v>145944.35999999999</v>
      </c>
      <c r="AO16" s="227">
        <v>0</v>
      </c>
      <c r="AP16" s="227">
        <v>104184.88</v>
      </c>
      <c r="AQ16" s="227">
        <v>17956.02</v>
      </c>
      <c r="AR16" s="227">
        <v>3477.2</v>
      </c>
      <c r="AS16" s="227">
        <v>706.23</v>
      </c>
      <c r="AT16" s="227">
        <v>0</v>
      </c>
      <c r="AU16" s="227">
        <v>21359.63</v>
      </c>
      <c r="AV16" s="227">
        <v>6142.5</v>
      </c>
      <c r="AW16" s="227">
        <v>76061.759999999995</v>
      </c>
      <c r="AX16" s="227">
        <v>15907.53</v>
      </c>
      <c r="AY16" s="227">
        <v>39755.660000000003</v>
      </c>
      <c r="AZ16" s="227">
        <v>32487</v>
      </c>
      <c r="BA16" s="227">
        <v>15037.84</v>
      </c>
      <c r="BB16" s="227">
        <v>88835.17</v>
      </c>
      <c r="BC16" s="227">
        <v>9734.35</v>
      </c>
      <c r="BD16" s="227">
        <v>500</v>
      </c>
      <c r="BE16" s="227">
        <v>3931.03</v>
      </c>
      <c r="BF16" s="227">
        <v>3679.25</v>
      </c>
      <c r="BG16" s="227">
        <v>454.73</v>
      </c>
      <c r="BH16" s="227">
        <v>59.4</v>
      </c>
      <c r="BI16" s="227">
        <v>0</v>
      </c>
      <c r="BJ16" s="227">
        <v>0</v>
      </c>
      <c r="BK16" s="227">
        <v>4250.95</v>
      </c>
      <c r="BL16" s="227">
        <v>18941.11</v>
      </c>
      <c r="BM16" s="227">
        <v>10465.799999999999</v>
      </c>
      <c r="BN16" s="227">
        <v>185166.14</v>
      </c>
      <c r="BO16" s="227">
        <v>273003.73</v>
      </c>
      <c r="BP16" s="227">
        <v>132562.6</v>
      </c>
      <c r="BQ16" s="227">
        <v>73344.75</v>
      </c>
      <c r="BR16" s="227">
        <v>0</v>
      </c>
      <c r="BS16" s="227">
        <v>0</v>
      </c>
      <c r="BT16" s="227">
        <v>0</v>
      </c>
      <c r="BU16" s="227">
        <v>0</v>
      </c>
      <c r="BV16" s="227">
        <v>0</v>
      </c>
      <c r="BW16" s="334">
        <v>8612.5</v>
      </c>
      <c r="BX16" s="335"/>
      <c r="BY16" s="227">
        <v>0</v>
      </c>
      <c r="BZ16" s="227">
        <v>0</v>
      </c>
      <c r="CA16" s="227">
        <v>6000</v>
      </c>
      <c r="CB16" s="227">
        <v>0</v>
      </c>
      <c r="CC16" s="227">
        <v>0</v>
      </c>
      <c r="CD16" s="227">
        <v>0</v>
      </c>
      <c r="CE16" s="227">
        <v>2570</v>
      </c>
      <c r="CF16" s="227">
        <v>0</v>
      </c>
      <c r="CG16" s="227">
        <v>0</v>
      </c>
      <c r="CH16" s="227">
        <v>5347.5</v>
      </c>
      <c r="CI16" s="227">
        <v>0</v>
      </c>
      <c r="CJ16" s="227">
        <v>0</v>
      </c>
      <c r="CK16" s="227">
        <v>-256064</v>
      </c>
      <c r="CL16" s="227">
        <v>11210</v>
      </c>
      <c r="CM16" s="227">
        <v>0</v>
      </c>
      <c r="CN16" s="227">
        <v>0</v>
      </c>
      <c r="CO16" s="227">
        <v>0</v>
      </c>
      <c r="CQ16" s="229">
        <f t="shared" si="0"/>
        <v>-256064</v>
      </c>
    </row>
    <row r="17" spans="1:95" ht="15">
      <c r="A17" s="226">
        <v>302</v>
      </c>
      <c r="B17" s="226">
        <v>2019</v>
      </c>
      <c r="C17" s="226" t="s">
        <v>53</v>
      </c>
      <c r="D17" s="226" t="s">
        <v>424</v>
      </c>
      <c r="E17" s="226"/>
      <c r="F17" s="226" t="s">
        <v>420</v>
      </c>
      <c r="G17" s="226">
        <v>0</v>
      </c>
      <c r="H17" s="226">
        <v>1</v>
      </c>
      <c r="I17" s="226" t="s">
        <v>483</v>
      </c>
      <c r="J17" s="226" t="s">
        <v>482</v>
      </c>
      <c r="K17" s="226" t="s">
        <v>421</v>
      </c>
      <c r="L17" s="226" t="s">
        <v>422</v>
      </c>
      <c r="M17" s="226" t="s">
        <v>421</v>
      </c>
      <c r="N17" s="226" t="s">
        <v>423</v>
      </c>
      <c r="O17" s="226" t="s">
        <v>171</v>
      </c>
      <c r="P17" s="227">
        <v>-212623.57</v>
      </c>
      <c r="Q17" s="227">
        <v>0</v>
      </c>
      <c r="R17" s="227">
        <v>0</v>
      </c>
      <c r="S17" s="227">
        <v>1432866.71</v>
      </c>
      <c r="T17" s="227">
        <v>0</v>
      </c>
      <c r="U17" s="227">
        <v>114876.4</v>
      </c>
      <c r="V17" s="227">
        <v>0</v>
      </c>
      <c r="W17" s="227">
        <v>78780</v>
      </c>
      <c r="X17" s="227">
        <v>71595</v>
      </c>
      <c r="Y17" s="227">
        <v>2860</v>
      </c>
      <c r="Z17" s="227">
        <v>9452.11</v>
      </c>
      <c r="AA17" s="227">
        <v>25314</v>
      </c>
      <c r="AB17" s="227">
        <v>19.34</v>
      </c>
      <c r="AC17" s="227">
        <v>0</v>
      </c>
      <c r="AD17" s="227">
        <v>0</v>
      </c>
      <c r="AE17" s="227">
        <v>24647.5</v>
      </c>
      <c r="AF17" s="227">
        <v>7684.72</v>
      </c>
      <c r="AG17" s="227">
        <v>0</v>
      </c>
      <c r="AH17" s="227">
        <v>0</v>
      </c>
      <c r="AI17" s="227">
        <v>0</v>
      </c>
      <c r="AJ17" s="227">
        <v>820704</v>
      </c>
      <c r="AK17" s="227">
        <v>0</v>
      </c>
      <c r="AL17" s="227">
        <v>449441.86</v>
      </c>
      <c r="AM17" s="227">
        <v>56278.48</v>
      </c>
      <c r="AN17" s="227">
        <v>98206.68</v>
      </c>
      <c r="AO17" s="227">
        <v>0</v>
      </c>
      <c r="AP17" s="227">
        <v>57295.199999999997</v>
      </c>
      <c r="AQ17" s="227">
        <v>7490.76</v>
      </c>
      <c r="AR17" s="227">
        <v>1448.12</v>
      </c>
      <c r="AS17" s="227">
        <v>297.54000000000002</v>
      </c>
      <c r="AT17" s="227">
        <v>0</v>
      </c>
      <c r="AU17" s="227">
        <v>14845.21</v>
      </c>
      <c r="AV17" s="227">
        <v>5660</v>
      </c>
      <c r="AW17" s="227">
        <v>2004.3</v>
      </c>
      <c r="AX17" s="227">
        <v>9950.77</v>
      </c>
      <c r="AY17" s="227">
        <v>33702.61</v>
      </c>
      <c r="AZ17" s="227">
        <v>22278.52</v>
      </c>
      <c r="BA17" s="227">
        <v>7725.89</v>
      </c>
      <c r="BB17" s="227">
        <v>21808.79</v>
      </c>
      <c r="BC17" s="227">
        <v>8069.9</v>
      </c>
      <c r="BD17" s="227">
        <v>0</v>
      </c>
      <c r="BE17" s="227">
        <v>5795.3</v>
      </c>
      <c r="BF17" s="227">
        <v>11634.39</v>
      </c>
      <c r="BG17" s="227">
        <v>100.84</v>
      </c>
      <c r="BH17" s="227">
        <v>118.2</v>
      </c>
      <c r="BI17" s="227">
        <v>7086</v>
      </c>
      <c r="BJ17" s="227">
        <v>0</v>
      </c>
      <c r="BK17" s="227">
        <v>6707.73</v>
      </c>
      <c r="BL17" s="227">
        <v>8196.1200000000008</v>
      </c>
      <c r="BM17" s="227">
        <v>2184.81</v>
      </c>
      <c r="BN17" s="227">
        <v>62247.86</v>
      </c>
      <c r="BO17" s="227">
        <v>47380.95</v>
      </c>
      <c r="BP17" s="227">
        <v>88270.33</v>
      </c>
      <c r="BQ17" s="227">
        <v>22449.86</v>
      </c>
      <c r="BR17" s="227">
        <v>0</v>
      </c>
      <c r="BS17" s="227">
        <v>0</v>
      </c>
      <c r="BT17" s="227">
        <v>3535.2</v>
      </c>
      <c r="BU17" s="227">
        <v>0</v>
      </c>
      <c r="BV17" s="227">
        <v>0</v>
      </c>
      <c r="BW17" s="334">
        <v>6400.75</v>
      </c>
      <c r="BX17" s="335"/>
      <c r="BY17" s="227">
        <v>0</v>
      </c>
      <c r="BZ17" s="227">
        <v>3535.2</v>
      </c>
      <c r="CA17" s="227">
        <v>6000</v>
      </c>
      <c r="CB17" s="227">
        <v>0</v>
      </c>
      <c r="CC17" s="227">
        <v>0</v>
      </c>
      <c r="CD17" s="227">
        <v>0</v>
      </c>
      <c r="CE17" s="227">
        <v>9935.9500000000007</v>
      </c>
      <c r="CF17" s="227">
        <v>0</v>
      </c>
      <c r="CG17" s="227">
        <v>0</v>
      </c>
      <c r="CH17" s="227">
        <v>0</v>
      </c>
      <c r="CI17" s="227">
        <v>0</v>
      </c>
      <c r="CJ17" s="227">
        <v>0</v>
      </c>
      <c r="CK17" s="227">
        <v>-327444.01</v>
      </c>
      <c r="CL17" s="227">
        <v>0</v>
      </c>
      <c r="CM17" s="227">
        <v>0</v>
      </c>
      <c r="CN17" s="227">
        <v>0</v>
      </c>
      <c r="CO17" s="227">
        <v>0</v>
      </c>
      <c r="CQ17" s="229">
        <f t="shared" si="0"/>
        <v>-327444.01</v>
      </c>
    </row>
    <row r="18" spans="1:95" ht="15">
      <c r="A18" s="226">
        <v>302</v>
      </c>
      <c r="B18" s="226">
        <v>2023</v>
      </c>
      <c r="C18" s="226" t="s">
        <v>325</v>
      </c>
      <c r="D18" s="226" t="s">
        <v>424</v>
      </c>
      <c r="E18" s="226"/>
      <c r="F18" s="226" t="s">
        <v>420</v>
      </c>
      <c r="G18" s="226">
        <v>0</v>
      </c>
      <c r="H18" s="226">
        <v>0</v>
      </c>
      <c r="I18" s="226" t="s">
        <v>483</v>
      </c>
      <c r="J18" s="226" t="s">
        <v>482</v>
      </c>
      <c r="K18" s="226" t="s">
        <v>421</v>
      </c>
      <c r="L18" s="226" t="s">
        <v>422</v>
      </c>
      <c r="M18" s="226" t="s">
        <v>421</v>
      </c>
      <c r="N18" s="226" t="s">
        <v>423</v>
      </c>
      <c r="O18" s="226" t="s">
        <v>171</v>
      </c>
      <c r="P18" s="227">
        <v>-42493.7</v>
      </c>
      <c r="Q18" s="227">
        <v>0</v>
      </c>
      <c r="R18" s="227">
        <v>3516.13</v>
      </c>
      <c r="S18" s="227">
        <v>2768581.97</v>
      </c>
      <c r="T18" s="227">
        <v>0</v>
      </c>
      <c r="U18" s="227">
        <v>256414.39</v>
      </c>
      <c r="V18" s="227">
        <v>0</v>
      </c>
      <c r="W18" s="227">
        <v>229111</v>
      </c>
      <c r="X18" s="227">
        <v>46756.55</v>
      </c>
      <c r="Y18" s="227">
        <v>78203.86</v>
      </c>
      <c r="Z18" s="227">
        <v>133381.54</v>
      </c>
      <c r="AA18" s="227">
        <v>27889.16</v>
      </c>
      <c r="AB18" s="227">
        <v>2282.54</v>
      </c>
      <c r="AC18" s="227">
        <v>0</v>
      </c>
      <c r="AD18" s="227">
        <v>0</v>
      </c>
      <c r="AE18" s="227">
        <v>14508.19</v>
      </c>
      <c r="AF18" s="227">
        <v>4235.72</v>
      </c>
      <c r="AG18" s="227">
        <v>0</v>
      </c>
      <c r="AH18" s="227">
        <v>0</v>
      </c>
      <c r="AI18" s="227">
        <v>0</v>
      </c>
      <c r="AJ18" s="227">
        <v>1227301.6200000001</v>
      </c>
      <c r="AK18" s="227">
        <v>0</v>
      </c>
      <c r="AL18" s="227">
        <v>894810.93</v>
      </c>
      <c r="AM18" s="227">
        <v>87770.67</v>
      </c>
      <c r="AN18" s="227">
        <v>176554.1</v>
      </c>
      <c r="AO18" s="227">
        <v>0</v>
      </c>
      <c r="AP18" s="227">
        <v>29298.68</v>
      </c>
      <c r="AQ18" s="227">
        <v>10064.84</v>
      </c>
      <c r="AR18" s="227">
        <v>3240.04</v>
      </c>
      <c r="AS18" s="227">
        <v>699.39</v>
      </c>
      <c r="AT18" s="227">
        <v>0</v>
      </c>
      <c r="AU18" s="227">
        <v>17373.79</v>
      </c>
      <c r="AV18" s="227">
        <v>8293.2800000000007</v>
      </c>
      <c r="AW18" s="227">
        <v>76928.7</v>
      </c>
      <c r="AX18" s="227">
        <v>22211.93</v>
      </c>
      <c r="AY18" s="227">
        <v>66010.509999999995</v>
      </c>
      <c r="AZ18" s="227">
        <v>32155.71</v>
      </c>
      <c r="BA18" s="227">
        <v>9153.92</v>
      </c>
      <c r="BB18" s="227">
        <v>98017.24</v>
      </c>
      <c r="BC18" s="227">
        <v>5895</v>
      </c>
      <c r="BD18" s="227">
        <v>4549.91</v>
      </c>
      <c r="BE18" s="227">
        <v>20145.02</v>
      </c>
      <c r="BF18" s="227">
        <v>13177.54</v>
      </c>
      <c r="BG18" s="227">
        <v>4462.3999999999996</v>
      </c>
      <c r="BH18" s="227">
        <v>8270.9699999999993</v>
      </c>
      <c r="BI18" s="227">
        <v>17420</v>
      </c>
      <c r="BJ18" s="227">
        <v>0</v>
      </c>
      <c r="BK18" s="227">
        <v>9831.02</v>
      </c>
      <c r="BL18" s="227">
        <v>18349.919999999998</v>
      </c>
      <c r="BM18" s="227">
        <v>10974.9</v>
      </c>
      <c r="BN18" s="227">
        <v>187982.48</v>
      </c>
      <c r="BO18" s="227">
        <v>264233.24</v>
      </c>
      <c r="BP18" s="227">
        <v>122767.93</v>
      </c>
      <c r="BQ18" s="227">
        <v>32224.799999999999</v>
      </c>
      <c r="BR18" s="227">
        <v>0</v>
      </c>
      <c r="BS18" s="227">
        <v>0</v>
      </c>
      <c r="BT18" s="227">
        <v>831</v>
      </c>
      <c r="BU18" s="227">
        <v>0</v>
      </c>
      <c r="BV18" s="227">
        <v>0</v>
      </c>
      <c r="BW18" s="334">
        <v>72967</v>
      </c>
      <c r="BX18" s="335"/>
      <c r="BY18" s="227">
        <v>0</v>
      </c>
      <c r="BZ18" s="227">
        <v>831</v>
      </c>
      <c r="CA18" s="227">
        <v>6000</v>
      </c>
      <c r="CB18" s="227">
        <v>0</v>
      </c>
      <c r="CC18" s="227">
        <v>63985.48</v>
      </c>
      <c r="CD18" s="227">
        <v>0</v>
      </c>
      <c r="CE18" s="227">
        <v>0</v>
      </c>
      <c r="CF18" s="227">
        <v>0</v>
      </c>
      <c r="CG18" s="227">
        <v>0</v>
      </c>
      <c r="CH18" s="227">
        <v>13328.65</v>
      </c>
      <c r="CI18" s="227">
        <v>0</v>
      </c>
      <c r="CJ18" s="227">
        <v>0</v>
      </c>
      <c r="CK18" s="227">
        <v>37869.74</v>
      </c>
      <c r="CL18" s="227">
        <v>0</v>
      </c>
      <c r="CM18" s="227">
        <v>0</v>
      </c>
      <c r="CN18" s="227">
        <v>0</v>
      </c>
      <c r="CO18" s="227">
        <v>0</v>
      </c>
      <c r="CQ18" s="229">
        <f t="shared" si="0"/>
        <v>37869.74</v>
      </c>
    </row>
    <row r="19" spans="1:95" ht="30">
      <c r="A19" s="226">
        <v>302</v>
      </c>
      <c r="B19" s="226">
        <v>2024</v>
      </c>
      <c r="C19" s="226" t="s">
        <v>331</v>
      </c>
      <c r="D19" s="226" t="s">
        <v>424</v>
      </c>
      <c r="E19" s="226"/>
      <c r="F19" s="226" t="s">
        <v>420</v>
      </c>
      <c r="G19" s="226">
        <v>0</v>
      </c>
      <c r="H19" s="226">
        <v>1</v>
      </c>
      <c r="I19" s="226" t="s">
        <v>483</v>
      </c>
      <c r="J19" s="226" t="s">
        <v>482</v>
      </c>
      <c r="K19" s="226" t="s">
        <v>421</v>
      </c>
      <c r="L19" s="226" t="s">
        <v>422</v>
      </c>
      <c r="M19" s="226" t="s">
        <v>421</v>
      </c>
      <c r="N19" s="226" t="s">
        <v>423</v>
      </c>
      <c r="O19" s="226" t="s">
        <v>171</v>
      </c>
      <c r="P19" s="227">
        <v>-71316.570000000007</v>
      </c>
      <c r="Q19" s="227">
        <v>90915.32</v>
      </c>
      <c r="R19" s="227">
        <v>27967.91</v>
      </c>
      <c r="S19" s="227">
        <v>1721993.29</v>
      </c>
      <c r="T19" s="227">
        <v>0</v>
      </c>
      <c r="U19" s="227">
        <v>136387.63</v>
      </c>
      <c r="V19" s="227">
        <v>0</v>
      </c>
      <c r="W19" s="227">
        <v>113140</v>
      </c>
      <c r="X19" s="227">
        <v>37560.42</v>
      </c>
      <c r="Y19" s="227">
        <v>39610.6</v>
      </c>
      <c r="Z19" s="227">
        <v>3984.08</v>
      </c>
      <c r="AA19" s="227">
        <v>9624.69</v>
      </c>
      <c r="AB19" s="227">
        <v>617.02</v>
      </c>
      <c r="AC19" s="227">
        <v>0</v>
      </c>
      <c r="AD19" s="227">
        <v>0</v>
      </c>
      <c r="AE19" s="227">
        <v>55435.9</v>
      </c>
      <c r="AF19" s="227">
        <v>3720.95</v>
      </c>
      <c r="AG19" s="227">
        <v>0</v>
      </c>
      <c r="AH19" s="227">
        <v>198014.01</v>
      </c>
      <c r="AI19" s="227">
        <v>0</v>
      </c>
      <c r="AJ19" s="227">
        <v>765040.63</v>
      </c>
      <c r="AK19" s="227">
        <v>0</v>
      </c>
      <c r="AL19" s="227">
        <v>623937.29</v>
      </c>
      <c r="AM19" s="227">
        <v>36287.93</v>
      </c>
      <c r="AN19" s="227">
        <v>104457.14</v>
      </c>
      <c r="AO19" s="227">
        <v>0</v>
      </c>
      <c r="AP19" s="227">
        <v>36168.82</v>
      </c>
      <c r="AQ19" s="227">
        <v>7344.12</v>
      </c>
      <c r="AR19" s="227">
        <v>1796.41</v>
      </c>
      <c r="AS19" s="227">
        <v>345.42</v>
      </c>
      <c r="AT19" s="227">
        <v>0</v>
      </c>
      <c r="AU19" s="227">
        <v>23365.93</v>
      </c>
      <c r="AV19" s="227">
        <v>1998.98</v>
      </c>
      <c r="AW19" s="227">
        <v>39396.71</v>
      </c>
      <c r="AX19" s="227">
        <v>6126.5</v>
      </c>
      <c r="AY19" s="227">
        <v>32962.82</v>
      </c>
      <c r="AZ19" s="227">
        <v>67901.710000000006</v>
      </c>
      <c r="BA19" s="227">
        <v>11655.47</v>
      </c>
      <c r="BB19" s="227">
        <v>36399.919999999998</v>
      </c>
      <c r="BC19" s="227">
        <v>3012.65</v>
      </c>
      <c r="BD19" s="227">
        <v>0</v>
      </c>
      <c r="BE19" s="227">
        <v>0</v>
      </c>
      <c r="BF19" s="227">
        <v>25056.35</v>
      </c>
      <c r="BG19" s="227">
        <v>0</v>
      </c>
      <c r="BH19" s="227">
        <v>0</v>
      </c>
      <c r="BI19" s="227">
        <v>12530.01</v>
      </c>
      <c r="BJ19" s="227">
        <v>0</v>
      </c>
      <c r="BK19" s="227">
        <v>5422.42</v>
      </c>
      <c r="BL19" s="227">
        <v>9678.51</v>
      </c>
      <c r="BM19" s="227">
        <v>1159.97</v>
      </c>
      <c r="BN19" s="227">
        <v>87103.37</v>
      </c>
      <c r="BO19" s="227">
        <v>72619.570000000007</v>
      </c>
      <c r="BP19" s="227">
        <v>108089.05</v>
      </c>
      <c r="BQ19" s="227">
        <v>36202.879999999997</v>
      </c>
      <c r="BR19" s="227">
        <v>0</v>
      </c>
      <c r="BS19" s="227">
        <v>0</v>
      </c>
      <c r="BT19" s="227">
        <v>0</v>
      </c>
      <c r="BU19" s="227">
        <v>134916.54999999999</v>
      </c>
      <c r="BV19" s="227">
        <v>34575.46</v>
      </c>
      <c r="BW19" s="334">
        <v>6820.26</v>
      </c>
      <c r="BX19" s="335"/>
      <c r="BY19" s="227">
        <v>0</v>
      </c>
      <c r="BZ19" s="227">
        <v>0</v>
      </c>
      <c r="CA19" s="227">
        <v>6000</v>
      </c>
      <c r="CB19" s="227">
        <v>0</v>
      </c>
      <c r="CC19" s="227">
        <v>0</v>
      </c>
      <c r="CD19" s="227">
        <v>0</v>
      </c>
      <c r="CE19" s="227">
        <v>0</v>
      </c>
      <c r="CF19" s="227">
        <v>0</v>
      </c>
      <c r="CG19" s="227">
        <v>0</v>
      </c>
      <c r="CH19" s="227">
        <v>0</v>
      </c>
      <c r="CI19" s="227">
        <v>0</v>
      </c>
      <c r="CJ19" s="227">
        <v>0</v>
      </c>
      <c r="CK19" s="227">
        <v>-105302.57</v>
      </c>
      <c r="CL19" s="227">
        <v>34788.17</v>
      </c>
      <c r="CM19" s="227">
        <v>0</v>
      </c>
      <c r="CN19" s="227">
        <v>119437.32</v>
      </c>
      <c r="CO19" s="227">
        <v>0</v>
      </c>
      <c r="CQ19" s="229">
        <f t="shared" si="0"/>
        <v>14134.75</v>
      </c>
    </row>
    <row r="20" spans="1:95" ht="15">
      <c r="A20" s="226">
        <v>302</v>
      </c>
      <c r="B20" s="226">
        <v>2025</v>
      </c>
      <c r="C20" s="226" t="s">
        <v>56</v>
      </c>
      <c r="D20" s="226" t="s">
        <v>424</v>
      </c>
      <c r="E20" s="226"/>
      <c r="F20" s="226" t="s">
        <v>420</v>
      </c>
      <c r="G20" s="226">
        <v>0</v>
      </c>
      <c r="H20" s="226">
        <v>0</v>
      </c>
      <c r="I20" s="226" t="s">
        <v>483</v>
      </c>
      <c r="J20" s="226" t="s">
        <v>482</v>
      </c>
      <c r="K20" s="226" t="s">
        <v>421</v>
      </c>
      <c r="L20" s="226" t="s">
        <v>422</v>
      </c>
      <c r="M20" s="226" t="s">
        <v>421</v>
      </c>
      <c r="N20" s="226" t="s">
        <v>423</v>
      </c>
      <c r="O20" s="226" t="s">
        <v>171</v>
      </c>
      <c r="P20" s="227">
        <v>79</v>
      </c>
      <c r="Q20" s="227">
        <v>0</v>
      </c>
      <c r="R20" s="227">
        <v>30834</v>
      </c>
      <c r="S20" s="227">
        <v>1742983.18</v>
      </c>
      <c r="T20" s="227">
        <v>0</v>
      </c>
      <c r="U20" s="227">
        <v>120158.65</v>
      </c>
      <c r="V20" s="227">
        <v>0</v>
      </c>
      <c r="W20" s="227">
        <v>26140</v>
      </c>
      <c r="X20" s="227">
        <v>75382</v>
      </c>
      <c r="Y20" s="227">
        <v>87870.51</v>
      </c>
      <c r="Z20" s="227">
        <v>51405.77</v>
      </c>
      <c r="AA20" s="227">
        <v>28269.68</v>
      </c>
      <c r="AB20" s="227">
        <v>0</v>
      </c>
      <c r="AC20" s="227">
        <v>0</v>
      </c>
      <c r="AD20" s="227">
        <v>0</v>
      </c>
      <c r="AE20" s="227">
        <v>68990.92</v>
      </c>
      <c r="AF20" s="227">
        <v>67490.83</v>
      </c>
      <c r="AG20" s="227">
        <v>0</v>
      </c>
      <c r="AH20" s="227">
        <v>0</v>
      </c>
      <c r="AI20" s="227">
        <v>0</v>
      </c>
      <c r="AJ20" s="227">
        <v>1197332.53</v>
      </c>
      <c r="AK20" s="227">
        <v>0</v>
      </c>
      <c r="AL20" s="227">
        <v>353408.14</v>
      </c>
      <c r="AM20" s="227">
        <v>96820.33</v>
      </c>
      <c r="AN20" s="227">
        <v>63885.72</v>
      </c>
      <c r="AO20" s="227">
        <v>0</v>
      </c>
      <c r="AP20" s="227">
        <v>56415.57</v>
      </c>
      <c r="AQ20" s="227">
        <v>7762.33</v>
      </c>
      <c r="AR20" s="227">
        <v>1835</v>
      </c>
      <c r="AS20" s="227">
        <v>542.07000000000005</v>
      </c>
      <c r="AT20" s="227">
        <v>0</v>
      </c>
      <c r="AU20" s="227">
        <v>11466.36</v>
      </c>
      <c r="AV20" s="227">
        <v>0</v>
      </c>
      <c r="AW20" s="227">
        <v>0</v>
      </c>
      <c r="AX20" s="227">
        <v>8003.16</v>
      </c>
      <c r="AY20" s="227">
        <v>39826.14</v>
      </c>
      <c r="AZ20" s="227">
        <v>49627.93</v>
      </c>
      <c r="BA20" s="227">
        <v>7821.47</v>
      </c>
      <c r="BB20" s="227">
        <v>85895.8</v>
      </c>
      <c r="BC20" s="227">
        <v>5780.11</v>
      </c>
      <c r="BD20" s="227">
        <v>0</v>
      </c>
      <c r="BE20" s="227">
        <v>4273.33</v>
      </c>
      <c r="BF20" s="227">
        <v>8155.18</v>
      </c>
      <c r="BG20" s="227">
        <v>0</v>
      </c>
      <c r="BH20" s="227">
        <v>181.4</v>
      </c>
      <c r="BI20" s="227">
        <v>4750</v>
      </c>
      <c r="BJ20" s="227">
        <v>0</v>
      </c>
      <c r="BK20" s="227">
        <v>5452.71</v>
      </c>
      <c r="BL20" s="227">
        <v>13751.46</v>
      </c>
      <c r="BM20" s="227">
        <v>6641.3</v>
      </c>
      <c r="BN20" s="227">
        <v>138785.42000000001</v>
      </c>
      <c r="BO20" s="227">
        <v>3366</v>
      </c>
      <c r="BP20" s="227">
        <v>44051.21</v>
      </c>
      <c r="BQ20" s="227">
        <v>30583.87</v>
      </c>
      <c r="BR20" s="227">
        <v>300</v>
      </c>
      <c r="BS20" s="227">
        <v>0</v>
      </c>
      <c r="BT20" s="227">
        <v>0</v>
      </c>
      <c r="BU20" s="227">
        <v>0</v>
      </c>
      <c r="BV20" s="227">
        <v>0</v>
      </c>
      <c r="BW20" s="334">
        <v>7510</v>
      </c>
      <c r="BX20" s="335"/>
      <c r="BY20" s="227">
        <v>0</v>
      </c>
      <c r="BZ20" s="227">
        <v>0</v>
      </c>
      <c r="CA20" s="227">
        <v>6000</v>
      </c>
      <c r="CB20" s="227">
        <v>0</v>
      </c>
      <c r="CC20" s="227">
        <v>18138</v>
      </c>
      <c r="CD20" s="227">
        <v>0</v>
      </c>
      <c r="CE20" s="227">
        <v>0</v>
      </c>
      <c r="CF20" s="227">
        <v>0</v>
      </c>
      <c r="CG20" s="227">
        <v>0</v>
      </c>
      <c r="CH20" s="227">
        <v>5322</v>
      </c>
      <c r="CI20" s="227">
        <v>2825</v>
      </c>
      <c r="CJ20" s="227">
        <v>0</v>
      </c>
      <c r="CK20" s="227">
        <v>22056</v>
      </c>
      <c r="CL20" s="227">
        <v>12059</v>
      </c>
      <c r="CM20" s="227">
        <v>0</v>
      </c>
      <c r="CN20" s="227">
        <v>0</v>
      </c>
      <c r="CO20" s="227">
        <v>0</v>
      </c>
      <c r="CQ20" s="229">
        <f t="shared" si="0"/>
        <v>22056</v>
      </c>
    </row>
    <row r="21" spans="1:95" ht="15">
      <c r="A21" s="226">
        <v>302</v>
      </c>
      <c r="B21" s="226">
        <v>2026</v>
      </c>
      <c r="C21" s="226" t="s">
        <v>241</v>
      </c>
      <c r="D21" s="226" t="s">
        <v>424</v>
      </c>
      <c r="E21" s="226"/>
      <c r="F21" s="226" t="s">
        <v>420</v>
      </c>
      <c r="G21" s="226">
        <v>0</v>
      </c>
      <c r="H21" s="226">
        <v>2</v>
      </c>
      <c r="I21" s="226" t="s">
        <v>483</v>
      </c>
      <c r="J21" s="226" t="s">
        <v>482</v>
      </c>
      <c r="K21" s="226" t="s">
        <v>421</v>
      </c>
      <c r="L21" s="226" t="s">
        <v>422</v>
      </c>
      <c r="M21" s="226" t="s">
        <v>421</v>
      </c>
      <c r="N21" s="226" t="s">
        <v>423</v>
      </c>
      <c r="O21" s="226" t="s">
        <v>171</v>
      </c>
      <c r="P21" s="227">
        <v>76598</v>
      </c>
      <c r="Q21" s="227">
        <v>0</v>
      </c>
      <c r="R21" s="227">
        <v>9851</v>
      </c>
      <c r="S21" s="227">
        <v>2980676.93</v>
      </c>
      <c r="T21" s="227">
        <v>0</v>
      </c>
      <c r="U21" s="227">
        <v>154455.70000000001</v>
      </c>
      <c r="V21" s="227">
        <v>0</v>
      </c>
      <c r="W21" s="227">
        <v>69290</v>
      </c>
      <c r="X21" s="227">
        <v>79726.350000000006</v>
      </c>
      <c r="Y21" s="227">
        <v>110838.31</v>
      </c>
      <c r="Z21" s="227">
        <v>48521.27</v>
      </c>
      <c r="AA21" s="227">
        <v>7210.64</v>
      </c>
      <c r="AB21" s="227">
        <v>7338.2</v>
      </c>
      <c r="AC21" s="227">
        <v>0</v>
      </c>
      <c r="AD21" s="227">
        <v>0</v>
      </c>
      <c r="AE21" s="227">
        <v>227810.14</v>
      </c>
      <c r="AF21" s="227">
        <v>23971.83</v>
      </c>
      <c r="AG21" s="227">
        <v>0</v>
      </c>
      <c r="AH21" s="227">
        <v>0</v>
      </c>
      <c r="AI21" s="227">
        <v>0</v>
      </c>
      <c r="AJ21" s="227">
        <v>1597496.06</v>
      </c>
      <c r="AK21" s="227">
        <v>0</v>
      </c>
      <c r="AL21" s="227">
        <v>828206.69</v>
      </c>
      <c r="AM21" s="227">
        <v>77315.509999999995</v>
      </c>
      <c r="AN21" s="227">
        <v>133517.18</v>
      </c>
      <c r="AO21" s="227">
        <v>0</v>
      </c>
      <c r="AP21" s="227">
        <v>99433.76</v>
      </c>
      <c r="AQ21" s="227">
        <v>14682.46</v>
      </c>
      <c r="AR21" s="227">
        <v>3215.06</v>
      </c>
      <c r="AS21" s="227">
        <v>699.39</v>
      </c>
      <c r="AT21" s="227">
        <v>0</v>
      </c>
      <c r="AU21" s="227">
        <v>43775.839999999997</v>
      </c>
      <c r="AV21" s="227">
        <v>4374</v>
      </c>
      <c r="AW21" s="227">
        <v>78673</v>
      </c>
      <c r="AX21" s="227">
        <v>-1765.07</v>
      </c>
      <c r="AY21" s="227">
        <v>59755.31</v>
      </c>
      <c r="AZ21" s="227">
        <v>58040.87</v>
      </c>
      <c r="BA21" s="227">
        <v>18730.990000000002</v>
      </c>
      <c r="BB21" s="227">
        <v>86340.62</v>
      </c>
      <c r="BC21" s="227">
        <v>7245</v>
      </c>
      <c r="BD21" s="227">
        <v>2577.6999999999998</v>
      </c>
      <c r="BE21" s="227">
        <v>12390.3</v>
      </c>
      <c r="BF21" s="227">
        <v>11213.18</v>
      </c>
      <c r="BG21" s="227">
        <v>3993.71</v>
      </c>
      <c r="BH21" s="227">
        <v>474.85</v>
      </c>
      <c r="BI21" s="227">
        <v>10814</v>
      </c>
      <c r="BJ21" s="227">
        <v>0</v>
      </c>
      <c r="BK21" s="227">
        <v>11732.22</v>
      </c>
      <c r="BL21" s="227">
        <v>19755.09</v>
      </c>
      <c r="BM21" s="227">
        <v>6535.91</v>
      </c>
      <c r="BN21" s="227">
        <v>171828.79</v>
      </c>
      <c r="BO21" s="227">
        <v>23574.080000000002</v>
      </c>
      <c r="BP21" s="227">
        <v>133137.45000000001</v>
      </c>
      <c r="BQ21" s="227">
        <v>41094.42</v>
      </c>
      <c r="BR21" s="227">
        <v>0</v>
      </c>
      <c r="BS21" s="227">
        <v>0</v>
      </c>
      <c r="BT21" s="227">
        <v>19611</v>
      </c>
      <c r="BU21" s="227">
        <v>0</v>
      </c>
      <c r="BV21" s="227">
        <v>0</v>
      </c>
      <c r="BW21" s="334">
        <v>9382</v>
      </c>
      <c r="BX21" s="335"/>
      <c r="BY21" s="227">
        <v>0</v>
      </c>
      <c r="BZ21" s="227">
        <v>19611</v>
      </c>
      <c r="CA21" s="227">
        <v>6000</v>
      </c>
      <c r="CB21" s="227">
        <v>0</v>
      </c>
      <c r="CC21" s="227">
        <v>17350</v>
      </c>
      <c r="CD21" s="227">
        <v>7669.17</v>
      </c>
      <c r="CE21" s="227">
        <v>0</v>
      </c>
      <c r="CF21" s="227">
        <v>0</v>
      </c>
      <c r="CG21" s="227">
        <v>0</v>
      </c>
      <c r="CH21" s="227">
        <v>13824.83</v>
      </c>
      <c r="CI21" s="227">
        <v>0</v>
      </c>
      <c r="CJ21" s="227">
        <v>12429</v>
      </c>
      <c r="CK21" s="227">
        <v>195539</v>
      </c>
      <c r="CL21" s="227">
        <v>0</v>
      </c>
      <c r="CM21" s="227">
        <v>0</v>
      </c>
      <c r="CN21" s="227">
        <v>0</v>
      </c>
      <c r="CO21" s="227">
        <v>0</v>
      </c>
      <c r="CQ21" s="229">
        <f t="shared" si="0"/>
        <v>207968</v>
      </c>
    </row>
    <row r="22" spans="1:95" ht="15">
      <c r="A22" s="226">
        <v>302</v>
      </c>
      <c r="B22" s="226">
        <v>2027</v>
      </c>
      <c r="C22" s="226" t="s">
        <v>59</v>
      </c>
      <c r="D22" s="226" t="s">
        <v>424</v>
      </c>
      <c r="E22" s="226"/>
      <c r="F22" s="226" t="s">
        <v>420</v>
      </c>
      <c r="G22" s="226">
        <v>0</v>
      </c>
      <c r="H22" s="226">
        <v>1</v>
      </c>
      <c r="I22" s="226" t="s">
        <v>483</v>
      </c>
      <c r="J22" s="226" t="s">
        <v>482</v>
      </c>
      <c r="K22" s="226" t="s">
        <v>421</v>
      </c>
      <c r="L22" s="226" t="s">
        <v>422</v>
      </c>
      <c r="M22" s="226" t="s">
        <v>421</v>
      </c>
      <c r="N22" s="226" t="s">
        <v>423</v>
      </c>
      <c r="O22" s="226" t="s">
        <v>171</v>
      </c>
      <c r="P22" s="227">
        <v>-247743</v>
      </c>
      <c r="Q22" s="227">
        <v>0</v>
      </c>
      <c r="R22" s="227">
        <v>35446</v>
      </c>
      <c r="S22" s="227">
        <v>2113537.2400000002</v>
      </c>
      <c r="T22" s="227">
        <v>0</v>
      </c>
      <c r="U22" s="227">
        <v>197283.75</v>
      </c>
      <c r="V22" s="227">
        <v>0</v>
      </c>
      <c r="W22" s="227">
        <v>160190</v>
      </c>
      <c r="X22" s="227">
        <v>21974.61</v>
      </c>
      <c r="Y22" s="227">
        <v>121347.24</v>
      </c>
      <c r="Z22" s="227">
        <v>15563.5</v>
      </c>
      <c r="AA22" s="227">
        <v>15251.62</v>
      </c>
      <c r="AB22" s="227">
        <v>4601.59</v>
      </c>
      <c r="AC22" s="227">
        <v>0</v>
      </c>
      <c r="AD22" s="227">
        <v>0</v>
      </c>
      <c r="AE22" s="227">
        <v>34894.800000000003</v>
      </c>
      <c r="AF22" s="227">
        <v>12868.23</v>
      </c>
      <c r="AG22" s="227">
        <v>0</v>
      </c>
      <c r="AH22" s="227">
        <v>0</v>
      </c>
      <c r="AI22" s="227">
        <v>0</v>
      </c>
      <c r="AJ22" s="227">
        <v>1105297.06</v>
      </c>
      <c r="AK22" s="227">
        <v>0</v>
      </c>
      <c r="AL22" s="227">
        <v>242377.25</v>
      </c>
      <c r="AM22" s="227">
        <v>46401.96</v>
      </c>
      <c r="AN22" s="227">
        <v>112125.37</v>
      </c>
      <c r="AO22" s="227">
        <v>0</v>
      </c>
      <c r="AP22" s="227">
        <v>27877.439999999999</v>
      </c>
      <c r="AQ22" s="227">
        <v>13078.19</v>
      </c>
      <c r="AR22" s="227">
        <v>4655</v>
      </c>
      <c r="AS22" s="227">
        <v>588.24</v>
      </c>
      <c r="AT22" s="227">
        <v>0</v>
      </c>
      <c r="AU22" s="227">
        <v>13636.09</v>
      </c>
      <c r="AV22" s="227">
        <v>4225.09</v>
      </c>
      <c r="AW22" s="227">
        <v>31570.21</v>
      </c>
      <c r="AX22" s="227">
        <v>5126.6099999999997</v>
      </c>
      <c r="AY22" s="227">
        <v>25337.89</v>
      </c>
      <c r="AZ22" s="227">
        <v>4453.53</v>
      </c>
      <c r="BA22" s="227">
        <v>11353.12</v>
      </c>
      <c r="BB22" s="227">
        <v>62123.1</v>
      </c>
      <c r="BC22" s="227">
        <v>3975.72</v>
      </c>
      <c r="BD22" s="227">
        <v>0</v>
      </c>
      <c r="BE22" s="227">
        <v>2396.6</v>
      </c>
      <c r="BF22" s="227">
        <v>12807.7</v>
      </c>
      <c r="BG22" s="227">
        <v>0</v>
      </c>
      <c r="BH22" s="227">
        <v>1388.85</v>
      </c>
      <c r="BI22" s="227">
        <v>10778.5</v>
      </c>
      <c r="BJ22" s="227">
        <v>0</v>
      </c>
      <c r="BK22" s="227">
        <v>4701.3</v>
      </c>
      <c r="BL22" s="227">
        <v>14922.94</v>
      </c>
      <c r="BM22" s="227">
        <v>12377.64</v>
      </c>
      <c r="BN22" s="227">
        <v>123888.5</v>
      </c>
      <c r="BO22" s="227">
        <v>239891.3</v>
      </c>
      <c r="BP22" s="227">
        <v>483439.48</v>
      </c>
      <c r="BQ22" s="227">
        <v>41986.9</v>
      </c>
      <c r="BR22" s="227">
        <v>0</v>
      </c>
      <c r="BS22" s="227">
        <v>0</v>
      </c>
      <c r="BT22" s="227">
        <v>0</v>
      </c>
      <c r="BU22" s="227">
        <v>0</v>
      </c>
      <c r="BV22" s="227">
        <v>0</v>
      </c>
      <c r="BW22" s="334">
        <v>7735</v>
      </c>
      <c r="BX22" s="335"/>
      <c r="BY22" s="227">
        <v>0</v>
      </c>
      <c r="BZ22" s="227">
        <v>0</v>
      </c>
      <c r="CA22" s="227">
        <v>6000</v>
      </c>
      <c r="CB22" s="227">
        <v>0</v>
      </c>
      <c r="CC22" s="227">
        <v>28125</v>
      </c>
      <c r="CD22" s="227">
        <v>0</v>
      </c>
      <c r="CE22" s="227">
        <v>0</v>
      </c>
      <c r="CF22" s="227">
        <v>0</v>
      </c>
      <c r="CG22" s="227">
        <v>0</v>
      </c>
      <c r="CH22" s="227">
        <v>0</v>
      </c>
      <c r="CI22" s="227">
        <v>0</v>
      </c>
      <c r="CJ22" s="227">
        <v>0</v>
      </c>
      <c r="CK22" s="227">
        <v>-213012</v>
      </c>
      <c r="CL22" s="227">
        <v>15056</v>
      </c>
      <c r="CM22" s="227">
        <v>0</v>
      </c>
      <c r="CN22" s="227">
        <v>0</v>
      </c>
      <c r="CO22" s="227">
        <v>0</v>
      </c>
      <c r="CQ22" s="229">
        <f t="shared" si="0"/>
        <v>-213012</v>
      </c>
    </row>
    <row r="23" spans="1:95" ht="15">
      <c r="A23" s="226">
        <v>302</v>
      </c>
      <c r="B23" s="226">
        <v>2028</v>
      </c>
      <c r="C23" s="226" t="s">
        <v>58</v>
      </c>
      <c r="D23" s="226" t="s">
        <v>424</v>
      </c>
      <c r="E23" s="226"/>
      <c r="F23" s="226" t="s">
        <v>420</v>
      </c>
      <c r="G23" s="226">
        <v>0</v>
      </c>
      <c r="H23" s="226">
        <v>1</v>
      </c>
      <c r="I23" s="226" t="s">
        <v>483</v>
      </c>
      <c r="J23" s="226" t="s">
        <v>482</v>
      </c>
      <c r="K23" s="226" t="s">
        <v>421</v>
      </c>
      <c r="L23" s="226" t="s">
        <v>422</v>
      </c>
      <c r="M23" s="226" t="s">
        <v>421</v>
      </c>
      <c r="N23" s="226" t="s">
        <v>423</v>
      </c>
      <c r="O23" s="226" t="s">
        <v>171</v>
      </c>
      <c r="P23" s="227">
        <v>-228252</v>
      </c>
      <c r="Q23" s="227">
        <v>0</v>
      </c>
      <c r="R23" s="227">
        <v>17678</v>
      </c>
      <c r="S23" s="227">
        <v>1288730.75</v>
      </c>
      <c r="T23" s="227">
        <v>0</v>
      </c>
      <c r="U23" s="227">
        <v>136838.93</v>
      </c>
      <c r="V23" s="227">
        <v>0</v>
      </c>
      <c r="W23" s="227">
        <v>57570</v>
      </c>
      <c r="X23" s="227">
        <v>77396</v>
      </c>
      <c r="Y23" s="227">
        <v>500</v>
      </c>
      <c r="Z23" s="227">
        <v>16529</v>
      </c>
      <c r="AA23" s="227">
        <v>2307.65</v>
      </c>
      <c r="AB23" s="227">
        <v>2895.27</v>
      </c>
      <c r="AC23" s="227">
        <v>0</v>
      </c>
      <c r="AD23" s="227">
        <v>0</v>
      </c>
      <c r="AE23" s="227">
        <v>7593.81</v>
      </c>
      <c r="AF23" s="227">
        <v>5831.64</v>
      </c>
      <c r="AG23" s="227">
        <v>0</v>
      </c>
      <c r="AH23" s="227">
        <v>0</v>
      </c>
      <c r="AI23" s="227">
        <v>0</v>
      </c>
      <c r="AJ23" s="227">
        <v>771036.76</v>
      </c>
      <c r="AK23" s="227">
        <v>0</v>
      </c>
      <c r="AL23" s="227">
        <v>254966.18</v>
      </c>
      <c r="AM23" s="227">
        <v>46401.4</v>
      </c>
      <c r="AN23" s="227">
        <v>110891.83</v>
      </c>
      <c r="AO23" s="227">
        <v>0</v>
      </c>
      <c r="AP23" s="227">
        <v>31700.33</v>
      </c>
      <c r="AQ23" s="227">
        <v>8044.97</v>
      </c>
      <c r="AR23" s="227">
        <v>1500</v>
      </c>
      <c r="AS23" s="227">
        <v>324.89999999999998</v>
      </c>
      <c r="AT23" s="227">
        <v>0</v>
      </c>
      <c r="AU23" s="227">
        <v>6651.43</v>
      </c>
      <c r="AV23" s="227">
        <v>3492.7</v>
      </c>
      <c r="AW23" s="227">
        <v>23946.78</v>
      </c>
      <c r="AX23" s="227">
        <v>3417.73</v>
      </c>
      <c r="AY23" s="227">
        <v>16910.82</v>
      </c>
      <c r="AZ23" s="227">
        <v>4453.53</v>
      </c>
      <c r="BA23" s="227">
        <v>9807.83</v>
      </c>
      <c r="BB23" s="227">
        <v>17767.07</v>
      </c>
      <c r="BC23" s="227">
        <v>3974.72</v>
      </c>
      <c r="BD23" s="227">
        <v>0</v>
      </c>
      <c r="BE23" s="227">
        <v>3260.15</v>
      </c>
      <c r="BF23" s="227">
        <v>8421.44</v>
      </c>
      <c r="BG23" s="227">
        <v>0</v>
      </c>
      <c r="BH23" s="227">
        <v>0</v>
      </c>
      <c r="BI23" s="227">
        <v>7221.5</v>
      </c>
      <c r="BJ23" s="227">
        <v>0</v>
      </c>
      <c r="BK23" s="227">
        <v>4329.55</v>
      </c>
      <c r="BL23" s="227">
        <v>8242.35</v>
      </c>
      <c r="BM23" s="227">
        <v>927.66</v>
      </c>
      <c r="BN23" s="227">
        <v>77858.7</v>
      </c>
      <c r="BO23" s="227">
        <v>79191.289999999994</v>
      </c>
      <c r="BP23" s="227">
        <v>264216.49</v>
      </c>
      <c r="BQ23" s="227">
        <v>39152.94</v>
      </c>
      <c r="BR23" s="227">
        <v>0</v>
      </c>
      <c r="BS23" s="227">
        <v>0</v>
      </c>
      <c r="BT23" s="227">
        <v>0</v>
      </c>
      <c r="BU23" s="227">
        <v>0</v>
      </c>
      <c r="BV23" s="227">
        <v>0</v>
      </c>
      <c r="BW23" s="334">
        <v>6430</v>
      </c>
      <c r="BX23" s="335"/>
      <c r="BY23" s="227">
        <v>6590.04</v>
      </c>
      <c r="BZ23" s="227">
        <v>0</v>
      </c>
      <c r="CA23" s="227">
        <v>6000</v>
      </c>
      <c r="CB23" s="227">
        <v>0</v>
      </c>
      <c r="CC23" s="227">
        <v>11590.01</v>
      </c>
      <c r="CD23" s="227">
        <v>0</v>
      </c>
      <c r="CE23" s="227">
        <v>0</v>
      </c>
      <c r="CF23" s="227">
        <v>0</v>
      </c>
      <c r="CG23" s="227">
        <v>0</v>
      </c>
      <c r="CH23" s="227">
        <v>13849.05</v>
      </c>
      <c r="CI23" s="227">
        <v>2347.98</v>
      </c>
      <c r="CJ23" s="227">
        <v>0</v>
      </c>
      <c r="CK23" s="227">
        <v>-440170</v>
      </c>
      <c r="CL23" s="227">
        <v>2911</v>
      </c>
      <c r="CM23" s="227">
        <v>0</v>
      </c>
      <c r="CN23" s="227">
        <v>0</v>
      </c>
      <c r="CO23" s="227">
        <v>0</v>
      </c>
      <c r="CQ23" s="229">
        <f t="shared" si="0"/>
        <v>-440170</v>
      </c>
    </row>
    <row r="24" spans="1:95" ht="15">
      <c r="A24" s="226">
        <v>302</v>
      </c>
      <c r="B24" s="226">
        <v>2029</v>
      </c>
      <c r="C24" s="226" t="s">
        <v>242</v>
      </c>
      <c r="D24" s="226" t="s">
        <v>424</v>
      </c>
      <c r="E24" s="226"/>
      <c r="F24" s="226" t="s">
        <v>420</v>
      </c>
      <c r="G24" s="226">
        <v>0</v>
      </c>
      <c r="H24" s="226">
        <v>1</v>
      </c>
      <c r="I24" s="226" t="s">
        <v>483</v>
      </c>
      <c r="J24" s="226" t="s">
        <v>482</v>
      </c>
      <c r="K24" s="226" t="s">
        <v>421</v>
      </c>
      <c r="L24" s="226" t="s">
        <v>422</v>
      </c>
      <c r="M24" s="226" t="s">
        <v>421</v>
      </c>
      <c r="N24" s="226" t="s">
        <v>423</v>
      </c>
      <c r="O24" s="226" t="s">
        <v>171</v>
      </c>
      <c r="P24" s="227">
        <v>-251251</v>
      </c>
      <c r="Q24" s="227">
        <v>0</v>
      </c>
      <c r="R24" s="227">
        <v>26863</v>
      </c>
      <c r="S24" s="227">
        <v>3030479.81</v>
      </c>
      <c r="T24" s="227">
        <v>0</v>
      </c>
      <c r="U24" s="227">
        <v>263977.58</v>
      </c>
      <c r="V24" s="227">
        <v>0</v>
      </c>
      <c r="W24" s="227">
        <v>266817</v>
      </c>
      <c r="X24" s="227">
        <v>72264</v>
      </c>
      <c r="Y24" s="227">
        <v>81094.63</v>
      </c>
      <c r="Z24" s="227">
        <v>0</v>
      </c>
      <c r="AA24" s="227">
        <v>55175.73</v>
      </c>
      <c r="AB24" s="227">
        <v>6864.65</v>
      </c>
      <c r="AC24" s="227">
        <v>0</v>
      </c>
      <c r="AD24" s="227">
        <v>0</v>
      </c>
      <c r="AE24" s="227">
        <v>36087.39</v>
      </c>
      <c r="AF24" s="227">
        <v>7798.43</v>
      </c>
      <c r="AG24" s="227">
        <v>0</v>
      </c>
      <c r="AH24" s="227">
        <v>0</v>
      </c>
      <c r="AI24" s="227">
        <v>0</v>
      </c>
      <c r="AJ24" s="227">
        <v>1529074.05</v>
      </c>
      <c r="AK24" s="227">
        <v>0</v>
      </c>
      <c r="AL24" s="227">
        <v>932778.25</v>
      </c>
      <c r="AM24" s="227">
        <v>165259.01</v>
      </c>
      <c r="AN24" s="227">
        <v>81161.509999999995</v>
      </c>
      <c r="AO24" s="227">
        <v>96476.18</v>
      </c>
      <c r="AP24" s="227">
        <v>208019.65</v>
      </c>
      <c r="AQ24" s="227">
        <v>14848.58</v>
      </c>
      <c r="AR24" s="227">
        <v>4666</v>
      </c>
      <c r="AS24" s="227">
        <v>721.62</v>
      </c>
      <c r="AT24" s="227">
        <v>0</v>
      </c>
      <c r="AU24" s="227">
        <v>23408.46</v>
      </c>
      <c r="AV24" s="227">
        <v>2210.61</v>
      </c>
      <c r="AW24" s="227">
        <v>9804.3799999999992</v>
      </c>
      <c r="AX24" s="227">
        <v>7405.35</v>
      </c>
      <c r="AY24" s="227">
        <v>49248.22</v>
      </c>
      <c r="AZ24" s="227">
        <v>33954.75</v>
      </c>
      <c r="BA24" s="227">
        <v>27623.78</v>
      </c>
      <c r="BB24" s="227">
        <v>75138.64</v>
      </c>
      <c r="BC24" s="227">
        <v>23634.27</v>
      </c>
      <c r="BD24" s="227">
        <v>0</v>
      </c>
      <c r="BE24" s="227">
        <v>0</v>
      </c>
      <c r="BF24" s="227">
        <v>0</v>
      </c>
      <c r="BG24" s="227">
        <v>0</v>
      </c>
      <c r="BH24" s="227">
        <v>0</v>
      </c>
      <c r="BI24" s="227">
        <v>0</v>
      </c>
      <c r="BJ24" s="227">
        <v>0</v>
      </c>
      <c r="BK24" s="227">
        <v>32963.42</v>
      </c>
      <c r="BL24" s="227">
        <v>12990.91</v>
      </c>
      <c r="BM24" s="227">
        <v>27770.639999999999</v>
      </c>
      <c r="BN24" s="227">
        <v>93917.13</v>
      </c>
      <c r="BO24" s="227">
        <v>50199.8</v>
      </c>
      <c r="BP24" s="227">
        <v>229243.38</v>
      </c>
      <c r="BQ24" s="227">
        <v>64101.63</v>
      </c>
      <c r="BR24" s="227">
        <v>0</v>
      </c>
      <c r="BS24" s="227">
        <v>0</v>
      </c>
      <c r="BT24" s="227">
        <v>0</v>
      </c>
      <c r="BU24" s="227">
        <v>0</v>
      </c>
      <c r="BV24" s="227">
        <v>0</v>
      </c>
      <c r="BW24" s="334">
        <v>9172.75</v>
      </c>
      <c r="BX24" s="335"/>
      <c r="BY24" s="227">
        <v>0</v>
      </c>
      <c r="BZ24" s="227">
        <v>0</v>
      </c>
      <c r="CA24" s="227">
        <v>6000</v>
      </c>
      <c r="CB24" s="227">
        <v>0</v>
      </c>
      <c r="CC24" s="227">
        <v>0</v>
      </c>
      <c r="CD24" s="227">
        <v>0</v>
      </c>
      <c r="CE24" s="227">
        <v>2489.75</v>
      </c>
      <c r="CF24" s="227">
        <v>0</v>
      </c>
      <c r="CG24" s="227">
        <v>0</v>
      </c>
      <c r="CH24" s="227">
        <v>0</v>
      </c>
      <c r="CI24" s="227">
        <v>0</v>
      </c>
      <c r="CJ24" s="227">
        <v>0</v>
      </c>
      <c r="CK24" s="227">
        <v>-227312</v>
      </c>
      <c r="CL24" s="227">
        <v>33546</v>
      </c>
      <c r="CM24" s="227">
        <v>0</v>
      </c>
      <c r="CN24" s="227">
        <v>0</v>
      </c>
      <c r="CO24" s="227">
        <v>0</v>
      </c>
      <c r="CQ24" s="229">
        <f t="shared" si="0"/>
        <v>-227312</v>
      </c>
    </row>
    <row r="25" spans="1:95" ht="15">
      <c r="A25" s="226">
        <v>302</v>
      </c>
      <c r="B25" s="226">
        <v>2031</v>
      </c>
      <c r="C25" s="226" t="s">
        <v>243</v>
      </c>
      <c r="D25" s="226" t="s">
        <v>424</v>
      </c>
      <c r="E25" s="226"/>
      <c r="F25" s="226" t="s">
        <v>420</v>
      </c>
      <c r="G25" s="226">
        <v>0</v>
      </c>
      <c r="H25" s="226">
        <v>1</v>
      </c>
      <c r="I25" s="226" t="s">
        <v>483</v>
      </c>
      <c r="J25" s="226" t="s">
        <v>482</v>
      </c>
      <c r="K25" s="226" t="s">
        <v>421</v>
      </c>
      <c r="L25" s="226" t="s">
        <v>422</v>
      </c>
      <c r="M25" s="226" t="s">
        <v>421</v>
      </c>
      <c r="N25" s="226" t="s">
        <v>423</v>
      </c>
      <c r="O25" s="226" t="s">
        <v>171</v>
      </c>
      <c r="P25" s="227">
        <v>-273425</v>
      </c>
      <c r="Q25" s="227">
        <v>0</v>
      </c>
      <c r="R25" s="227">
        <v>52641</v>
      </c>
      <c r="S25" s="227">
        <v>1369400.22</v>
      </c>
      <c r="T25" s="227">
        <v>0</v>
      </c>
      <c r="U25" s="227">
        <v>186372.47</v>
      </c>
      <c r="V25" s="227">
        <v>0</v>
      </c>
      <c r="W25" s="227">
        <v>125345</v>
      </c>
      <c r="X25" s="227">
        <v>65191</v>
      </c>
      <c r="Y25" s="227">
        <v>34684.33</v>
      </c>
      <c r="Z25" s="227">
        <v>35599.72</v>
      </c>
      <c r="AA25" s="227">
        <v>0</v>
      </c>
      <c r="AB25" s="227">
        <v>1756.91</v>
      </c>
      <c r="AC25" s="227">
        <v>0</v>
      </c>
      <c r="AD25" s="227">
        <v>0</v>
      </c>
      <c r="AE25" s="227">
        <v>16588.169999999998</v>
      </c>
      <c r="AF25" s="227">
        <v>16955.080000000002</v>
      </c>
      <c r="AG25" s="227">
        <v>0</v>
      </c>
      <c r="AH25" s="227">
        <v>0</v>
      </c>
      <c r="AI25" s="227">
        <v>0</v>
      </c>
      <c r="AJ25" s="227">
        <v>838948.49</v>
      </c>
      <c r="AK25" s="227">
        <v>0</v>
      </c>
      <c r="AL25" s="227">
        <v>500036.89</v>
      </c>
      <c r="AM25" s="227">
        <v>30682.26</v>
      </c>
      <c r="AN25" s="227">
        <v>108471.33</v>
      </c>
      <c r="AO25" s="227">
        <v>0</v>
      </c>
      <c r="AP25" s="227">
        <v>50864.87</v>
      </c>
      <c r="AQ25" s="227">
        <v>3029.45</v>
      </c>
      <c r="AR25" s="227">
        <v>4655</v>
      </c>
      <c r="AS25" s="227">
        <v>0</v>
      </c>
      <c r="AT25" s="227">
        <v>0</v>
      </c>
      <c r="AU25" s="227">
        <v>17444.63</v>
      </c>
      <c r="AV25" s="227">
        <v>4800</v>
      </c>
      <c r="AW25" s="227">
        <v>28503.119999999999</v>
      </c>
      <c r="AX25" s="227">
        <v>5980.34</v>
      </c>
      <c r="AY25" s="227">
        <v>19655.77</v>
      </c>
      <c r="AZ25" s="227">
        <v>4953.59</v>
      </c>
      <c r="BA25" s="227">
        <v>16245.94</v>
      </c>
      <c r="BB25" s="227">
        <v>33828.32</v>
      </c>
      <c r="BC25" s="227">
        <v>5790.69</v>
      </c>
      <c r="BD25" s="227">
        <v>0</v>
      </c>
      <c r="BE25" s="227">
        <v>2979.51</v>
      </c>
      <c r="BF25" s="227">
        <v>7045.5</v>
      </c>
      <c r="BG25" s="227">
        <v>9532.07</v>
      </c>
      <c r="BH25" s="227">
        <v>0</v>
      </c>
      <c r="BI25" s="227">
        <v>400</v>
      </c>
      <c r="BJ25" s="227">
        <v>0</v>
      </c>
      <c r="BK25" s="227">
        <v>903.65</v>
      </c>
      <c r="BL25" s="227">
        <v>10633.62</v>
      </c>
      <c r="BM25" s="227">
        <v>6404.7</v>
      </c>
      <c r="BN25" s="227">
        <v>72411.27</v>
      </c>
      <c r="BO25" s="227">
        <v>48872.46</v>
      </c>
      <c r="BP25" s="227">
        <v>87702.94</v>
      </c>
      <c r="BQ25" s="227">
        <v>39377.49</v>
      </c>
      <c r="BR25" s="227">
        <v>0</v>
      </c>
      <c r="BS25" s="227">
        <v>0</v>
      </c>
      <c r="BT25" s="227">
        <v>0</v>
      </c>
      <c r="BU25" s="227">
        <v>0</v>
      </c>
      <c r="BV25" s="227">
        <v>0</v>
      </c>
      <c r="BW25" s="334">
        <v>6252.25</v>
      </c>
      <c r="BX25" s="335"/>
      <c r="BY25" s="227">
        <v>0</v>
      </c>
      <c r="BZ25" s="227">
        <v>0</v>
      </c>
      <c r="CA25" s="227">
        <v>6000</v>
      </c>
      <c r="CB25" s="227">
        <v>0</v>
      </c>
      <c r="CC25" s="227">
        <v>48622.25</v>
      </c>
      <c r="CD25" s="227">
        <v>0</v>
      </c>
      <c r="CE25" s="227">
        <v>0</v>
      </c>
      <c r="CF25" s="227">
        <v>0</v>
      </c>
      <c r="CG25" s="227">
        <v>0</v>
      </c>
      <c r="CH25" s="227">
        <v>0</v>
      </c>
      <c r="CI25" s="227">
        <v>0</v>
      </c>
      <c r="CJ25" s="227">
        <v>0</v>
      </c>
      <c r="CK25" s="227">
        <v>-381686</v>
      </c>
      <c r="CL25" s="227">
        <v>10271</v>
      </c>
      <c r="CM25" s="227">
        <v>0</v>
      </c>
      <c r="CN25" s="227">
        <v>0</v>
      </c>
      <c r="CO25" s="227">
        <v>0</v>
      </c>
      <c r="CQ25" s="229">
        <f t="shared" si="0"/>
        <v>-381686</v>
      </c>
    </row>
    <row r="26" spans="1:95" ht="15">
      <c r="A26" s="226">
        <v>302</v>
      </c>
      <c r="B26" s="226">
        <v>2032</v>
      </c>
      <c r="C26" s="226" t="s">
        <v>244</v>
      </c>
      <c r="D26" s="226" t="s">
        <v>424</v>
      </c>
      <c r="E26" s="226"/>
      <c r="F26" s="226" t="s">
        <v>420</v>
      </c>
      <c r="G26" s="226">
        <v>0</v>
      </c>
      <c r="H26" s="226">
        <v>1</v>
      </c>
      <c r="I26" s="226" t="s">
        <v>483</v>
      </c>
      <c r="J26" s="226" t="s">
        <v>482</v>
      </c>
      <c r="K26" s="226" t="s">
        <v>421</v>
      </c>
      <c r="L26" s="226" t="s">
        <v>422</v>
      </c>
      <c r="M26" s="226" t="s">
        <v>421</v>
      </c>
      <c r="N26" s="226" t="s">
        <v>423</v>
      </c>
      <c r="O26" s="226" t="s">
        <v>171</v>
      </c>
      <c r="P26" s="227">
        <v>-20834.91</v>
      </c>
      <c r="Q26" s="227">
        <v>0</v>
      </c>
      <c r="R26" s="227">
        <v>0</v>
      </c>
      <c r="S26" s="227">
        <v>2456474.7200000002</v>
      </c>
      <c r="T26" s="227">
        <v>0</v>
      </c>
      <c r="U26" s="227">
        <v>227613.12</v>
      </c>
      <c r="V26" s="227">
        <v>0</v>
      </c>
      <c r="W26" s="227">
        <v>131560.19</v>
      </c>
      <c r="X26" s="227">
        <v>68537</v>
      </c>
      <c r="Y26" s="227">
        <v>92445.59</v>
      </c>
      <c r="Z26" s="227">
        <v>75869.25</v>
      </c>
      <c r="AA26" s="227">
        <v>0</v>
      </c>
      <c r="AB26" s="227">
        <v>3516.89</v>
      </c>
      <c r="AC26" s="227">
        <v>0</v>
      </c>
      <c r="AD26" s="227">
        <v>0</v>
      </c>
      <c r="AE26" s="227">
        <v>47669.87</v>
      </c>
      <c r="AF26" s="227">
        <v>19148.77</v>
      </c>
      <c r="AG26" s="227">
        <v>0</v>
      </c>
      <c r="AH26" s="227">
        <v>0</v>
      </c>
      <c r="AI26" s="227">
        <v>0</v>
      </c>
      <c r="AJ26" s="227">
        <v>1613387.79</v>
      </c>
      <c r="AK26" s="227">
        <v>66421.119999999995</v>
      </c>
      <c r="AL26" s="227">
        <v>750643.84</v>
      </c>
      <c r="AM26" s="227">
        <v>49520.4</v>
      </c>
      <c r="AN26" s="227">
        <v>59305.49</v>
      </c>
      <c r="AO26" s="227">
        <v>0</v>
      </c>
      <c r="AP26" s="227">
        <v>54818.39</v>
      </c>
      <c r="AQ26" s="227">
        <v>11945.66</v>
      </c>
      <c r="AR26" s="227">
        <v>7063</v>
      </c>
      <c r="AS26" s="227">
        <v>668.61</v>
      </c>
      <c r="AT26" s="227">
        <v>0</v>
      </c>
      <c r="AU26" s="227">
        <v>17683.439999999999</v>
      </c>
      <c r="AV26" s="227">
        <v>2939.98</v>
      </c>
      <c r="AW26" s="227">
        <v>80186.149999999994</v>
      </c>
      <c r="AX26" s="227">
        <v>14019.09</v>
      </c>
      <c r="AY26" s="227">
        <v>55242.7</v>
      </c>
      <c r="AZ26" s="227">
        <v>33001.15</v>
      </c>
      <c r="BA26" s="227">
        <v>9811.5400000000009</v>
      </c>
      <c r="BB26" s="227">
        <v>110206.84</v>
      </c>
      <c r="BC26" s="227">
        <v>7495</v>
      </c>
      <c r="BD26" s="227">
        <v>0</v>
      </c>
      <c r="BE26" s="227">
        <v>2979</v>
      </c>
      <c r="BF26" s="227">
        <v>3440</v>
      </c>
      <c r="BG26" s="227">
        <v>3907.87</v>
      </c>
      <c r="BH26" s="227">
        <v>0</v>
      </c>
      <c r="BI26" s="227">
        <v>0</v>
      </c>
      <c r="BJ26" s="227">
        <v>0</v>
      </c>
      <c r="BK26" s="227">
        <v>19634.169999999998</v>
      </c>
      <c r="BL26" s="227">
        <v>17515.080000000002</v>
      </c>
      <c r="BM26" s="227">
        <v>500</v>
      </c>
      <c r="BN26" s="227">
        <v>133848.62</v>
      </c>
      <c r="BO26" s="227">
        <v>143886.84</v>
      </c>
      <c r="BP26" s="227">
        <v>50605.24</v>
      </c>
      <c r="BQ26" s="227">
        <v>46549.98</v>
      </c>
      <c r="BR26" s="227">
        <v>0</v>
      </c>
      <c r="BS26" s="227">
        <v>0</v>
      </c>
      <c r="BT26" s="227">
        <v>856.5</v>
      </c>
      <c r="BU26" s="227">
        <v>0</v>
      </c>
      <c r="BV26" s="227">
        <v>0</v>
      </c>
      <c r="BW26" s="334">
        <v>9269.5</v>
      </c>
      <c r="BX26" s="335"/>
      <c r="BY26" s="227">
        <v>0</v>
      </c>
      <c r="BZ26" s="227">
        <v>856.5</v>
      </c>
      <c r="CA26" s="227">
        <v>6000</v>
      </c>
      <c r="CB26" s="227">
        <v>0</v>
      </c>
      <c r="CC26" s="227">
        <v>10126</v>
      </c>
      <c r="CD26" s="227">
        <v>0</v>
      </c>
      <c r="CE26" s="227">
        <v>0</v>
      </c>
      <c r="CF26" s="227">
        <v>0</v>
      </c>
      <c r="CG26" s="227">
        <v>0</v>
      </c>
      <c r="CH26" s="227">
        <v>0</v>
      </c>
      <c r="CI26" s="227">
        <v>0</v>
      </c>
      <c r="CJ26" s="227">
        <v>0</v>
      </c>
      <c r="CK26" s="227">
        <v>-266083</v>
      </c>
      <c r="CL26" s="227">
        <v>0</v>
      </c>
      <c r="CM26" s="227">
        <v>0</v>
      </c>
      <c r="CN26" s="227">
        <v>0</v>
      </c>
      <c r="CO26" s="227">
        <v>0</v>
      </c>
      <c r="CQ26" s="229">
        <f t="shared" si="0"/>
        <v>-266083</v>
      </c>
    </row>
    <row r="27" spans="1:95" ht="30">
      <c r="A27" s="226">
        <v>302</v>
      </c>
      <c r="B27" s="226">
        <v>2036</v>
      </c>
      <c r="C27" s="226" t="s">
        <v>332</v>
      </c>
      <c r="D27" s="226" t="s">
        <v>424</v>
      </c>
      <c r="E27" s="226"/>
      <c r="F27" s="226" t="s">
        <v>420</v>
      </c>
      <c r="G27" s="226">
        <v>0</v>
      </c>
      <c r="H27" s="226">
        <v>0</v>
      </c>
      <c r="I27" s="226" t="s">
        <v>483</v>
      </c>
      <c r="J27" s="226" t="s">
        <v>482</v>
      </c>
      <c r="K27" s="226" t="s">
        <v>421</v>
      </c>
      <c r="L27" s="226" t="s">
        <v>422</v>
      </c>
      <c r="M27" s="226" t="s">
        <v>421</v>
      </c>
      <c r="N27" s="226" t="s">
        <v>423</v>
      </c>
      <c r="O27" s="226" t="s">
        <v>171</v>
      </c>
      <c r="P27" s="227">
        <v>813887</v>
      </c>
      <c r="Q27" s="227">
        <v>0</v>
      </c>
      <c r="R27" s="227">
        <v>0</v>
      </c>
      <c r="S27" s="227">
        <v>1957801.46</v>
      </c>
      <c r="T27" s="227">
        <v>0</v>
      </c>
      <c r="U27" s="227">
        <v>478273.53</v>
      </c>
      <c r="V27" s="227">
        <v>0</v>
      </c>
      <c r="W27" s="227">
        <v>102037</v>
      </c>
      <c r="X27" s="227">
        <v>24049.47</v>
      </c>
      <c r="Y27" s="227">
        <v>39244.28</v>
      </c>
      <c r="Z27" s="227">
        <v>7512</v>
      </c>
      <c r="AA27" s="227">
        <v>92012.01</v>
      </c>
      <c r="AB27" s="227">
        <v>643.95000000000005</v>
      </c>
      <c r="AC27" s="227">
        <v>0</v>
      </c>
      <c r="AD27" s="227">
        <v>0</v>
      </c>
      <c r="AE27" s="227">
        <v>45011.9</v>
      </c>
      <c r="AF27" s="227">
        <v>3936.53</v>
      </c>
      <c r="AG27" s="227">
        <v>0</v>
      </c>
      <c r="AH27" s="227">
        <v>0</v>
      </c>
      <c r="AI27" s="227">
        <v>0</v>
      </c>
      <c r="AJ27" s="227">
        <v>1240595.82</v>
      </c>
      <c r="AK27" s="227">
        <v>0</v>
      </c>
      <c r="AL27" s="227">
        <v>677710.76</v>
      </c>
      <c r="AM27" s="227">
        <v>100163.96</v>
      </c>
      <c r="AN27" s="227">
        <v>91949.53</v>
      </c>
      <c r="AO27" s="227">
        <v>0</v>
      </c>
      <c r="AP27" s="227">
        <v>70339.350000000006</v>
      </c>
      <c r="AQ27" s="227">
        <v>13445.53</v>
      </c>
      <c r="AR27" s="227">
        <v>3642.78</v>
      </c>
      <c r="AS27" s="227">
        <v>359.1</v>
      </c>
      <c r="AT27" s="227">
        <v>0</v>
      </c>
      <c r="AU27" s="227">
        <v>26456.82</v>
      </c>
      <c r="AV27" s="227">
        <v>12835.3</v>
      </c>
      <c r="AW27" s="227">
        <v>6693.33</v>
      </c>
      <c r="AX27" s="227">
        <v>3509.82</v>
      </c>
      <c r="AY27" s="227">
        <v>33683.97</v>
      </c>
      <c r="AZ27" s="227">
        <v>29538.33</v>
      </c>
      <c r="BA27" s="227">
        <v>17517.150000000001</v>
      </c>
      <c r="BB27" s="227">
        <v>55805.98</v>
      </c>
      <c r="BC27" s="227">
        <v>4587.34</v>
      </c>
      <c r="BD27" s="227">
        <v>0</v>
      </c>
      <c r="BE27" s="227">
        <v>7169.39</v>
      </c>
      <c r="BF27" s="227">
        <v>0</v>
      </c>
      <c r="BG27" s="227">
        <v>0</v>
      </c>
      <c r="BH27" s="227">
        <v>2202.6</v>
      </c>
      <c r="BI27" s="227">
        <v>12608.02</v>
      </c>
      <c r="BJ27" s="227">
        <v>0</v>
      </c>
      <c r="BK27" s="227">
        <v>18554.39</v>
      </c>
      <c r="BL27" s="227">
        <v>13234.39</v>
      </c>
      <c r="BM27" s="227">
        <v>9496.89</v>
      </c>
      <c r="BN27" s="227">
        <v>95138.36</v>
      </c>
      <c r="BO27" s="227">
        <v>0</v>
      </c>
      <c r="BP27" s="227">
        <v>141427.22</v>
      </c>
      <c r="BQ27" s="227">
        <v>45623</v>
      </c>
      <c r="BR27" s="227">
        <v>0</v>
      </c>
      <c r="BS27" s="227">
        <v>0</v>
      </c>
      <c r="BT27" s="227">
        <v>0</v>
      </c>
      <c r="BU27" s="227">
        <v>0</v>
      </c>
      <c r="BV27" s="227">
        <v>0</v>
      </c>
      <c r="BW27" s="334">
        <v>6685</v>
      </c>
      <c r="BX27" s="335"/>
      <c r="BY27" s="227">
        <v>0</v>
      </c>
      <c r="BZ27" s="227">
        <v>0</v>
      </c>
      <c r="CA27" s="227">
        <v>6000</v>
      </c>
      <c r="CB27" s="227">
        <v>0</v>
      </c>
      <c r="CC27" s="227">
        <v>0</v>
      </c>
      <c r="CD27" s="227">
        <v>0</v>
      </c>
      <c r="CE27" s="227">
        <v>0</v>
      </c>
      <c r="CF27" s="227">
        <v>0</v>
      </c>
      <c r="CG27" s="227">
        <v>0</v>
      </c>
      <c r="CH27" s="227">
        <v>0</v>
      </c>
      <c r="CI27" s="227">
        <v>0</v>
      </c>
      <c r="CJ27" s="227">
        <v>0</v>
      </c>
      <c r="CK27" s="227">
        <v>830120</v>
      </c>
      <c r="CL27" s="227">
        <v>6685</v>
      </c>
      <c r="CM27" s="227">
        <v>0</v>
      </c>
      <c r="CN27" s="227">
        <v>0</v>
      </c>
      <c r="CO27" s="227">
        <v>0</v>
      </c>
      <c r="CQ27" s="229">
        <f t="shared" si="0"/>
        <v>830120</v>
      </c>
    </row>
    <row r="28" spans="1:95" ht="15">
      <c r="A28" s="226">
        <v>302</v>
      </c>
      <c r="B28" s="226">
        <v>2037</v>
      </c>
      <c r="C28" s="226" t="s">
        <v>246</v>
      </c>
      <c r="D28" s="226" t="s">
        <v>424</v>
      </c>
      <c r="E28" s="226"/>
      <c r="F28" s="226" t="s">
        <v>420</v>
      </c>
      <c r="G28" s="226">
        <v>0</v>
      </c>
      <c r="H28" s="226">
        <v>1</v>
      </c>
      <c r="I28" s="226" t="s">
        <v>483</v>
      </c>
      <c r="J28" s="226" t="s">
        <v>482</v>
      </c>
      <c r="K28" s="226" t="s">
        <v>421</v>
      </c>
      <c r="L28" s="226" t="s">
        <v>422</v>
      </c>
      <c r="M28" s="226" t="s">
        <v>421</v>
      </c>
      <c r="N28" s="226" t="s">
        <v>423</v>
      </c>
      <c r="O28" s="226" t="s">
        <v>171</v>
      </c>
      <c r="P28" s="227">
        <v>-136756.09</v>
      </c>
      <c r="Q28" s="227">
        <v>0</v>
      </c>
      <c r="R28" s="227">
        <v>13130</v>
      </c>
      <c r="S28" s="227">
        <v>1474387.77</v>
      </c>
      <c r="T28" s="227">
        <v>0</v>
      </c>
      <c r="U28" s="227">
        <v>112501.13</v>
      </c>
      <c r="V28" s="227">
        <v>0</v>
      </c>
      <c r="W28" s="227">
        <v>55739</v>
      </c>
      <c r="X28" s="227">
        <v>51536.39</v>
      </c>
      <c r="Y28" s="227">
        <v>45295.88</v>
      </c>
      <c r="Z28" s="227">
        <v>21760.400000000001</v>
      </c>
      <c r="AA28" s="227">
        <v>38516.800000000003</v>
      </c>
      <c r="AB28" s="227">
        <v>2465.75</v>
      </c>
      <c r="AC28" s="227">
        <v>0</v>
      </c>
      <c r="AD28" s="227">
        <v>68065</v>
      </c>
      <c r="AE28" s="227">
        <v>65749.94</v>
      </c>
      <c r="AF28" s="227">
        <v>5782.62</v>
      </c>
      <c r="AG28" s="227">
        <v>0</v>
      </c>
      <c r="AH28" s="227">
        <v>0</v>
      </c>
      <c r="AI28" s="227">
        <v>0</v>
      </c>
      <c r="AJ28" s="227">
        <v>817312.49</v>
      </c>
      <c r="AK28" s="227">
        <v>0</v>
      </c>
      <c r="AL28" s="227">
        <v>506647.35</v>
      </c>
      <c r="AM28" s="227">
        <v>42346.28</v>
      </c>
      <c r="AN28" s="227">
        <v>63470.37</v>
      </c>
      <c r="AO28" s="227">
        <v>0</v>
      </c>
      <c r="AP28" s="227">
        <v>81721.78</v>
      </c>
      <c r="AQ28" s="227">
        <v>7001.84</v>
      </c>
      <c r="AR28" s="227">
        <v>2743.19</v>
      </c>
      <c r="AS28" s="227">
        <v>353.97</v>
      </c>
      <c r="AT28" s="227">
        <v>0</v>
      </c>
      <c r="AU28" s="227">
        <v>131205.89000000001</v>
      </c>
      <c r="AV28" s="227">
        <v>1938.61</v>
      </c>
      <c r="AW28" s="227">
        <v>36952.14</v>
      </c>
      <c r="AX28" s="227">
        <v>2678.09</v>
      </c>
      <c r="AY28" s="227">
        <v>39694.47</v>
      </c>
      <c r="AZ28" s="227">
        <v>34036.910000000003</v>
      </c>
      <c r="BA28" s="227">
        <v>10661.92</v>
      </c>
      <c r="BB28" s="227">
        <v>41701.699999999997</v>
      </c>
      <c r="BC28" s="227">
        <v>12130.5</v>
      </c>
      <c r="BD28" s="227">
        <v>0</v>
      </c>
      <c r="BE28" s="227">
        <v>177.02</v>
      </c>
      <c r="BF28" s="227">
        <v>16326.6</v>
      </c>
      <c r="BG28" s="227">
        <v>490</v>
      </c>
      <c r="BH28" s="227">
        <v>121.19</v>
      </c>
      <c r="BI28" s="227">
        <v>6555</v>
      </c>
      <c r="BJ28" s="227">
        <v>0</v>
      </c>
      <c r="BK28" s="227">
        <v>1047.8800000000001</v>
      </c>
      <c r="BL28" s="227">
        <v>10026.040000000001</v>
      </c>
      <c r="BM28" s="227">
        <v>17680.73</v>
      </c>
      <c r="BN28" s="227">
        <v>100287.72</v>
      </c>
      <c r="BO28" s="227">
        <v>96457.48</v>
      </c>
      <c r="BP28" s="227">
        <v>88556.73</v>
      </c>
      <c r="BQ28" s="227">
        <v>27059.7</v>
      </c>
      <c r="BR28" s="227">
        <v>0</v>
      </c>
      <c r="BS28" s="227">
        <v>0</v>
      </c>
      <c r="BT28" s="227">
        <v>30722</v>
      </c>
      <c r="BU28" s="227">
        <v>0</v>
      </c>
      <c r="BV28" s="227">
        <v>0</v>
      </c>
      <c r="BW28" s="334">
        <v>6596.5</v>
      </c>
      <c r="BX28" s="335"/>
      <c r="BY28" s="227">
        <v>0</v>
      </c>
      <c r="BZ28" s="227">
        <v>30721.56</v>
      </c>
      <c r="CA28" s="227">
        <v>6000</v>
      </c>
      <c r="CB28" s="227">
        <v>0</v>
      </c>
      <c r="CC28" s="227">
        <v>16813.77</v>
      </c>
      <c r="CD28" s="227">
        <v>33634.29</v>
      </c>
      <c r="CE28" s="227">
        <v>0</v>
      </c>
      <c r="CF28" s="227">
        <v>0</v>
      </c>
      <c r="CG28" s="227">
        <v>0</v>
      </c>
      <c r="CH28" s="227">
        <v>0</v>
      </c>
      <c r="CI28" s="227">
        <v>0</v>
      </c>
      <c r="CJ28" s="227">
        <v>0</v>
      </c>
      <c r="CK28" s="227">
        <v>-423061</v>
      </c>
      <c r="CL28" s="227">
        <v>0</v>
      </c>
      <c r="CM28" s="227">
        <v>0</v>
      </c>
      <c r="CN28" s="227">
        <v>0</v>
      </c>
      <c r="CO28" s="227">
        <v>0</v>
      </c>
      <c r="CQ28" s="229">
        <f t="shared" si="0"/>
        <v>-423061</v>
      </c>
    </row>
    <row r="29" spans="1:95" ht="15">
      <c r="A29" s="226">
        <v>302</v>
      </c>
      <c r="B29" s="226">
        <v>2042</v>
      </c>
      <c r="C29" s="226" t="s">
        <v>250</v>
      </c>
      <c r="D29" s="226" t="s">
        <v>424</v>
      </c>
      <c r="E29" s="226"/>
      <c r="F29" s="226" t="s">
        <v>420</v>
      </c>
      <c r="G29" s="226">
        <v>0</v>
      </c>
      <c r="H29" s="226">
        <v>0</v>
      </c>
      <c r="I29" s="226" t="s">
        <v>483</v>
      </c>
      <c r="J29" s="226" t="s">
        <v>482</v>
      </c>
      <c r="K29" s="226" t="s">
        <v>421</v>
      </c>
      <c r="L29" s="226" t="s">
        <v>422</v>
      </c>
      <c r="M29" s="226" t="s">
        <v>421</v>
      </c>
      <c r="N29" s="226" t="s">
        <v>423</v>
      </c>
      <c r="O29" s="226" t="s">
        <v>171</v>
      </c>
      <c r="P29" s="227">
        <v>270961</v>
      </c>
      <c r="Q29" s="227">
        <v>0</v>
      </c>
      <c r="R29" s="227">
        <v>31122.27</v>
      </c>
      <c r="S29" s="227">
        <v>2237457.89</v>
      </c>
      <c r="T29" s="227">
        <v>0</v>
      </c>
      <c r="U29" s="227">
        <v>197261.01</v>
      </c>
      <c r="V29" s="227">
        <v>0</v>
      </c>
      <c r="W29" s="227">
        <v>29500</v>
      </c>
      <c r="X29" s="227">
        <v>98417.84</v>
      </c>
      <c r="Y29" s="227">
        <v>114439.28</v>
      </c>
      <c r="Z29" s="227">
        <v>23057</v>
      </c>
      <c r="AA29" s="227">
        <v>171486.55</v>
      </c>
      <c r="AB29" s="227">
        <v>1022.76</v>
      </c>
      <c r="AC29" s="227">
        <v>6796.6</v>
      </c>
      <c r="AD29" s="227">
        <v>0</v>
      </c>
      <c r="AE29" s="227">
        <v>57066.71</v>
      </c>
      <c r="AF29" s="227">
        <v>14511.6</v>
      </c>
      <c r="AG29" s="227">
        <v>0</v>
      </c>
      <c r="AH29" s="227">
        <v>0</v>
      </c>
      <c r="AI29" s="227">
        <v>0</v>
      </c>
      <c r="AJ29" s="227">
        <v>1367859.21</v>
      </c>
      <c r="AK29" s="227">
        <v>0</v>
      </c>
      <c r="AL29" s="227">
        <v>700322.71</v>
      </c>
      <c r="AM29" s="227">
        <v>42672.13</v>
      </c>
      <c r="AN29" s="227">
        <v>94778.15</v>
      </c>
      <c r="AO29" s="227">
        <v>0</v>
      </c>
      <c r="AP29" s="227">
        <v>202141.94</v>
      </c>
      <c r="AQ29" s="227">
        <v>11060.23</v>
      </c>
      <c r="AR29" s="227">
        <v>1195</v>
      </c>
      <c r="AS29" s="227">
        <v>713.05</v>
      </c>
      <c r="AT29" s="227">
        <v>0</v>
      </c>
      <c r="AU29" s="227">
        <v>10782.74</v>
      </c>
      <c r="AV29" s="227">
        <v>6375.25</v>
      </c>
      <c r="AW29" s="227">
        <v>54785.82</v>
      </c>
      <c r="AX29" s="227">
        <v>4630.51</v>
      </c>
      <c r="AY29" s="227">
        <v>30199.21</v>
      </c>
      <c r="AZ29" s="227">
        <v>45752.73</v>
      </c>
      <c r="BA29" s="227">
        <v>13895.9</v>
      </c>
      <c r="BB29" s="227">
        <v>91165.65</v>
      </c>
      <c r="BC29" s="227">
        <v>5905</v>
      </c>
      <c r="BD29" s="227">
        <v>0</v>
      </c>
      <c r="BE29" s="227">
        <v>0</v>
      </c>
      <c r="BF29" s="227">
        <v>6145.97</v>
      </c>
      <c r="BG29" s="227">
        <v>670</v>
      </c>
      <c r="BH29" s="227">
        <v>107.97</v>
      </c>
      <c r="BI29" s="227">
        <v>3700</v>
      </c>
      <c r="BJ29" s="227">
        <v>0</v>
      </c>
      <c r="BK29" s="227">
        <v>12884.68</v>
      </c>
      <c r="BL29" s="227">
        <v>22270.91</v>
      </c>
      <c r="BM29" s="227">
        <v>8030.49</v>
      </c>
      <c r="BN29" s="227">
        <v>183920.07</v>
      </c>
      <c r="BO29" s="227">
        <v>23442.46</v>
      </c>
      <c r="BP29" s="227">
        <v>84857.38</v>
      </c>
      <c r="BQ29" s="227">
        <v>13308.96</v>
      </c>
      <c r="BR29" s="227">
        <v>0</v>
      </c>
      <c r="BS29" s="227">
        <v>0</v>
      </c>
      <c r="BT29" s="227">
        <v>0</v>
      </c>
      <c r="BU29" s="227">
        <v>0</v>
      </c>
      <c r="BV29" s="227">
        <v>0</v>
      </c>
      <c r="BW29" s="334">
        <v>8691.25</v>
      </c>
      <c r="BX29" s="335"/>
      <c r="BY29" s="227">
        <v>14848.06</v>
      </c>
      <c r="BZ29" s="227">
        <v>0</v>
      </c>
      <c r="CA29" s="227">
        <v>6000</v>
      </c>
      <c r="CB29" s="227">
        <v>0</v>
      </c>
      <c r="CC29" s="227">
        <v>8268.23</v>
      </c>
      <c r="CD29" s="227">
        <v>0</v>
      </c>
      <c r="CE29" s="227">
        <v>0</v>
      </c>
      <c r="CF29" s="227">
        <v>0</v>
      </c>
      <c r="CG29" s="227">
        <v>0</v>
      </c>
      <c r="CH29" s="227">
        <v>8908.35</v>
      </c>
      <c r="CI29" s="227">
        <v>0</v>
      </c>
      <c r="CJ29" s="227">
        <v>0</v>
      </c>
      <c r="CK29" s="227">
        <v>178404.12</v>
      </c>
      <c r="CL29" s="227">
        <v>37485</v>
      </c>
      <c r="CM29" s="227">
        <v>0</v>
      </c>
      <c r="CN29" s="227">
        <v>0</v>
      </c>
      <c r="CO29" s="227">
        <v>0</v>
      </c>
      <c r="CQ29" s="229">
        <f t="shared" si="0"/>
        <v>178404.12</v>
      </c>
    </row>
    <row r="30" spans="1:95" ht="15">
      <c r="A30" s="226">
        <v>302</v>
      </c>
      <c r="B30" s="226">
        <v>2043</v>
      </c>
      <c r="C30" s="226" t="s">
        <v>74</v>
      </c>
      <c r="D30" s="226" t="s">
        <v>424</v>
      </c>
      <c r="E30" s="226"/>
      <c r="F30" s="226" t="s">
        <v>420</v>
      </c>
      <c r="G30" s="226">
        <v>0</v>
      </c>
      <c r="H30" s="226">
        <v>1</v>
      </c>
      <c r="I30" s="226" t="s">
        <v>483</v>
      </c>
      <c r="J30" s="226" t="s">
        <v>482</v>
      </c>
      <c r="K30" s="226" t="s">
        <v>421</v>
      </c>
      <c r="L30" s="226" t="s">
        <v>422</v>
      </c>
      <c r="M30" s="226" t="s">
        <v>421</v>
      </c>
      <c r="N30" s="226" t="s">
        <v>423</v>
      </c>
      <c r="O30" s="226" t="s">
        <v>171</v>
      </c>
      <c r="P30" s="227">
        <v>371899.52</v>
      </c>
      <c r="Q30" s="227">
        <v>0</v>
      </c>
      <c r="R30" s="227">
        <v>0</v>
      </c>
      <c r="S30" s="227">
        <v>2713622.42</v>
      </c>
      <c r="T30" s="227">
        <v>0</v>
      </c>
      <c r="U30" s="227">
        <v>161956.32</v>
      </c>
      <c r="V30" s="227">
        <v>0</v>
      </c>
      <c r="W30" s="227">
        <v>142605</v>
      </c>
      <c r="X30" s="227">
        <v>86087.19</v>
      </c>
      <c r="Y30" s="227">
        <v>189021.65</v>
      </c>
      <c r="Z30" s="227">
        <v>131027.01</v>
      </c>
      <c r="AA30" s="227">
        <v>57726.32</v>
      </c>
      <c r="AB30" s="227">
        <v>0</v>
      </c>
      <c r="AC30" s="227">
        <v>0</v>
      </c>
      <c r="AD30" s="227">
        <v>0</v>
      </c>
      <c r="AE30" s="227">
        <v>57247.12</v>
      </c>
      <c r="AF30" s="227">
        <v>5173.1000000000004</v>
      </c>
      <c r="AG30" s="227">
        <v>0</v>
      </c>
      <c r="AH30" s="227">
        <v>0</v>
      </c>
      <c r="AI30" s="227">
        <v>0</v>
      </c>
      <c r="AJ30" s="227">
        <v>1609732.88</v>
      </c>
      <c r="AK30" s="227">
        <v>0</v>
      </c>
      <c r="AL30" s="227">
        <v>501753.81</v>
      </c>
      <c r="AM30" s="227">
        <v>38628.050000000003</v>
      </c>
      <c r="AN30" s="227">
        <v>127947.34</v>
      </c>
      <c r="AO30" s="227">
        <v>0</v>
      </c>
      <c r="AP30" s="227">
        <v>25885.01</v>
      </c>
      <c r="AQ30" s="227">
        <v>11503.99</v>
      </c>
      <c r="AR30" s="227">
        <v>6809.95</v>
      </c>
      <c r="AS30" s="227">
        <v>812.24</v>
      </c>
      <c r="AT30" s="227">
        <v>0</v>
      </c>
      <c r="AU30" s="227">
        <v>64795.13</v>
      </c>
      <c r="AV30" s="227">
        <v>6114.11</v>
      </c>
      <c r="AW30" s="227">
        <v>75565.25</v>
      </c>
      <c r="AX30" s="227">
        <v>18566.29</v>
      </c>
      <c r="AY30" s="227">
        <v>136745.46</v>
      </c>
      <c r="AZ30" s="227">
        <v>28835.439999999999</v>
      </c>
      <c r="BA30" s="227">
        <v>12907.78</v>
      </c>
      <c r="BB30" s="227">
        <v>115053.73</v>
      </c>
      <c r="BC30" s="227">
        <v>7701</v>
      </c>
      <c r="BD30" s="227">
        <v>0</v>
      </c>
      <c r="BE30" s="227">
        <v>5985.57</v>
      </c>
      <c r="BF30" s="227">
        <v>0</v>
      </c>
      <c r="BG30" s="227">
        <v>0</v>
      </c>
      <c r="BH30" s="227">
        <v>560.47</v>
      </c>
      <c r="BI30" s="227">
        <v>11123.39</v>
      </c>
      <c r="BJ30" s="227">
        <v>0</v>
      </c>
      <c r="BK30" s="227">
        <v>35543.78</v>
      </c>
      <c r="BL30" s="227">
        <v>34027.629999999997</v>
      </c>
      <c r="BM30" s="227">
        <v>480</v>
      </c>
      <c r="BN30" s="227">
        <v>223681.95</v>
      </c>
      <c r="BO30" s="227">
        <v>27637.11</v>
      </c>
      <c r="BP30" s="227">
        <v>195801.68</v>
      </c>
      <c r="BQ30" s="227">
        <v>26226.560000000001</v>
      </c>
      <c r="BR30" s="227">
        <v>0</v>
      </c>
      <c r="BS30" s="227">
        <v>0</v>
      </c>
      <c r="BT30" s="227">
        <v>0</v>
      </c>
      <c r="BU30" s="227">
        <v>0</v>
      </c>
      <c r="BV30" s="227">
        <v>0</v>
      </c>
      <c r="BW30" s="334">
        <v>24230.2</v>
      </c>
      <c r="BX30" s="335"/>
      <c r="BY30" s="227">
        <v>0</v>
      </c>
      <c r="BZ30" s="227">
        <v>0</v>
      </c>
      <c r="CA30" s="227">
        <v>6000</v>
      </c>
      <c r="CB30" s="227">
        <v>0</v>
      </c>
      <c r="CC30" s="227">
        <v>0</v>
      </c>
      <c r="CD30" s="227">
        <v>27668.2</v>
      </c>
      <c r="CE30" s="227">
        <v>0</v>
      </c>
      <c r="CF30" s="227">
        <v>0</v>
      </c>
      <c r="CG30" s="227">
        <v>0</v>
      </c>
      <c r="CH30" s="227">
        <v>0</v>
      </c>
      <c r="CI30" s="227">
        <v>0</v>
      </c>
      <c r="CJ30" s="227">
        <v>0</v>
      </c>
      <c r="CK30" s="227">
        <v>565940.05000000005</v>
      </c>
      <c r="CL30" s="227">
        <v>-3438</v>
      </c>
      <c r="CM30" s="227">
        <v>0</v>
      </c>
      <c r="CN30" s="227">
        <v>0</v>
      </c>
      <c r="CO30" s="227">
        <v>0</v>
      </c>
      <c r="CQ30" s="229">
        <f t="shared" si="0"/>
        <v>565940.05000000005</v>
      </c>
    </row>
    <row r="31" spans="1:95" ht="15">
      <c r="A31" s="226">
        <v>302</v>
      </c>
      <c r="B31" s="226">
        <v>2044</v>
      </c>
      <c r="C31" s="226" t="s">
        <v>73</v>
      </c>
      <c r="D31" s="226" t="s">
        <v>424</v>
      </c>
      <c r="E31" s="226"/>
      <c r="F31" s="226" t="s">
        <v>420</v>
      </c>
      <c r="G31" s="226">
        <v>0</v>
      </c>
      <c r="H31" s="226">
        <v>1</v>
      </c>
      <c r="I31" s="226" t="s">
        <v>483</v>
      </c>
      <c r="J31" s="226" t="s">
        <v>482</v>
      </c>
      <c r="K31" s="226" t="s">
        <v>421</v>
      </c>
      <c r="L31" s="226" t="s">
        <v>422</v>
      </c>
      <c r="M31" s="226" t="s">
        <v>421</v>
      </c>
      <c r="N31" s="226" t="s">
        <v>423</v>
      </c>
      <c r="O31" s="226" t="s">
        <v>171</v>
      </c>
      <c r="P31" s="227">
        <v>-78930.899999999994</v>
      </c>
      <c r="Q31" s="227">
        <v>0</v>
      </c>
      <c r="R31" s="227">
        <v>13442.21</v>
      </c>
      <c r="S31" s="227">
        <v>1944926.03</v>
      </c>
      <c r="T31" s="227">
        <v>0</v>
      </c>
      <c r="U31" s="227">
        <v>166296.85</v>
      </c>
      <c r="V31" s="227">
        <v>0</v>
      </c>
      <c r="W31" s="227">
        <v>71205</v>
      </c>
      <c r="X31" s="227">
        <v>162647.45000000001</v>
      </c>
      <c r="Y31" s="227">
        <v>13373</v>
      </c>
      <c r="Z31" s="227">
        <v>51395.26</v>
      </c>
      <c r="AA31" s="227">
        <v>41135.99</v>
      </c>
      <c r="AB31" s="227">
        <v>0</v>
      </c>
      <c r="AC31" s="227">
        <v>0</v>
      </c>
      <c r="AD31" s="227">
        <v>0</v>
      </c>
      <c r="AE31" s="227">
        <v>12391.19</v>
      </c>
      <c r="AF31" s="227">
        <v>3513.5</v>
      </c>
      <c r="AG31" s="227">
        <v>0</v>
      </c>
      <c r="AH31" s="227">
        <v>0</v>
      </c>
      <c r="AI31" s="227">
        <v>0</v>
      </c>
      <c r="AJ31" s="227">
        <v>942466.36</v>
      </c>
      <c r="AK31" s="227">
        <v>0</v>
      </c>
      <c r="AL31" s="227">
        <v>546041.84</v>
      </c>
      <c r="AM31" s="227">
        <v>81534.97</v>
      </c>
      <c r="AN31" s="227">
        <v>127947.81</v>
      </c>
      <c r="AO31" s="227">
        <v>0</v>
      </c>
      <c r="AP31" s="227">
        <v>65382.34</v>
      </c>
      <c r="AQ31" s="227">
        <v>8336.58</v>
      </c>
      <c r="AR31" s="227">
        <v>5597.44</v>
      </c>
      <c r="AS31" s="227">
        <v>542.1</v>
      </c>
      <c r="AT31" s="227">
        <v>0</v>
      </c>
      <c r="AU31" s="227">
        <v>47049.79</v>
      </c>
      <c r="AV31" s="227">
        <v>2774.11</v>
      </c>
      <c r="AW31" s="227">
        <v>55341.21</v>
      </c>
      <c r="AX31" s="227">
        <v>8755.58</v>
      </c>
      <c r="AY31" s="227">
        <v>64886.84</v>
      </c>
      <c r="AZ31" s="227">
        <v>28835.43</v>
      </c>
      <c r="BA31" s="227">
        <v>11552.15</v>
      </c>
      <c r="BB31" s="227">
        <v>62918.47</v>
      </c>
      <c r="BC31" s="227">
        <v>5730.09</v>
      </c>
      <c r="BD31" s="227">
        <v>0</v>
      </c>
      <c r="BE31" s="227">
        <v>2497.1999999999998</v>
      </c>
      <c r="BF31" s="227">
        <v>0</v>
      </c>
      <c r="BG31" s="227">
        <v>46.94</v>
      </c>
      <c r="BH31" s="227">
        <v>0</v>
      </c>
      <c r="BI31" s="227">
        <v>7123.51</v>
      </c>
      <c r="BJ31" s="227">
        <v>0</v>
      </c>
      <c r="BK31" s="227">
        <v>28249.040000000001</v>
      </c>
      <c r="BL31" s="227">
        <v>15081.94</v>
      </c>
      <c r="BM31" s="227">
        <v>492.48</v>
      </c>
      <c r="BN31" s="227">
        <v>149504.35999999999</v>
      </c>
      <c r="BO31" s="227">
        <v>24836.9</v>
      </c>
      <c r="BP31" s="227">
        <v>222281.15</v>
      </c>
      <c r="BQ31" s="227">
        <v>8281.51</v>
      </c>
      <c r="BR31" s="227">
        <v>0</v>
      </c>
      <c r="BS31" s="227">
        <v>0</v>
      </c>
      <c r="BT31" s="227">
        <v>0</v>
      </c>
      <c r="BU31" s="227">
        <v>0</v>
      </c>
      <c r="BV31" s="227">
        <v>0</v>
      </c>
      <c r="BW31" s="334">
        <v>22767.7</v>
      </c>
      <c r="BX31" s="335"/>
      <c r="BY31" s="227">
        <v>0</v>
      </c>
      <c r="BZ31" s="227">
        <v>0</v>
      </c>
      <c r="CA31" s="227">
        <v>6000</v>
      </c>
      <c r="CB31" s="227">
        <v>0</v>
      </c>
      <c r="CC31" s="227">
        <v>0</v>
      </c>
      <c r="CD31" s="227">
        <v>0</v>
      </c>
      <c r="CE31" s="227">
        <v>0</v>
      </c>
      <c r="CF31" s="227">
        <v>0</v>
      </c>
      <c r="CG31" s="227">
        <v>0</v>
      </c>
      <c r="CH31" s="227">
        <v>0</v>
      </c>
      <c r="CI31" s="227">
        <v>0</v>
      </c>
      <c r="CJ31" s="227">
        <v>0</v>
      </c>
      <c r="CK31" s="227">
        <v>-136134.76999999999</v>
      </c>
      <c r="CL31" s="227">
        <v>36209.910000000003</v>
      </c>
      <c r="CM31" s="227">
        <v>0</v>
      </c>
      <c r="CN31" s="227">
        <v>0</v>
      </c>
      <c r="CO31" s="227">
        <v>0</v>
      </c>
      <c r="CQ31" s="229">
        <f t="shared" si="0"/>
        <v>-136134.76999999999</v>
      </c>
    </row>
    <row r="32" spans="1:95" ht="15">
      <c r="A32" s="226">
        <v>302</v>
      </c>
      <c r="B32" s="226">
        <v>2045</v>
      </c>
      <c r="C32" s="226" t="s">
        <v>251</v>
      </c>
      <c r="D32" s="226" t="s">
        <v>424</v>
      </c>
      <c r="E32" s="226"/>
      <c r="F32" s="226" t="s">
        <v>420</v>
      </c>
      <c r="G32" s="226">
        <v>0</v>
      </c>
      <c r="H32" s="226">
        <v>1</v>
      </c>
      <c r="I32" s="226" t="s">
        <v>483</v>
      </c>
      <c r="J32" s="226" t="s">
        <v>482</v>
      </c>
      <c r="K32" s="226" t="s">
        <v>421</v>
      </c>
      <c r="L32" s="226" t="s">
        <v>422</v>
      </c>
      <c r="M32" s="226" t="s">
        <v>421</v>
      </c>
      <c r="N32" s="226" t="s">
        <v>423</v>
      </c>
      <c r="O32" s="226" t="s">
        <v>171</v>
      </c>
      <c r="P32" s="227">
        <v>-1967</v>
      </c>
      <c r="Q32" s="227">
        <v>0</v>
      </c>
      <c r="R32" s="227">
        <v>6808</v>
      </c>
      <c r="S32" s="227">
        <v>1660188.99</v>
      </c>
      <c r="T32" s="227">
        <v>0</v>
      </c>
      <c r="U32" s="227">
        <v>146710.29</v>
      </c>
      <c r="V32" s="227">
        <v>0</v>
      </c>
      <c r="W32" s="227">
        <v>51992</v>
      </c>
      <c r="X32" s="227">
        <v>55639.42</v>
      </c>
      <c r="Y32" s="227">
        <v>60712.35</v>
      </c>
      <c r="Z32" s="227">
        <v>9146.9500000000007</v>
      </c>
      <c r="AA32" s="227">
        <v>93773</v>
      </c>
      <c r="AB32" s="227">
        <v>4440.33</v>
      </c>
      <c r="AC32" s="227">
        <v>0</v>
      </c>
      <c r="AD32" s="227">
        <v>0</v>
      </c>
      <c r="AE32" s="227">
        <v>82984.320000000007</v>
      </c>
      <c r="AF32" s="227">
        <v>22727.61</v>
      </c>
      <c r="AG32" s="227">
        <v>0</v>
      </c>
      <c r="AH32" s="227">
        <v>0</v>
      </c>
      <c r="AI32" s="227">
        <v>0</v>
      </c>
      <c r="AJ32" s="227">
        <v>809111.74</v>
      </c>
      <c r="AK32" s="227">
        <v>0</v>
      </c>
      <c r="AL32" s="227">
        <v>606546.19999999995</v>
      </c>
      <c r="AM32" s="227">
        <v>77660.259999999995</v>
      </c>
      <c r="AN32" s="227">
        <v>75532.17</v>
      </c>
      <c r="AO32" s="227">
        <v>0</v>
      </c>
      <c r="AP32" s="227">
        <v>75444.92</v>
      </c>
      <c r="AQ32" s="227">
        <v>9201.73</v>
      </c>
      <c r="AR32" s="227">
        <v>1853.99</v>
      </c>
      <c r="AS32" s="227">
        <v>362.52</v>
      </c>
      <c r="AT32" s="227">
        <v>0</v>
      </c>
      <c r="AU32" s="227">
        <v>12774.31</v>
      </c>
      <c r="AV32" s="227">
        <v>0</v>
      </c>
      <c r="AW32" s="227">
        <v>1142.26</v>
      </c>
      <c r="AX32" s="227">
        <v>4420.34</v>
      </c>
      <c r="AY32" s="227">
        <v>42076.03</v>
      </c>
      <c r="AZ32" s="227">
        <v>36036</v>
      </c>
      <c r="BA32" s="227">
        <v>6314.76</v>
      </c>
      <c r="BB32" s="227">
        <v>93210.26</v>
      </c>
      <c r="BC32" s="227">
        <v>9196.7099999999991</v>
      </c>
      <c r="BD32" s="227">
        <v>0</v>
      </c>
      <c r="BE32" s="227">
        <v>1369.25</v>
      </c>
      <c r="BF32" s="227">
        <v>5808.52</v>
      </c>
      <c r="BG32" s="227">
        <v>929.56</v>
      </c>
      <c r="BH32" s="227">
        <v>89.29</v>
      </c>
      <c r="BI32" s="227">
        <v>5634.3</v>
      </c>
      <c r="BJ32" s="227">
        <v>0</v>
      </c>
      <c r="BK32" s="227">
        <v>499.43</v>
      </c>
      <c r="BL32" s="227">
        <v>9628.56</v>
      </c>
      <c r="BM32" s="227">
        <v>33149.980000000003</v>
      </c>
      <c r="BN32" s="227">
        <v>84556.04</v>
      </c>
      <c r="BO32" s="227">
        <v>74638.5</v>
      </c>
      <c r="BP32" s="227">
        <v>112427.53</v>
      </c>
      <c r="BQ32" s="227">
        <v>27643.1</v>
      </c>
      <c r="BR32" s="227">
        <v>0</v>
      </c>
      <c r="BS32" s="227">
        <v>0</v>
      </c>
      <c r="BT32" s="227">
        <v>0</v>
      </c>
      <c r="BU32" s="227">
        <v>0</v>
      </c>
      <c r="BV32" s="227">
        <v>0</v>
      </c>
      <c r="BW32" s="334">
        <v>6772</v>
      </c>
      <c r="BX32" s="335"/>
      <c r="BY32" s="227">
        <v>0</v>
      </c>
      <c r="BZ32" s="227">
        <v>0</v>
      </c>
      <c r="CA32" s="227">
        <v>6000</v>
      </c>
      <c r="CB32" s="227">
        <v>0</v>
      </c>
      <c r="CC32" s="227">
        <v>7476</v>
      </c>
      <c r="CD32" s="227">
        <v>0</v>
      </c>
      <c r="CE32" s="227">
        <v>0</v>
      </c>
      <c r="CF32" s="227">
        <v>0</v>
      </c>
      <c r="CG32" s="227">
        <v>0</v>
      </c>
      <c r="CH32" s="227">
        <v>0</v>
      </c>
      <c r="CI32" s="227">
        <v>0</v>
      </c>
      <c r="CJ32" s="227">
        <v>0</v>
      </c>
      <c r="CK32" s="227">
        <v>-30910</v>
      </c>
      <c r="CL32" s="227">
        <v>6104</v>
      </c>
      <c r="CM32" s="227">
        <v>0</v>
      </c>
      <c r="CN32" s="227">
        <v>0</v>
      </c>
      <c r="CO32" s="227">
        <v>0</v>
      </c>
      <c r="CQ32" s="229">
        <f t="shared" si="0"/>
        <v>-30910</v>
      </c>
    </row>
    <row r="33" spans="1:95" ht="15">
      <c r="A33" s="226">
        <v>302</v>
      </c>
      <c r="B33" s="226">
        <v>2053</v>
      </c>
      <c r="C33" s="226" t="s">
        <v>386</v>
      </c>
      <c r="D33" s="226" t="s">
        <v>424</v>
      </c>
      <c r="E33" s="226"/>
      <c r="F33" s="226" t="s">
        <v>420</v>
      </c>
      <c r="G33" s="226">
        <v>0</v>
      </c>
      <c r="H33" s="226">
        <v>0</v>
      </c>
      <c r="I33" s="226" t="s">
        <v>483</v>
      </c>
      <c r="J33" s="226" t="s">
        <v>482</v>
      </c>
      <c r="K33" s="226" t="s">
        <v>421</v>
      </c>
      <c r="L33" s="226" t="s">
        <v>422</v>
      </c>
      <c r="M33" s="226" t="s">
        <v>421</v>
      </c>
      <c r="N33" s="226" t="s">
        <v>423</v>
      </c>
      <c r="O33" s="226" t="s">
        <v>171</v>
      </c>
      <c r="P33" s="227">
        <v>10960</v>
      </c>
      <c r="Q33" s="227">
        <v>0</v>
      </c>
      <c r="R33" s="227">
        <v>0</v>
      </c>
      <c r="S33" s="227">
        <v>1330999.2</v>
      </c>
      <c r="T33" s="227">
        <v>0</v>
      </c>
      <c r="U33" s="227">
        <v>146406.14000000001</v>
      </c>
      <c r="V33" s="227">
        <v>0</v>
      </c>
      <c r="W33" s="227">
        <v>9090</v>
      </c>
      <c r="X33" s="227">
        <v>106830.32</v>
      </c>
      <c r="Y33" s="227">
        <v>84394.86</v>
      </c>
      <c r="Z33" s="227">
        <v>0</v>
      </c>
      <c r="AA33" s="227">
        <v>3771.73</v>
      </c>
      <c r="AB33" s="227">
        <v>0</v>
      </c>
      <c r="AC33" s="227">
        <v>0</v>
      </c>
      <c r="AD33" s="227">
        <v>0</v>
      </c>
      <c r="AE33" s="227">
        <v>6120</v>
      </c>
      <c r="AF33" s="227">
        <v>741678.48</v>
      </c>
      <c r="AG33" s="227">
        <v>0</v>
      </c>
      <c r="AH33" s="227">
        <v>0</v>
      </c>
      <c r="AI33" s="227">
        <v>0</v>
      </c>
      <c r="AJ33" s="227">
        <v>749100.98</v>
      </c>
      <c r="AK33" s="227">
        <v>0</v>
      </c>
      <c r="AL33" s="227">
        <v>1010870.88</v>
      </c>
      <c r="AM33" s="227">
        <v>36419.4</v>
      </c>
      <c r="AN33" s="227">
        <v>97681.91</v>
      </c>
      <c r="AO33" s="227">
        <v>0</v>
      </c>
      <c r="AP33" s="227">
        <v>0</v>
      </c>
      <c r="AQ33" s="227">
        <v>6780.97</v>
      </c>
      <c r="AR33" s="227">
        <v>16209.09</v>
      </c>
      <c r="AS33" s="227">
        <v>296.66000000000003</v>
      </c>
      <c r="AT33" s="227">
        <v>0</v>
      </c>
      <c r="AU33" s="227">
        <v>18396.09</v>
      </c>
      <c r="AV33" s="227">
        <v>0</v>
      </c>
      <c r="AW33" s="227">
        <v>47267.040000000001</v>
      </c>
      <c r="AX33" s="227">
        <v>4234.32</v>
      </c>
      <c r="AY33" s="227">
        <v>26947.38</v>
      </c>
      <c r="AZ33" s="227">
        <v>9677.4699999999993</v>
      </c>
      <c r="BA33" s="227">
        <v>74352.649999999994</v>
      </c>
      <c r="BB33" s="227">
        <v>76785.55</v>
      </c>
      <c r="BC33" s="227">
        <v>8942.16</v>
      </c>
      <c r="BD33" s="227">
        <v>0</v>
      </c>
      <c r="BE33" s="227">
        <v>3285.32</v>
      </c>
      <c r="BF33" s="227">
        <v>17677.34</v>
      </c>
      <c r="BG33" s="227">
        <v>50.05</v>
      </c>
      <c r="BH33" s="227">
        <v>0</v>
      </c>
      <c r="BI33" s="227">
        <v>0</v>
      </c>
      <c r="BJ33" s="227">
        <v>0</v>
      </c>
      <c r="BK33" s="227">
        <v>1787.65</v>
      </c>
      <c r="BL33" s="227">
        <v>19749.689999999999</v>
      </c>
      <c r="BM33" s="227">
        <v>1440.4</v>
      </c>
      <c r="BN33" s="227">
        <v>85400.71</v>
      </c>
      <c r="BO33" s="227">
        <v>45061.64</v>
      </c>
      <c r="BP33" s="227">
        <v>16939.87</v>
      </c>
      <c r="BQ33" s="227">
        <v>61550.31</v>
      </c>
      <c r="BR33" s="227">
        <v>0</v>
      </c>
      <c r="BS33" s="227">
        <v>0</v>
      </c>
      <c r="BT33" s="227">
        <v>0</v>
      </c>
      <c r="BU33" s="227">
        <v>0</v>
      </c>
      <c r="BV33" s="227">
        <v>0</v>
      </c>
      <c r="BW33" s="334">
        <v>0</v>
      </c>
      <c r="BX33" s="335"/>
      <c r="BY33" s="227">
        <v>0</v>
      </c>
      <c r="BZ33" s="227">
        <v>0</v>
      </c>
      <c r="CA33" s="227">
        <v>6000</v>
      </c>
      <c r="CB33" s="227">
        <v>0</v>
      </c>
      <c r="CC33" s="227">
        <v>0</v>
      </c>
      <c r="CD33" s="227">
        <v>0</v>
      </c>
      <c r="CE33" s="227">
        <v>0</v>
      </c>
      <c r="CF33" s="227">
        <v>0</v>
      </c>
      <c r="CG33" s="227">
        <v>0</v>
      </c>
      <c r="CH33" s="227">
        <v>0</v>
      </c>
      <c r="CI33" s="227">
        <v>0</v>
      </c>
      <c r="CJ33" s="227">
        <v>0</v>
      </c>
      <c r="CK33" s="227">
        <v>3345.2</v>
      </c>
      <c r="CL33" s="227">
        <v>0</v>
      </c>
      <c r="CM33" s="227">
        <v>0</v>
      </c>
      <c r="CN33" s="227">
        <v>0</v>
      </c>
      <c r="CO33" s="227">
        <v>0</v>
      </c>
      <c r="CQ33" s="229">
        <f t="shared" si="0"/>
        <v>3345.2</v>
      </c>
    </row>
    <row r="34" spans="1:95" ht="15">
      <c r="A34" s="226">
        <v>302</v>
      </c>
      <c r="B34" s="226">
        <v>2054</v>
      </c>
      <c r="C34" s="226" t="s">
        <v>311</v>
      </c>
      <c r="D34" s="226" t="s">
        <v>424</v>
      </c>
      <c r="E34" s="226"/>
      <c r="F34" s="226" t="s">
        <v>420</v>
      </c>
      <c r="G34" s="226">
        <v>0</v>
      </c>
      <c r="H34" s="226">
        <v>0</v>
      </c>
      <c r="I34" s="226" t="s">
        <v>483</v>
      </c>
      <c r="J34" s="226" t="s">
        <v>482</v>
      </c>
      <c r="K34" s="226" t="s">
        <v>421</v>
      </c>
      <c r="L34" s="226" t="s">
        <v>422</v>
      </c>
      <c r="M34" s="226" t="s">
        <v>421</v>
      </c>
      <c r="N34" s="226" t="s">
        <v>423</v>
      </c>
      <c r="O34" s="226" t="s">
        <v>171</v>
      </c>
      <c r="P34" s="227">
        <v>59527</v>
      </c>
      <c r="Q34" s="227">
        <v>0</v>
      </c>
      <c r="R34" s="227">
        <v>6801</v>
      </c>
      <c r="S34" s="227">
        <v>1224893.43</v>
      </c>
      <c r="T34" s="227">
        <v>0</v>
      </c>
      <c r="U34" s="227">
        <v>93611.09</v>
      </c>
      <c r="V34" s="227">
        <v>0</v>
      </c>
      <c r="W34" s="227">
        <v>19295</v>
      </c>
      <c r="X34" s="227">
        <v>58414.42</v>
      </c>
      <c r="Y34" s="227">
        <v>57176.21</v>
      </c>
      <c r="Z34" s="227">
        <v>40576.44</v>
      </c>
      <c r="AA34" s="227">
        <v>51507.93</v>
      </c>
      <c r="AB34" s="227">
        <v>1499.81</v>
      </c>
      <c r="AC34" s="227">
        <v>9000</v>
      </c>
      <c r="AD34" s="227">
        <v>0</v>
      </c>
      <c r="AE34" s="227">
        <v>28903.9</v>
      </c>
      <c r="AF34" s="227">
        <v>33228.01</v>
      </c>
      <c r="AG34" s="227">
        <v>0</v>
      </c>
      <c r="AH34" s="227">
        <v>0</v>
      </c>
      <c r="AI34" s="227">
        <v>0</v>
      </c>
      <c r="AJ34" s="227">
        <v>735977.81</v>
      </c>
      <c r="AK34" s="227">
        <v>0</v>
      </c>
      <c r="AL34" s="227">
        <v>177396.94</v>
      </c>
      <c r="AM34" s="227">
        <v>44066.49</v>
      </c>
      <c r="AN34" s="227">
        <v>74046.080000000002</v>
      </c>
      <c r="AO34" s="227">
        <v>0</v>
      </c>
      <c r="AP34" s="227">
        <v>66435.649999999994</v>
      </c>
      <c r="AQ34" s="227">
        <v>4517.42</v>
      </c>
      <c r="AR34" s="227">
        <v>1744</v>
      </c>
      <c r="AS34" s="227">
        <v>355.68</v>
      </c>
      <c r="AT34" s="227">
        <v>9124.2099999999991</v>
      </c>
      <c r="AU34" s="227">
        <v>15693.37</v>
      </c>
      <c r="AV34" s="227">
        <v>650</v>
      </c>
      <c r="AW34" s="227">
        <v>18864.34</v>
      </c>
      <c r="AX34" s="227">
        <v>3410.31</v>
      </c>
      <c r="AY34" s="227">
        <v>21414.74</v>
      </c>
      <c r="AZ34" s="227">
        <v>23407.360000000001</v>
      </c>
      <c r="BA34" s="227">
        <v>11164.95</v>
      </c>
      <c r="BB34" s="227">
        <v>45950.83</v>
      </c>
      <c r="BC34" s="227">
        <v>5641.8</v>
      </c>
      <c r="BD34" s="227">
        <v>1190</v>
      </c>
      <c r="BE34" s="227">
        <v>4648.78</v>
      </c>
      <c r="BF34" s="227">
        <v>6811.99</v>
      </c>
      <c r="BG34" s="227">
        <v>1026.0999999999999</v>
      </c>
      <c r="BH34" s="227">
        <v>3949.85</v>
      </c>
      <c r="BI34" s="227">
        <v>4030</v>
      </c>
      <c r="BJ34" s="227">
        <v>0</v>
      </c>
      <c r="BK34" s="227">
        <v>1552.05</v>
      </c>
      <c r="BL34" s="227">
        <v>9470.2099999999991</v>
      </c>
      <c r="BM34" s="227">
        <v>10126.23</v>
      </c>
      <c r="BN34" s="227">
        <v>92540.72</v>
      </c>
      <c r="BO34" s="227">
        <v>20841.080000000002</v>
      </c>
      <c r="BP34" s="227">
        <v>222604.35</v>
      </c>
      <c r="BQ34" s="227">
        <v>15390.9</v>
      </c>
      <c r="BR34" s="227">
        <v>0</v>
      </c>
      <c r="BS34" s="227">
        <v>0</v>
      </c>
      <c r="BT34" s="227">
        <v>0</v>
      </c>
      <c r="BU34" s="227">
        <v>0</v>
      </c>
      <c r="BV34" s="227">
        <v>0</v>
      </c>
      <c r="BW34" s="334">
        <v>6242.5</v>
      </c>
      <c r="BX34" s="335"/>
      <c r="BY34" s="227">
        <v>0</v>
      </c>
      <c r="BZ34" s="227">
        <v>0</v>
      </c>
      <c r="CA34" s="227">
        <v>6000</v>
      </c>
      <c r="CB34" s="227">
        <v>0</v>
      </c>
      <c r="CC34" s="227">
        <v>0</v>
      </c>
      <c r="CD34" s="227">
        <v>0</v>
      </c>
      <c r="CE34" s="227">
        <v>0</v>
      </c>
      <c r="CF34" s="227">
        <v>6600.05</v>
      </c>
      <c r="CG34" s="227">
        <v>0</v>
      </c>
      <c r="CH34" s="227">
        <v>0</v>
      </c>
      <c r="CI34" s="227">
        <v>6368.45</v>
      </c>
      <c r="CJ34" s="227">
        <v>0</v>
      </c>
      <c r="CK34" s="227">
        <v>23589</v>
      </c>
      <c r="CL34" s="227">
        <v>75</v>
      </c>
      <c r="CM34" s="227">
        <v>0</v>
      </c>
      <c r="CN34" s="227">
        <v>0</v>
      </c>
      <c r="CO34" s="227">
        <v>0</v>
      </c>
      <c r="CQ34" s="229">
        <f t="shared" si="0"/>
        <v>23589</v>
      </c>
    </row>
    <row r="35" spans="1:95" ht="15">
      <c r="A35" s="226">
        <v>302</v>
      </c>
      <c r="B35" s="226">
        <v>2055</v>
      </c>
      <c r="C35" s="226" t="s">
        <v>265</v>
      </c>
      <c r="D35" s="226" t="s">
        <v>424</v>
      </c>
      <c r="E35" s="226"/>
      <c r="F35" s="226" t="s">
        <v>420</v>
      </c>
      <c r="G35" s="226">
        <v>0</v>
      </c>
      <c r="H35" s="226">
        <v>1</v>
      </c>
      <c r="I35" s="226" t="s">
        <v>483</v>
      </c>
      <c r="J35" s="226" t="s">
        <v>482</v>
      </c>
      <c r="K35" s="226" t="s">
        <v>421</v>
      </c>
      <c r="L35" s="226" t="s">
        <v>422</v>
      </c>
      <c r="M35" s="226" t="s">
        <v>421</v>
      </c>
      <c r="N35" s="226" t="s">
        <v>423</v>
      </c>
      <c r="O35" s="226" t="s">
        <v>171</v>
      </c>
      <c r="P35" s="227">
        <v>-900242.41</v>
      </c>
      <c r="Q35" s="227">
        <v>0</v>
      </c>
      <c r="R35" s="227">
        <v>30291</v>
      </c>
      <c r="S35" s="227">
        <v>1253917.81</v>
      </c>
      <c r="T35" s="227">
        <v>0</v>
      </c>
      <c r="U35" s="227">
        <v>80093.279999999999</v>
      </c>
      <c r="V35" s="227">
        <v>0</v>
      </c>
      <c r="W35" s="227">
        <v>75750</v>
      </c>
      <c r="X35" s="227">
        <v>54362.53</v>
      </c>
      <c r="Y35" s="227">
        <v>43275.09</v>
      </c>
      <c r="Z35" s="227">
        <v>3075</v>
      </c>
      <c r="AA35" s="227">
        <v>31265.63</v>
      </c>
      <c r="AB35" s="227">
        <v>493.87</v>
      </c>
      <c r="AC35" s="227">
        <v>0</v>
      </c>
      <c r="AD35" s="227">
        <v>49750</v>
      </c>
      <c r="AE35" s="227">
        <v>12736.14</v>
      </c>
      <c r="AF35" s="227">
        <v>1428</v>
      </c>
      <c r="AG35" s="227">
        <v>0</v>
      </c>
      <c r="AH35" s="227">
        <v>0</v>
      </c>
      <c r="AI35" s="227">
        <v>0</v>
      </c>
      <c r="AJ35" s="227">
        <v>881743.97</v>
      </c>
      <c r="AK35" s="227">
        <v>0</v>
      </c>
      <c r="AL35" s="227">
        <v>448297.9</v>
      </c>
      <c r="AM35" s="227">
        <v>45778.7</v>
      </c>
      <c r="AN35" s="227">
        <v>60656.41</v>
      </c>
      <c r="AO35" s="227">
        <v>0</v>
      </c>
      <c r="AP35" s="227">
        <v>46650.29</v>
      </c>
      <c r="AQ35" s="227">
        <v>7616.58</v>
      </c>
      <c r="AR35" s="227">
        <v>4286.01</v>
      </c>
      <c r="AS35" s="227">
        <v>311.22000000000003</v>
      </c>
      <c r="AT35" s="227">
        <v>0</v>
      </c>
      <c r="AU35" s="227">
        <v>96426.92</v>
      </c>
      <c r="AV35" s="227">
        <v>4979.3999999999996</v>
      </c>
      <c r="AW35" s="227">
        <v>33252.410000000003</v>
      </c>
      <c r="AX35" s="227">
        <v>3608.36</v>
      </c>
      <c r="AY35" s="227">
        <v>38307.94</v>
      </c>
      <c r="AZ35" s="227">
        <v>32097.07</v>
      </c>
      <c r="BA35" s="227">
        <v>8334.11</v>
      </c>
      <c r="BB35" s="227">
        <v>49761.61</v>
      </c>
      <c r="BC35" s="227">
        <v>10088.629999999999</v>
      </c>
      <c r="BD35" s="227">
        <v>0</v>
      </c>
      <c r="BE35" s="227">
        <v>683.79</v>
      </c>
      <c r="BF35" s="227">
        <v>12033.2</v>
      </c>
      <c r="BG35" s="227">
        <v>1649.97</v>
      </c>
      <c r="BH35" s="227">
        <v>389.34</v>
      </c>
      <c r="BI35" s="227">
        <v>8078.87</v>
      </c>
      <c r="BJ35" s="227">
        <v>0</v>
      </c>
      <c r="BK35" s="227">
        <v>615.59</v>
      </c>
      <c r="BL35" s="227">
        <v>7976.16</v>
      </c>
      <c r="BM35" s="227">
        <v>19151.05</v>
      </c>
      <c r="BN35" s="227">
        <v>61915.1</v>
      </c>
      <c r="BO35" s="227">
        <v>64242.720000000001</v>
      </c>
      <c r="BP35" s="227">
        <v>180621.68</v>
      </c>
      <c r="BQ35" s="227">
        <v>21484.94</v>
      </c>
      <c r="BR35" s="227">
        <v>0</v>
      </c>
      <c r="BS35" s="227">
        <v>0</v>
      </c>
      <c r="BT35" s="227">
        <v>45067</v>
      </c>
      <c r="BU35" s="227">
        <v>0</v>
      </c>
      <c r="BV35" s="227">
        <v>0</v>
      </c>
      <c r="BW35" s="334">
        <v>6368.63</v>
      </c>
      <c r="BX35" s="335"/>
      <c r="BY35" s="227">
        <v>0</v>
      </c>
      <c r="BZ35" s="227">
        <v>45067</v>
      </c>
      <c r="CA35" s="227">
        <v>6000</v>
      </c>
      <c r="CB35" s="227">
        <v>0</v>
      </c>
      <c r="CC35" s="227">
        <v>81726.63</v>
      </c>
      <c r="CD35" s="227">
        <v>0</v>
      </c>
      <c r="CE35" s="227">
        <v>0</v>
      </c>
      <c r="CF35" s="227">
        <v>0</v>
      </c>
      <c r="CG35" s="227">
        <v>0</v>
      </c>
      <c r="CH35" s="227">
        <v>0</v>
      </c>
      <c r="CI35" s="227">
        <v>0</v>
      </c>
      <c r="CJ35" s="227">
        <v>0</v>
      </c>
      <c r="CK35" s="227">
        <v>-1490202</v>
      </c>
      <c r="CL35" s="227">
        <v>0</v>
      </c>
      <c r="CM35" s="227">
        <v>0</v>
      </c>
      <c r="CN35" s="227">
        <v>0</v>
      </c>
      <c r="CO35" s="227">
        <v>0</v>
      </c>
      <c r="CQ35" s="229">
        <f t="shared" si="0"/>
        <v>-1490202</v>
      </c>
    </row>
    <row r="36" spans="1:95" ht="15">
      <c r="A36" s="226">
        <v>302</v>
      </c>
      <c r="B36" s="226">
        <v>2057</v>
      </c>
      <c r="C36" s="226" t="s">
        <v>342</v>
      </c>
      <c r="D36" s="226" t="s">
        <v>424</v>
      </c>
      <c r="E36" s="226"/>
      <c r="F36" s="226" t="s">
        <v>420</v>
      </c>
      <c r="G36" s="226">
        <v>0</v>
      </c>
      <c r="H36" s="226">
        <v>0</v>
      </c>
      <c r="I36" s="226" t="s">
        <v>483</v>
      </c>
      <c r="J36" s="226" t="s">
        <v>482</v>
      </c>
      <c r="K36" s="226" t="s">
        <v>421</v>
      </c>
      <c r="L36" s="226" t="s">
        <v>422</v>
      </c>
      <c r="M36" s="226" t="s">
        <v>421</v>
      </c>
      <c r="N36" s="226" t="s">
        <v>423</v>
      </c>
      <c r="O36" s="226" t="s">
        <v>171</v>
      </c>
      <c r="P36" s="227">
        <v>528721</v>
      </c>
      <c r="Q36" s="227">
        <v>35798</v>
      </c>
      <c r="R36" s="227">
        <v>33137</v>
      </c>
      <c r="S36" s="227">
        <v>3062263.13</v>
      </c>
      <c r="T36" s="227">
        <v>0</v>
      </c>
      <c r="U36" s="227">
        <v>232809.63</v>
      </c>
      <c r="V36" s="227">
        <v>0</v>
      </c>
      <c r="W36" s="227">
        <v>266640</v>
      </c>
      <c r="X36" s="227">
        <v>79386.61</v>
      </c>
      <c r="Y36" s="227">
        <v>94056.27</v>
      </c>
      <c r="Z36" s="227">
        <v>13893.13</v>
      </c>
      <c r="AA36" s="227">
        <v>65643.09</v>
      </c>
      <c r="AB36" s="227">
        <v>0</v>
      </c>
      <c r="AC36" s="227">
        <v>0</v>
      </c>
      <c r="AD36" s="227">
        <v>0</v>
      </c>
      <c r="AE36" s="227">
        <v>40950.18</v>
      </c>
      <c r="AF36" s="227">
        <v>27386.52</v>
      </c>
      <c r="AG36" s="227">
        <v>0</v>
      </c>
      <c r="AH36" s="227">
        <v>249367.6</v>
      </c>
      <c r="AI36" s="227">
        <v>0</v>
      </c>
      <c r="AJ36" s="227">
        <v>1646789.25</v>
      </c>
      <c r="AK36" s="227">
        <v>0</v>
      </c>
      <c r="AL36" s="227">
        <v>852262.81</v>
      </c>
      <c r="AM36" s="227">
        <v>83428.460000000006</v>
      </c>
      <c r="AN36" s="227">
        <v>116967.67</v>
      </c>
      <c r="AO36" s="227">
        <v>0</v>
      </c>
      <c r="AP36" s="227">
        <v>106969.31</v>
      </c>
      <c r="AQ36" s="227">
        <v>17627.71</v>
      </c>
      <c r="AR36" s="227">
        <v>3257</v>
      </c>
      <c r="AS36" s="227">
        <v>745.56</v>
      </c>
      <c r="AT36" s="227">
        <v>0</v>
      </c>
      <c r="AU36" s="227">
        <v>43134.27</v>
      </c>
      <c r="AV36" s="227">
        <v>10980</v>
      </c>
      <c r="AW36" s="227">
        <v>21709.14</v>
      </c>
      <c r="AX36" s="227">
        <v>5770.18</v>
      </c>
      <c r="AY36" s="227">
        <v>41619.300000000003</v>
      </c>
      <c r="AZ36" s="227">
        <v>78466.39</v>
      </c>
      <c r="BA36" s="227">
        <v>21231.68</v>
      </c>
      <c r="BB36" s="227">
        <v>70019.839999999997</v>
      </c>
      <c r="BC36" s="227">
        <v>4524.1899999999996</v>
      </c>
      <c r="BD36" s="227">
        <v>50.12</v>
      </c>
      <c r="BE36" s="227">
        <v>6770.83</v>
      </c>
      <c r="BF36" s="227">
        <v>10834.85</v>
      </c>
      <c r="BG36" s="227">
        <v>0</v>
      </c>
      <c r="BH36" s="227">
        <v>144.44999999999999</v>
      </c>
      <c r="BI36" s="227">
        <v>16381.32</v>
      </c>
      <c r="BJ36" s="227">
        <v>0</v>
      </c>
      <c r="BK36" s="227">
        <v>11570.25</v>
      </c>
      <c r="BL36" s="227">
        <v>17216.73</v>
      </c>
      <c r="BM36" s="227">
        <v>18577.32</v>
      </c>
      <c r="BN36" s="227">
        <v>142801.20000000001</v>
      </c>
      <c r="BO36" s="227">
        <v>60131.86</v>
      </c>
      <c r="BP36" s="227">
        <v>281168.28000000003</v>
      </c>
      <c r="BQ36" s="227">
        <v>34259.589999999997</v>
      </c>
      <c r="BR36" s="227">
        <v>0</v>
      </c>
      <c r="BS36" s="227">
        <v>0</v>
      </c>
      <c r="BT36" s="227">
        <v>0</v>
      </c>
      <c r="BU36" s="227">
        <v>161643.24</v>
      </c>
      <c r="BV36" s="227">
        <v>97527.360000000001</v>
      </c>
      <c r="BW36" s="334">
        <v>9484.15</v>
      </c>
      <c r="BX36" s="335"/>
      <c r="BY36" s="227">
        <v>16750</v>
      </c>
      <c r="BZ36" s="227">
        <v>0</v>
      </c>
      <c r="CA36" s="227">
        <v>6000</v>
      </c>
      <c r="CB36" s="227">
        <v>0</v>
      </c>
      <c r="CC36" s="227">
        <v>0</v>
      </c>
      <c r="CD36" s="227">
        <v>12844.15</v>
      </c>
      <c r="CE36" s="227">
        <v>0</v>
      </c>
      <c r="CF36" s="227">
        <v>0</v>
      </c>
      <c r="CG36" s="227">
        <v>0</v>
      </c>
      <c r="CH36" s="227">
        <v>18542</v>
      </c>
      <c r="CI36" s="227">
        <v>0</v>
      </c>
      <c r="CJ36" s="227">
        <v>33098</v>
      </c>
      <c r="CK36" s="227">
        <v>653242</v>
      </c>
      <c r="CL36" s="227">
        <v>27985</v>
      </c>
      <c r="CM36" s="227">
        <v>0</v>
      </c>
      <c r="CN36" s="227">
        <v>25995</v>
      </c>
      <c r="CO36" s="227">
        <v>0</v>
      </c>
      <c r="CQ36" s="229">
        <f t="shared" si="0"/>
        <v>712335</v>
      </c>
    </row>
    <row r="37" spans="1:95" ht="15">
      <c r="A37" s="226">
        <v>302</v>
      </c>
      <c r="B37" s="226">
        <v>2060</v>
      </c>
      <c r="C37" s="226" t="s">
        <v>267</v>
      </c>
      <c r="D37" s="226" t="s">
        <v>424</v>
      </c>
      <c r="E37" s="226"/>
      <c r="F37" s="226" t="s">
        <v>420</v>
      </c>
      <c r="G37" s="226">
        <v>0</v>
      </c>
      <c r="H37" s="226">
        <v>0</v>
      </c>
      <c r="I37" s="226" t="s">
        <v>483</v>
      </c>
      <c r="J37" s="226" t="s">
        <v>482</v>
      </c>
      <c r="K37" s="226" t="s">
        <v>421</v>
      </c>
      <c r="L37" s="226" t="s">
        <v>422</v>
      </c>
      <c r="M37" s="226" t="s">
        <v>421</v>
      </c>
      <c r="N37" s="226" t="s">
        <v>423</v>
      </c>
      <c r="O37" s="226" t="s">
        <v>171</v>
      </c>
      <c r="P37" s="227">
        <v>452661</v>
      </c>
      <c r="Q37" s="227">
        <v>0</v>
      </c>
      <c r="R37" s="227">
        <v>0</v>
      </c>
      <c r="S37" s="227">
        <v>3103903.93</v>
      </c>
      <c r="T37" s="227">
        <v>0</v>
      </c>
      <c r="U37" s="227">
        <v>346454.28</v>
      </c>
      <c r="V37" s="227">
        <v>0</v>
      </c>
      <c r="W37" s="227">
        <v>183030</v>
      </c>
      <c r="X37" s="227">
        <v>97928.48</v>
      </c>
      <c r="Y37" s="227">
        <v>111940.66</v>
      </c>
      <c r="Z37" s="227">
        <v>137305.63</v>
      </c>
      <c r="AA37" s="227">
        <v>8555.76</v>
      </c>
      <c r="AB37" s="227">
        <v>1377.73</v>
      </c>
      <c r="AC37" s="227">
        <v>0</v>
      </c>
      <c r="AD37" s="227">
        <v>0</v>
      </c>
      <c r="AE37" s="227">
        <v>56640</v>
      </c>
      <c r="AF37" s="227">
        <v>14464.41</v>
      </c>
      <c r="AG37" s="227">
        <v>0</v>
      </c>
      <c r="AH37" s="227">
        <v>0</v>
      </c>
      <c r="AI37" s="227">
        <v>0</v>
      </c>
      <c r="AJ37" s="227">
        <v>1498930.13</v>
      </c>
      <c r="AK37" s="227">
        <v>0</v>
      </c>
      <c r="AL37" s="227">
        <v>1222595.95</v>
      </c>
      <c r="AM37" s="227">
        <v>68168.84</v>
      </c>
      <c r="AN37" s="227">
        <v>125104.37</v>
      </c>
      <c r="AO37" s="227">
        <v>0</v>
      </c>
      <c r="AP37" s="227">
        <v>81417.31</v>
      </c>
      <c r="AQ37" s="227">
        <v>13916.83</v>
      </c>
      <c r="AR37" s="227">
        <v>6031.19</v>
      </c>
      <c r="AS37" s="227">
        <v>713.07</v>
      </c>
      <c r="AT37" s="227">
        <v>0</v>
      </c>
      <c r="AU37" s="227">
        <v>87288.44</v>
      </c>
      <c r="AV37" s="227">
        <v>7557</v>
      </c>
      <c r="AW37" s="227">
        <v>43204.27</v>
      </c>
      <c r="AX37" s="227">
        <v>12392.91</v>
      </c>
      <c r="AY37" s="227">
        <v>96838.36</v>
      </c>
      <c r="AZ37" s="227">
        <v>129119.94</v>
      </c>
      <c r="BA37" s="227">
        <v>15718.96</v>
      </c>
      <c r="BB37" s="227">
        <v>90730</v>
      </c>
      <c r="BC37" s="227">
        <v>6251.6</v>
      </c>
      <c r="BD37" s="227">
        <v>0</v>
      </c>
      <c r="BE37" s="227">
        <v>6160.55</v>
      </c>
      <c r="BF37" s="227">
        <v>17269.759999999998</v>
      </c>
      <c r="BG37" s="227">
        <v>3110</v>
      </c>
      <c r="BH37" s="227">
        <v>2575.27</v>
      </c>
      <c r="BI37" s="227">
        <v>13775</v>
      </c>
      <c r="BJ37" s="227">
        <v>0</v>
      </c>
      <c r="BK37" s="227">
        <v>2686.82</v>
      </c>
      <c r="BL37" s="227">
        <v>20326.48</v>
      </c>
      <c r="BM37" s="227">
        <v>6858.13</v>
      </c>
      <c r="BN37" s="227">
        <v>173065.25</v>
      </c>
      <c r="BO37" s="227">
        <v>33154</v>
      </c>
      <c r="BP37" s="227">
        <v>93920.86</v>
      </c>
      <c r="BQ37" s="227">
        <v>41522.589999999997</v>
      </c>
      <c r="BR37" s="227">
        <v>0</v>
      </c>
      <c r="BS37" s="227">
        <v>0</v>
      </c>
      <c r="BT37" s="227">
        <v>0</v>
      </c>
      <c r="BU37" s="227">
        <v>0</v>
      </c>
      <c r="BV37" s="227">
        <v>0</v>
      </c>
      <c r="BW37" s="334">
        <v>9155</v>
      </c>
      <c r="BX37" s="335"/>
      <c r="BY37" s="227">
        <v>0</v>
      </c>
      <c r="BZ37" s="227">
        <v>0</v>
      </c>
      <c r="CA37" s="227">
        <v>6000</v>
      </c>
      <c r="CB37" s="227">
        <v>0</v>
      </c>
      <c r="CC37" s="227">
        <v>0</v>
      </c>
      <c r="CD37" s="227">
        <v>0</v>
      </c>
      <c r="CE37" s="227">
        <v>0</v>
      </c>
      <c r="CF37" s="227">
        <v>0</v>
      </c>
      <c r="CG37" s="227">
        <v>0</v>
      </c>
      <c r="CH37" s="227">
        <v>0</v>
      </c>
      <c r="CI37" s="227">
        <v>0</v>
      </c>
      <c r="CJ37" s="227">
        <v>16254</v>
      </c>
      <c r="CK37" s="227">
        <v>577604</v>
      </c>
      <c r="CL37" s="227">
        <v>9155</v>
      </c>
      <c r="CM37" s="227">
        <v>0</v>
      </c>
      <c r="CN37" s="227">
        <v>0</v>
      </c>
      <c r="CO37" s="227">
        <v>0</v>
      </c>
      <c r="CQ37" s="229">
        <f t="shared" si="0"/>
        <v>593858</v>
      </c>
    </row>
    <row r="38" spans="1:95" ht="15">
      <c r="A38" s="226">
        <v>302</v>
      </c>
      <c r="B38" s="226">
        <v>2067</v>
      </c>
      <c r="C38" s="226" t="s">
        <v>234</v>
      </c>
      <c r="D38" s="226" t="s">
        <v>424</v>
      </c>
      <c r="E38" s="226"/>
      <c r="F38" s="226" t="s">
        <v>420</v>
      </c>
      <c r="G38" s="226">
        <v>0</v>
      </c>
      <c r="H38" s="226">
        <v>0</v>
      </c>
      <c r="I38" s="226" t="s">
        <v>483</v>
      </c>
      <c r="J38" s="226" t="s">
        <v>482</v>
      </c>
      <c r="K38" s="226" t="s">
        <v>421</v>
      </c>
      <c r="L38" s="226" t="s">
        <v>422</v>
      </c>
      <c r="M38" s="226" t="s">
        <v>421</v>
      </c>
      <c r="N38" s="226" t="s">
        <v>423</v>
      </c>
      <c r="O38" s="226" t="s">
        <v>171</v>
      </c>
      <c r="P38" s="227">
        <v>-53354</v>
      </c>
      <c r="Q38" s="227">
        <v>0</v>
      </c>
      <c r="R38" s="227">
        <v>208</v>
      </c>
      <c r="S38" s="227">
        <v>1482218.71</v>
      </c>
      <c r="T38" s="227">
        <v>0</v>
      </c>
      <c r="U38" s="227">
        <v>442861.83</v>
      </c>
      <c r="V38" s="227">
        <v>0</v>
      </c>
      <c r="W38" s="227">
        <v>65145</v>
      </c>
      <c r="X38" s="227">
        <v>56235.03</v>
      </c>
      <c r="Y38" s="227">
        <v>52673.17</v>
      </c>
      <c r="Z38" s="227">
        <v>24650</v>
      </c>
      <c r="AA38" s="227">
        <v>31457.42</v>
      </c>
      <c r="AB38" s="227">
        <v>304.86</v>
      </c>
      <c r="AC38" s="227">
        <v>0</v>
      </c>
      <c r="AD38" s="227">
        <v>0</v>
      </c>
      <c r="AE38" s="227">
        <v>19898.349999999999</v>
      </c>
      <c r="AF38" s="227">
        <v>15516.85</v>
      </c>
      <c r="AG38" s="227">
        <v>0</v>
      </c>
      <c r="AH38" s="227">
        <v>0</v>
      </c>
      <c r="AI38" s="227">
        <v>0</v>
      </c>
      <c r="AJ38" s="227">
        <v>975606.99</v>
      </c>
      <c r="AK38" s="227">
        <v>0</v>
      </c>
      <c r="AL38" s="227">
        <v>455443.69</v>
      </c>
      <c r="AM38" s="227">
        <v>35615.519999999997</v>
      </c>
      <c r="AN38" s="227">
        <v>90351.58</v>
      </c>
      <c r="AO38" s="227">
        <v>0</v>
      </c>
      <c r="AP38" s="227">
        <v>10744.18</v>
      </c>
      <c r="AQ38" s="227">
        <v>18227.63</v>
      </c>
      <c r="AR38" s="227">
        <v>978.5</v>
      </c>
      <c r="AS38" s="227">
        <v>377.91</v>
      </c>
      <c r="AT38" s="227">
        <v>0</v>
      </c>
      <c r="AU38" s="227">
        <v>27672.79</v>
      </c>
      <c r="AV38" s="227">
        <v>7030.61</v>
      </c>
      <c r="AW38" s="227">
        <v>40594.68</v>
      </c>
      <c r="AX38" s="227">
        <v>4662.45</v>
      </c>
      <c r="AY38" s="227">
        <v>25570.35</v>
      </c>
      <c r="AZ38" s="227">
        <v>31941</v>
      </c>
      <c r="BA38" s="227">
        <v>12880.01</v>
      </c>
      <c r="BB38" s="227">
        <v>48460.35</v>
      </c>
      <c r="BC38" s="227">
        <v>10992.2</v>
      </c>
      <c r="BD38" s="227">
        <v>38.5</v>
      </c>
      <c r="BE38" s="227">
        <v>12255.38</v>
      </c>
      <c r="BF38" s="227">
        <v>720.25</v>
      </c>
      <c r="BG38" s="227">
        <v>0</v>
      </c>
      <c r="BH38" s="227">
        <v>0</v>
      </c>
      <c r="BI38" s="227">
        <v>3283.2</v>
      </c>
      <c r="BJ38" s="227">
        <v>0</v>
      </c>
      <c r="BK38" s="227">
        <v>3805.53</v>
      </c>
      <c r="BL38" s="227">
        <v>9586.98</v>
      </c>
      <c r="BM38" s="227">
        <v>7700.2</v>
      </c>
      <c r="BN38" s="227">
        <v>88273.11</v>
      </c>
      <c r="BO38" s="227">
        <v>68011.12</v>
      </c>
      <c r="BP38" s="227">
        <v>116140.87</v>
      </c>
      <c r="BQ38" s="227">
        <v>24696.639999999999</v>
      </c>
      <c r="BR38" s="227">
        <v>0</v>
      </c>
      <c r="BS38" s="227">
        <v>0</v>
      </c>
      <c r="BT38" s="227">
        <v>2240</v>
      </c>
      <c r="BU38" s="227">
        <v>0</v>
      </c>
      <c r="BV38" s="227">
        <v>0</v>
      </c>
      <c r="BW38" s="334">
        <v>6452.5</v>
      </c>
      <c r="BX38" s="335"/>
      <c r="BY38" s="227">
        <v>0</v>
      </c>
      <c r="BZ38" s="227">
        <v>2240</v>
      </c>
      <c r="CA38" s="227">
        <v>6000</v>
      </c>
      <c r="CB38" s="227">
        <v>0</v>
      </c>
      <c r="CC38" s="227">
        <v>8900.5</v>
      </c>
      <c r="CD38" s="227">
        <v>0</v>
      </c>
      <c r="CE38" s="227">
        <v>0</v>
      </c>
      <c r="CF38" s="227">
        <v>0</v>
      </c>
      <c r="CG38" s="227">
        <v>0</v>
      </c>
      <c r="CH38" s="227">
        <v>0</v>
      </c>
      <c r="CI38" s="227">
        <v>0</v>
      </c>
      <c r="CJ38" s="227">
        <v>0</v>
      </c>
      <c r="CK38" s="227">
        <v>3705</v>
      </c>
      <c r="CL38" s="227">
        <v>0</v>
      </c>
      <c r="CM38" s="227">
        <v>0</v>
      </c>
      <c r="CN38" s="227">
        <v>0</v>
      </c>
      <c r="CO38" s="227">
        <v>0</v>
      </c>
      <c r="CQ38" s="229">
        <f t="shared" si="0"/>
        <v>3705</v>
      </c>
    </row>
    <row r="39" spans="1:95" ht="15">
      <c r="A39" s="226">
        <v>302</v>
      </c>
      <c r="B39" s="226">
        <v>2069</v>
      </c>
      <c r="C39" s="226" t="s">
        <v>484</v>
      </c>
      <c r="D39" s="226" t="s">
        <v>424</v>
      </c>
      <c r="E39" s="226"/>
      <c r="F39" s="226" t="s">
        <v>420</v>
      </c>
      <c r="G39" s="226">
        <v>0</v>
      </c>
      <c r="H39" s="226">
        <v>2</v>
      </c>
      <c r="I39" s="226" t="s">
        <v>483</v>
      </c>
      <c r="J39" s="226" t="s">
        <v>482</v>
      </c>
      <c r="K39" s="226" t="s">
        <v>421</v>
      </c>
      <c r="L39" s="226" t="s">
        <v>422</v>
      </c>
      <c r="M39" s="226" t="s">
        <v>421</v>
      </c>
      <c r="N39" s="226" t="s">
        <v>423</v>
      </c>
      <c r="O39" s="226" t="s">
        <v>171</v>
      </c>
      <c r="P39" s="227">
        <v>0</v>
      </c>
      <c r="Q39" s="227">
        <v>0</v>
      </c>
      <c r="R39" s="227">
        <v>0</v>
      </c>
      <c r="S39" s="227">
        <v>929089.72</v>
      </c>
      <c r="T39" s="227">
        <v>0</v>
      </c>
      <c r="U39" s="227">
        <v>0</v>
      </c>
      <c r="V39" s="227">
        <v>0</v>
      </c>
      <c r="W39" s="227">
        <v>0</v>
      </c>
      <c r="X39" s="227">
        <v>49513.15</v>
      </c>
      <c r="Y39" s="227">
        <v>24805.119999999999</v>
      </c>
      <c r="Z39" s="227">
        <v>0</v>
      </c>
      <c r="AA39" s="227">
        <v>121390.39</v>
      </c>
      <c r="AB39" s="227">
        <v>43042.95</v>
      </c>
      <c r="AC39" s="227">
        <v>0</v>
      </c>
      <c r="AD39" s="227">
        <v>0</v>
      </c>
      <c r="AE39" s="227">
        <v>13912.16</v>
      </c>
      <c r="AF39" s="227">
        <v>580945.37</v>
      </c>
      <c r="AG39" s="227">
        <v>0</v>
      </c>
      <c r="AH39" s="227">
        <v>0</v>
      </c>
      <c r="AI39" s="227">
        <v>0</v>
      </c>
      <c r="AJ39" s="227">
        <v>508650.91</v>
      </c>
      <c r="AK39" s="227">
        <v>0</v>
      </c>
      <c r="AL39" s="227">
        <v>294642.2</v>
      </c>
      <c r="AM39" s="227">
        <v>14028</v>
      </c>
      <c r="AN39" s="227">
        <v>73917.240000000005</v>
      </c>
      <c r="AO39" s="227">
        <v>0</v>
      </c>
      <c r="AP39" s="227">
        <v>0</v>
      </c>
      <c r="AQ39" s="227">
        <v>5536.22</v>
      </c>
      <c r="AR39" s="227">
        <v>8694.7999999999993</v>
      </c>
      <c r="AS39" s="227">
        <v>0</v>
      </c>
      <c r="AT39" s="227">
        <v>0</v>
      </c>
      <c r="AU39" s="227">
        <v>9332.34</v>
      </c>
      <c r="AV39" s="227">
        <v>0</v>
      </c>
      <c r="AW39" s="227">
        <v>26937.42</v>
      </c>
      <c r="AX39" s="227">
        <v>757.5</v>
      </c>
      <c r="AY39" s="227">
        <v>14655.32</v>
      </c>
      <c r="AZ39" s="227">
        <v>0</v>
      </c>
      <c r="BA39" s="227">
        <v>71405.56</v>
      </c>
      <c r="BB39" s="227">
        <v>46369.81</v>
      </c>
      <c r="BC39" s="227">
        <v>0</v>
      </c>
      <c r="BD39" s="227">
        <v>0</v>
      </c>
      <c r="BE39" s="227">
        <v>0</v>
      </c>
      <c r="BF39" s="227">
        <v>0</v>
      </c>
      <c r="BG39" s="227">
        <v>0</v>
      </c>
      <c r="BH39" s="227">
        <v>0</v>
      </c>
      <c r="BI39" s="227">
        <v>0</v>
      </c>
      <c r="BJ39" s="227">
        <v>0</v>
      </c>
      <c r="BK39" s="227">
        <v>23435.62</v>
      </c>
      <c r="BL39" s="227">
        <v>10034.299999999999</v>
      </c>
      <c r="BM39" s="227">
        <v>15424.09</v>
      </c>
      <c r="BN39" s="227">
        <v>57448.7</v>
      </c>
      <c r="BO39" s="227">
        <v>0</v>
      </c>
      <c r="BP39" s="227">
        <v>78063.53</v>
      </c>
      <c r="BQ39" s="227">
        <v>77269.929999999993</v>
      </c>
      <c r="BR39" s="227">
        <v>0</v>
      </c>
      <c r="BS39" s="227">
        <v>0</v>
      </c>
      <c r="BT39" s="227">
        <v>0</v>
      </c>
      <c r="BU39" s="227">
        <v>0</v>
      </c>
      <c r="BV39" s="227">
        <v>0</v>
      </c>
      <c r="BW39" s="334">
        <v>0</v>
      </c>
      <c r="BX39" s="335"/>
      <c r="BY39" s="227">
        <v>0</v>
      </c>
      <c r="BZ39" s="227">
        <v>0</v>
      </c>
      <c r="CA39" s="227">
        <v>6000</v>
      </c>
      <c r="CB39" s="227">
        <v>0</v>
      </c>
      <c r="CC39" s="227">
        <v>0</v>
      </c>
      <c r="CD39" s="227">
        <v>0</v>
      </c>
      <c r="CE39" s="227">
        <v>0</v>
      </c>
      <c r="CF39" s="227">
        <v>0</v>
      </c>
      <c r="CG39" s="227">
        <v>0</v>
      </c>
      <c r="CH39" s="227">
        <v>0</v>
      </c>
      <c r="CI39" s="227">
        <v>0</v>
      </c>
      <c r="CJ39" s="227">
        <v>0</v>
      </c>
      <c r="CK39" s="227">
        <v>426095.37</v>
      </c>
      <c r="CL39" s="227">
        <v>0</v>
      </c>
      <c r="CM39" s="227">
        <v>0</v>
      </c>
      <c r="CN39" s="227">
        <v>0</v>
      </c>
      <c r="CO39" s="227">
        <v>0</v>
      </c>
      <c r="CQ39" s="229">
        <f t="shared" si="0"/>
        <v>426095.37</v>
      </c>
    </row>
    <row r="40" spans="1:95" ht="15">
      <c r="A40" s="226">
        <v>302</v>
      </c>
      <c r="B40" s="226">
        <v>2070</v>
      </c>
      <c r="C40" s="226" t="s">
        <v>260</v>
      </c>
      <c r="D40" s="226" t="s">
        <v>424</v>
      </c>
      <c r="E40" s="226"/>
      <c r="F40" s="226" t="s">
        <v>420</v>
      </c>
      <c r="G40" s="226">
        <v>0</v>
      </c>
      <c r="H40" s="226">
        <v>0</v>
      </c>
      <c r="I40" s="226" t="s">
        <v>483</v>
      </c>
      <c r="J40" s="226" t="s">
        <v>482</v>
      </c>
      <c r="K40" s="226" t="s">
        <v>421</v>
      </c>
      <c r="L40" s="226" t="s">
        <v>422</v>
      </c>
      <c r="M40" s="226" t="s">
        <v>421</v>
      </c>
      <c r="N40" s="226" t="s">
        <v>423</v>
      </c>
      <c r="O40" s="226" t="s">
        <v>171</v>
      </c>
      <c r="P40" s="227">
        <v>314707</v>
      </c>
      <c r="Q40" s="227">
        <v>0</v>
      </c>
      <c r="R40" s="227">
        <v>0</v>
      </c>
      <c r="S40" s="227">
        <v>1598831.69</v>
      </c>
      <c r="T40" s="227">
        <v>0</v>
      </c>
      <c r="U40" s="227">
        <v>153057.70000000001</v>
      </c>
      <c r="V40" s="227">
        <v>0</v>
      </c>
      <c r="W40" s="227">
        <v>96960</v>
      </c>
      <c r="X40" s="227">
        <v>38649.699999999997</v>
      </c>
      <c r="Y40" s="227">
        <v>39086.65</v>
      </c>
      <c r="Z40" s="227">
        <v>16438</v>
      </c>
      <c r="AA40" s="227">
        <v>29940.46</v>
      </c>
      <c r="AB40" s="227">
        <v>4558.68</v>
      </c>
      <c r="AC40" s="227">
        <v>0</v>
      </c>
      <c r="AD40" s="227">
        <v>0</v>
      </c>
      <c r="AE40" s="227">
        <v>30357.78</v>
      </c>
      <c r="AF40" s="227">
        <v>15106.26</v>
      </c>
      <c r="AG40" s="227">
        <v>0</v>
      </c>
      <c r="AH40" s="227">
        <v>0</v>
      </c>
      <c r="AI40" s="227">
        <v>0</v>
      </c>
      <c r="AJ40" s="227">
        <v>1032693.16</v>
      </c>
      <c r="AK40" s="227">
        <v>0</v>
      </c>
      <c r="AL40" s="227">
        <v>342556.69</v>
      </c>
      <c r="AM40" s="227">
        <v>71519.929999999993</v>
      </c>
      <c r="AN40" s="227">
        <v>135894.82</v>
      </c>
      <c r="AO40" s="227">
        <v>0</v>
      </c>
      <c r="AP40" s="227">
        <v>46429.2</v>
      </c>
      <c r="AQ40" s="227">
        <v>9908.77</v>
      </c>
      <c r="AR40" s="227">
        <v>6241.85</v>
      </c>
      <c r="AS40" s="227">
        <v>353.97</v>
      </c>
      <c r="AT40" s="227">
        <v>0</v>
      </c>
      <c r="AU40" s="227">
        <v>27853.86</v>
      </c>
      <c r="AV40" s="227">
        <v>5579.62</v>
      </c>
      <c r="AW40" s="227">
        <v>5246.93</v>
      </c>
      <c r="AX40" s="227">
        <v>7768.41</v>
      </c>
      <c r="AY40" s="227">
        <v>16234.48</v>
      </c>
      <c r="AZ40" s="227">
        <v>26625.74</v>
      </c>
      <c r="BA40" s="227">
        <v>12283.26</v>
      </c>
      <c r="BB40" s="227">
        <v>68943.72</v>
      </c>
      <c r="BC40" s="227">
        <v>5678.65</v>
      </c>
      <c r="BD40" s="227">
        <v>0</v>
      </c>
      <c r="BE40" s="227">
        <v>10415.15</v>
      </c>
      <c r="BF40" s="227">
        <v>8286.84</v>
      </c>
      <c r="BG40" s="227">
        <v>5160.45</v>
      </c>
      <c r="BH40" s="227">
        <v>1023.25</v>
      </c>
      <c r="BI40" s="227">
        <v>6753.52</v>
      </c>
      <c r="BJ40" s="227">
        <v>0</v>
      </c>
      <c r="BK40" s="227">
        <v>8443.0400000000009</v>
      </c>
      <c r="BL40" s="227">
        <v>6352.52</v>
      </c>
      <c r="BM40" s="227">
        <v>10039.629999999999</v>
      </c>
      <c r="BN40" s="227">
        <v>94639.4</v>
      </c>
      <c r="BO40" s="227">
        <v>33659.15</v>
      </c>
      <c r="BP40" s="227">
        <v>32618.19</v>
      </c>
      <c r="BQ40" s="227">
        <v>18373.72</v>
      </c>
      <c r="BR40" s="227">
        <v>0</v>
      </c>
      <c r="BS40" s="227">
        <v>0</v>
      </c>
      <c r="BT40" s="227">
        <v>17102</v>
      </c>
      <c r="BU40" s="227">
        <v>0</v>
      </c>
      <c r="BV40" s="227">
        <v>0</v>
      </c>
      <c r="BW40" s="334">
        <v>6686.5</v>
      </c>
      <c r="BX40" s="335"/>
      <c r="BY40" s="227">
        <v>0</v>
      </c>
      <c r="BZ40" s="227">
        <v>17102</v>
      </c>
      <c r="CA40" s="227">
        <v>6000</v>
      </c>
      <c r="CB40" s="227">
        <v>0</v>
      </c>
      <c r="CC40" s="227">
        <v>17556</v>
      </c>
      <c r="CD40" s="227">
        <v>6231.5</v>
      </c>
      <c r="CE40" s="227">
        <v>0</v>
      </c>
      <c r="CF40" s="227">
        <v>0</v>
      </c>
      <c r="CG40" s="227">
        <v>0</v>
      </c>
      <c r="CH40" s="227">
        <v>0</v>
      </c>
      <c r="CI40" s="227">
        <v>0</v>
      </c>
      <c r="CJ40" s="227">
        <v>4611</v>
      </c>
      <c r="CK40" s="227">
        <v>258403</v>
      </c>
      <c r="CL40" s="227">
        <v>1</v>
      </c>
      <c r="CM40" s="227">
        <v>0</v>
      </c>
      <c r="CN40" s="227">
        <v>0</v>
      </c>
      <c r="CO40" s="227">
        <v>0</v>
      </c>
      <c r="CQ40" s="229">
        <f t="shared" si="0"/>
        <v>263014</v>
      </c>
    </row>
    <row r="41" spans="1:95" ht="15">
      <c r="A41" s="226">
        <v>302</v>
      </c>
      <c r="B41" s="226">
        <v>2072</v>
      </c>
      <c r="C41" s="226" t="s">
        <v>80</v>
      </c>
      <c r="D41" s="226" t="s">
        <v>418</v>
      </c>
      <c r="E41" s="226" t="s">
        <v>425</v>
      </c>
      <c r="F41" s="226" t="s">
        <v>420</v>
      </c>
      <c r="G41" s="226">
        <v>0</v>
      </c>
      <c r="H41" s="226">
        <v>3</v>
      </c>
      <c r="I41" s="226" t="s">
        <v>483</v>
      </c>
      <c r="J41" s="226" t="s">
        <v>482</v>
      </c>
      <c r="K41" s="226" t="s">
        <v>421</v>
      </c>
      <c r="L41" s="226" t="s">
        <v>422</v>
      </c>
      <c r="M41" s="226" t="s">
        <v>421</v>
      </c>
      <c r="N41" s="226" t="s">
        <v>423</v>
      </c>
      <c r="O41" s="226" t="s">
        <v>171</v>
      </c>
      <c r="P41" s="227">
        <v>143132</v>
      </c>
      <c r="Q41" s="227">
        <v>0</v>
      </c>
      <c r="R41" s="227">
        <v>0</v>
      </c>
      <c r="S41" s="227">
        <v>3299286.3</v>
      </c>
      <c r="T41" s="227">
        <v>0</v>
      </c>
      <c r="U41" s="227">
        <v>929937.96</v>
      </c>
      <c r="V41" s="227">
        <v>0</v>
      </c>
      <c r="W41" s="227">
        <v>195316.24</v>
      </c>
      <c r="X41" s="227">
        <v>93310.31</v>
      </c>
      <c r="Y41" s="227">
        <v>84768.37</v>
      </c>
      <c r="Z41" s="227">
        <v>10567.53</v>
      </c>
      <c r="AA41" s="227">
        <v>127729.65</v>
      </c>
      <c r="AB41" s="227">
        <v>7284.84</v>
      </c>
      <c r="AC41" s="227">
        <v>0</v>
      </c>
      <c r="AD41" s="227">
        <v>0</v>
      </c>
      <c r="AE41" s="227">
        <v>42170.35</v>
      </c>
      <c r="AF41" s="227">
        <v>11979.77</v>
      </c>
      <c r="AG41" s="227">
        <v>0</v>
      </c>
      <c r="AH41" s="227">
        <v>0</v>
      </c>
      <c r="AI41" s="227">
        <v>0</v>
      </c>
      <c r="AJ41" s="227">
        <v>1985552.75</v>
      </c>
      <c r="AK41" s="227">
        <v>0</v>
      </c>
      <c r="AL41" s="227">
        <v>1526653.85</v>
      </c>
      <c r="AM41" s="227">
        <v>71844.710000000006</v>
      </c>
      <c r="AN41" s="227">
        <v>176373.48</v>
      </c>
      <c r="AO41" s="227">
        <v>0</v>
      </c>
      <c r="AP41" s="227">
        <v>77533.52</v>
      </c>
      <c r="AQ41" s="227">
        <v>19518.669999999998</v>
      </c>
      <c r="AR41" s="227">
        <v>4209.1400000000003</v>
      </c>
      <c r="AS41" s="227">
        <v>706.23</v>
      </c>
      <c r="AT41" s="227">
        <v>0</v>
      </c>
      <c r="AU41" s="227">
        <v>46907.79</v>
      </c>
      <c r="AV41" s="227">
        <v>11437.2</v>
      </c>
      <c r="AW41" s="227">
        <v>77385.31</v>
      </c>
      <c r="AX41" s="227">
        <v>-3528.97</v>
      </c>
      <c r="AY41" s="227">
        <v>63643.199999999997</v>
      </c>
      <c r="AZ41" s="227">
        <v>49153.66</v>
      </c>
      <c r="BA41" s="227">
        <v>24456.93</v>
      </c>
      <c r="BB41" s="227">
        <v>115646.62</v>
      </c>
      <c r="BC41" s="227">
        <v>7490</v>
      </c>
      <c r="BD41" s="227">
        <v>0</v>
      </c>
      <c r="BE41" s="227">
        <v>8623.5</v>
      </c>
      <c r="BF41" s="227">
        <v>23456.05</v>
      </c>
      <c r="BG41" s="227">
        <v>5855.09</v>
      </c>
      <c r="BH41" s="227">
        <v>728.27</v>
      </c>
      <c r="BI41" s="227">
        <v>10688.64</v>
      </c>
      <c r="BJ41" s="227">
        <v>0</v>
      </c>
      <c r="BK41" s="227">
        <v>7535.67</v>
      </c>
      <c r="BL41" s="227">
        <v>18482.939999999999</v>
      </c>
      <c r="BM41" s="227">
        <v>11516.11</v>
      </c>
      <c r="BN41" s="227">
        <v>170993.89</v>
      </c>
      <c r="BO41" s="227">
        <v>56632.39</v>
      </c>
      <c r="BP41" s="227">
        <v>414300.04</v>
      </c>
      <c r="BQ41" s="227">
        <v>24414.16</v>
      </c>
      <c r="BR41" s="227">
        <v>0</v>
      </c>
      <c r="BS41" s="227">
        <v>0</v>
      </c>
      <c r="BT41" s="227">
        <v>19531.48</v>
      </c>
      <c r="BU41" s="227">
        <v>0</v>
      </c>
      <c r="BV41" s="227">
        <v>0</v>
      </c>
      <c r="BW41" s="334">
        <v>13031</v>
      </c>
      <c r="BX41" s="335"/>
      <c r="BY41" s="227">
        <v>0</v>
      </c>
      <c r="BZ41" s="227">
        <v>19531.48</v>
      </c>
      <c r="CA41" s="227">
        <v>6000</v>
      </c>
      <c r="CB41" s="227">
        <v>0</v>
      </c>
      <c r="CC41" s="227">
        <v>19764.48</v>
      </c>
      <c r="CD41" s="227">
        <v>12798</v>
      </c>
      <c r="CE41" s="227">
        <v>0</v>
      </c>
      <c r="CF41" s="227">
        <v>0</v>
      </c>
      <c r="CG41" s="227">
        <v>0</v>
      </c>
      <c r="CH41" s="227">
        <v>0</v>
      </c>
      <c r="CI41" s="227">
        <v>0</v>
      </c>
      <c r="CJ41" s="227">
        <v>0</v>
      </c>
      <c r="CK41" s="227">
        <v>-82259</v>
      </c>
      <c r="CL41" s="227">
        <v>0</v>
      </c>
      <c r="CM41" s="227">
        <v>0</v>
      </c>
      <c r="CN41" s="227">
        <v>0</v>
      </c>
      <c r="CO41" s="227">
        <v>0</v>
      </c>
      <c r="CQ41" s="229">
        <f t="shared" si="0"/>
        <v>-82259</v>
      </c>
    </row>
    <row r="42" spans="1:95" ht="15">
      <c r="A42" s="226">
        <v>302</v>
      </c>
      <c r="B42" s="226">
        <v>2073</v>
      </c>
      <c r="C42" s="226" t="s">
        <v>240</v>
      </c>
      <c r="D42" s="226" t="s">
        <v>424</v>
      </c>
      <c r="E42" s="226"/>
      <c r="F42" s="226" t="s">
        <v>420</v>
      </c>
      <c r="G42" s="226">
        <v>0</v>
      </c>
      <c r="H42" s="226">
        <v>1</v>
      </c>
      <c r="I42" s="226" t="s">
        <v>483</v>
      </c>
      <c r="J42" s="226" t="s">
        <v>482</v>
      </c>
      <c r="K42" s="226" t="s">
        <v>421</v>
      </c>
      <c r="L42" s="226" t="s">
        <v>422</v>
      </c>
      <c r="M42" s="226" t="s">
        <v>421</v>
      </c>
      <c r="N42" s="226" t="s">
        <v>423</v>
      </c>
      <c r="O42" s="226" t="s">
        <v>171</v>
      </c>
      <c r="P42" s="227">
        <v>42938</v>
      </c>
      <c r="Q42" s="227">
        <v>0</v>
      </c>
      <c r="R42" s="227">
        <v>0</v>
      </c>
      <c r="S42" s="227">
        <v>3861497.56</v>
      </c>
      <c r="T42" s="227">
        <v>0</v>
      </c>
      <c r="U42" s="227">
        <v>326626.52</v>
      </c>
      <c r="V42" s="227">
        <v>0</v>
      </c>
      <c r="W42" s="227">
        <v>329541</v>
      </c>
      <c r="X42" s="227">
        <v>74440.899999999994</v>
      </c>
      <c r="Y42" s="227">
        <v>130999.73</v>
      </c>
      <c r="Z42" s="227">
        <v>28175.05</v>
      </c>
      <c r="AA42" s="227">
        <v>146774.93</v>
      </c>
      <c r="AB42" s="227">
        <v>2436.1799999999998</v>
      </c>
      <c r="AC42" s="227">
        <v>0</v>
      </c>
      <c r="AD42" s="227">
        <v>0</v>
      </c>
      <c r="AE42" s="227">
        <v>25480.9</v>
      </c>
      <c r="AF42" s="227">
        <v>9356</v>
      </c>
      <c r="AG42" s="227">
        <v>0</v>
      </c>
      <c r="AH42" s="227">
        <v>0</v>
      </c>
      <c r="AI42" s="227">
        <v>0</v>
      </c>
      <c r="AJ42" s="227">
        <v>2021304.49</v>
      </c>
      <c r="AK42" s="227">
        <v>0</v>
      </c>
      <c r="AL42" s="227">
        <v>1296494.31</v>
      </c>
      <c r="AM42" s="227">
        <v>197309.75</v>
      </c>
      <c r="AN42" s="227">
        <v>243957.58</v>
      </c>
      <c r="AO42" s="227">
        <v>0</v>
      </c>
      <c r="AP42" s="227">
        <v>245498.01</v>
      </c>
      <c r="AQ42" s="227">
        <v>22239.9</v>
      </c>
      <c r="AR42" s="227">
        <v>8647.48</v>
      </c>
      <c r="AS42" s="227">
        <v>1068.75</v>
      </c>
      <c r="AT42" s="227">
        <v>0</v>
      </c>
      <c r="AU42" s="227">
        <v>41799.599999999999</v>
      </c>
      <c r="AV42" s="227">
        <v>19701.12</v>
      </c>
      <c r="AW42" s="227">
        <v>17204.669999999998</v>
      </c>
      <c r="AX42" s="227">
        <v>9790.85</v>
      </c>
      <c r="AY42" s="227">
        <v>52916.76</v>
      </c>
      <c r="AZ42" s="227">
        <v>77119.070000000007</v>
      </c>
      <c r="BA42" s="227">
        <v>35770.720000000001</v>
      </c>
      <c r="BB42" s="227">
        <v>83052.59</v>
      </c>
      <c r="BC42" s="227">
        <v>17521.580000000002</v>
      </c>
      <c r="BD42" s="227">
        <v>0</v>
      </c>
      <c r="BE42" s="227">
        <v>8173.39</v>
      </c>
      <c r="BF42" s="227">
        <v>21440.29</v>
      </c>
      <c r="BG42" s="227">
        <v>0</v>
      </c>
      <c r="BH42" s="227">
        <v>11284.87</v>
      </c>
      <c r="BI42" s="227">
        <v>15129.58</v>
      </c>
      <c r="BJ42" s="227">
        <v>0</v>
      </c>
      <c r="BK42" s="227">
        <v>14057.24</v>
      </c>
      <c r="BL42" s="227">
        <v>31527.24</v>
      </c>
      <c r="BM42" s="227">
        <v>14749.1</v>
      </c>
      <c r="BN42" s="227">
        <v>280497.69</v>
      </c>
      <c r="BO42" s="227">
        <v>175485.17</v>
      </c>
      <c r="BP42" s="227">
        <v>241113.75</v>
      </c>
      <c r="BQ42" s="227">
        <v>41089.22</v>
      </c>
      <c r="BR42" s="227">
        <v>0</v>
      </c>
      <c r="BS42" s="227">
        <v>0</v>
      </c>
      <c r="BT42" s="227">
        <v>0</v>
      </c>
      <c r="BU42" s="227">
        <v>0</v>
      </c>
      <c r="BV42" s="227">
        <v>0</v>
      </c>
      <c r="BW42" s="334">
        <v>11746.51</v>
      </c>
      <c r="BX42" s="335"/>
      <c r="BY42" s="227">
        <v>0</v>
      </c>
      <c r="BZ42" s="227">
        <v>0</v>
      </c>
      <c r="CA42" s="227">
        <v>6000</v>
      </c>
      <c r="CB42" s="227">
        <v>0</v>
      </c>
      <c r="CC42" s="227">
        <v>9267.51</v>
      </c>
      <c r="CD42" s="227">
        <v>0</v>
      </c>
      <c r="CE42" s="227">
        <v>0</v>
      </c>
      <c r="CF42" s="227">
        <v>0</v>
      </c>
      <c r="CG42" s="227">
        <v>0</v>
      </c>
      <c r="CH42" s="227">
        <v>0</v>
      </c>
      <c r="CI42" s="227">
        <v>0</v>
      </c>
      <c r="CJ42" s="227">
        <v>0</v>
      </c>
      <c r="CK42" s="227">
        <v>-267678</v>
      </c>
      <c r="CL42" s="227">
        <v>2479</v>
      </c>
      <c r="CM42" s="227">
        <v>0</v>
      </c>
      <c r="CN42" s="227">
        <v>0</v>
      </c>
      <c r="CO42" s="227">
        <v>0</v>
      </c>
      <c r="CQ42" s="229">
        <f t="shared" si="0"/>
        <v>-267678</v>
      </c>
    </row>
    <row r="43" spans="1:95" ht="15">
      <c r="A43" s="226">
        <v>302</v>
      </c>
      <c r="B43" s="226">
        <v>2076</v>
      </c>
      <c r="C43" s="226" t="s">
        <v>312</v>
      </c>
      <c r="D43" s="226" t="s">
        <v>424</v>
      </c>
      <c r="E43" s="226"/>
      <c r="F43" s="226" t="s">
        <v>420</v>
      </c>
      <c r="G43" s="226">
        <v>0</v>
      </c>
      <c r="H43" s="226">
        <v>0</v>
      </c>
      <c r="I43" s="226" t="s">
        <v>483</v>
      </c>
      <c r="J43" s="226" t="s">
        <v>482</v>
      </c>
      <c r="K43" s="226" t="s">
        <v>421</v>
      </c>
      <c r="L43" s="226" t="s">
        <v>422</v>
      </c>
      <c r="M43" s="226" t="s">
        <v>421</v>
      </c>
      <c r="N43" s="226" t="s">
        <v>423</v>
      </c>
      <c r="O43" s="226" t="s">
        <v>171</v>
      </c>
      <c r="P43" s="227">
        <v>118605</v>
      </c>
      <c r="Q43" s="227">
        <v>0</v>
      </c>
      <c r="R43" s="227">
        <v>1.4</v>
      </c>
      <c r="S43" s="227">
        <v>1717542.45</v>
      </c>
      <c r="T43" s="227">
        <v>0</v>
      </c>
      <c r="U43" s="227">
        <v>192404.03</v>
      </c>
      <c r="V43" s="227">
        <v>0</v>
      </c>
      <c r="W43" s="227">
        <v>121200</v>
      </c>
      <c r="X43" s="227">
        <v>53278.06</v>
      </c>
      <c r="Y43" s="227">
        <v>54132.88</v>
      </c>
      <c r="Z43" s="227">
        <v>117872.25</v>
      </c>
      <c r="AA43" s="227">
        <v>22725.25</v>
      </c>
      <c r="AB43" s="227">
        <v>628.96</v>
      </c>
      <c r="AC43" s="227">
        <v>0</v>
      </c>
      <c r="AD43" s="227">
        <v>3595</v>
      </c>
      <c r="AE43" s="227">
        <v>4007.7</v>
      </c>
      <c r="AF43" s="227">
        <v>14230.42</v>
      </c>
      <c r="AG43" s="227">
        <v>0</v>
      </c>
      <c r="AH43" s="227">
        <v>0</v>
      </c>
      <c r="AI43" s="227">
        <v>0</v>
      </c>
      <c r="AJ43" s="227">
        <v>886179.19</v>
      </c>
      <c r="AK43" s="227">
        <v>0</v>
      </c>
      <c r="AL43" s="227">
        <v>434004.04</v>
      </c>
      <c r="AM43" s="227">
        <v>18556.599999999999</v>
      </c>
      <c r="AN43" s="227">
        <v>163848.01</v>
      </c>
      <c r="AO43" s="227">
        <v>0</v>
      </c>
      <c r="AP43" s="227">
        <v>34547.519999999997</v>
      </c>
      <c r="AQ43" s="227">
        <v>38728.99</v>
      </c>
      <c r="AR43" s="227">
        <v>2270.75</v>
      </c>
      <c r="AS43" s="227">
        <v>395.01</v>
      </c>
      <c r="AT43" s="227">
        <v>0</v>
      </c>
      <c r="AU43" s="227">
        <v>53559.53</v>
      </c>
      <c r="AV43" s="227">
        <v>369.89</v>
      </c>
      <c r="AW43" s="227">
        <v>92164.92</v>
      </c>
      <c r="AX43" s="227">
        <v>23965.72</v>
      </c>
      <c r="AY43" s="227">
        <v>66374.960000000006</v>
      </c>
      <c r="AZ43" s="227">
        <v>41678.49</v>
      </c>
      <c r="BA43" s="227">
        <v>13302.41</v>
      </c>
      <c r="BB43" s="227">
        <v>30470.23</v>
      </c>
      <c r="BC43" s="227">
        <v>6695</v>
      </c>
      <c r="BD43" s="227">
        <v>0</v>
      </c>
      <c r="BE43" s="227">
        <v>5448.39</v>
      </c>
      <c r="BF43" s="227">
        <v>10270.02</v>
      </c>
      <c r="BG43" s="227">
        <v>4864.08</v>
      </c>
      <c r="BH43" s="227">
        <v>715.57</v>
      </c>
      <c r="BI43" s="227">
        <v>14011.07</v>
      </c>
      <c r="BJ43" s="227">
        <v>0</v>
      </c>
      <c r="BK43" s="227">
        <v>3573.53</v>
      </c>
      <c r="BL43" s="227">
        <v>10196.280000000001</v>
      </c>
      <c r="BM43" s="227">
        <v>7294.84</v>
      </c>
      <c r="BN43" s="227">
        <v>93811.77</v>
      </c>
      <c r="BO43" s="227">
        <v>71617.679999999993</v>
      </c>
      <c r="BP43" s="227">
        <v>207902.29</v>
      </c>
      <c r="BQ43" s="227">
        <v>64137.22</v>
      </c>
      <c r="BR43" s="227">
        <v>0</v>
      </c>
      <c r="BS43" s="227">
        <v>0</v>
      </c>
      <c r="BT43" s="227">
        <v>8134</v>
      </c>
      <c r="BU43" s="227">
        <v>0</v>
      </c>
      <c r="BV43" s="227">
        <v>0</v>
      </c>
      <c r="BW43" s="334">
        <v>7136.5</v>
      </c>
      <c r="BX43" s="335"/>
      <c r="BY43" s="227">
        <v>0</v>
      </c>
      <c r="BZ43" s="227">
        <v>8134</v>
      </c>
      <c r="CA43" s="227">
        <v>6000</v>
      </c>
      <c r="CB43" s="227">
        <v>0</v>
      </c>
      <c r="CC43" s="227">
        <v>0</v>
      </c>
      <c r="CD43" s="227">
        <v>0</v>
      </c>
      <c r="CE43" s="227">
        <v>8799.9</v>
      </c>
      <c r="CF43" s="227">
        <v>0</v>
      </c>
      <c r="CG43" s="227">
        <v>0</v>
      </c>
      <c r="CH43" s="227">
        <v>6470</v>
      </c>
      <c r="CI43" s="227">
        <v>0</v>
      </c>
      <c r="CJ43" s="227">
        <v>1852</v>
      </c>
      <c r="CK43" s="227">
        <v>9282</v>
      </c>
      <c r="CL43" s="227">
        <v>2</v>
      </c>
      <c r="CM43" s="227">
        <v>0</v>
      </c>
      <c r="CN43" s="227">
        <v>0</v>
      </c>
      <c r="CO43" s="227">
        <v>0</v>
      </c>
      <c r="CQ43" s="229">
        <f t="shared" si="0"/>
        <v>11134</v>
      </c>
    </row>
    <row r="44" spans="1:95" ht="15">
      <c r="A44" s="226">
        <v>302</v>
      </c>
      <c r="B44" s="226">
        <v>2077</v>
      </c>
      <c r="C44" s="226" t="s">
        <v>263</v>
      </c>
      <c r="D44" s="226" t="s">
        <v>424</v>
      </c>
      <c r="E44" s="226"/>
      <c r="F44" s="226" t="s">
        <v>420</v>
      </c>
      <c r="G44" s="226">
        <v>0</v>
      </c>
      <c r="H44" s="226">
        <v>1</v>
      </c>
      <c r="I44" s="226" t="s">
        <v>483</v>
      </c>
      <c r="J44" s="226" t="s">
        <v>482</v>
      </c>
      <c r="K44" s="226" t="s">
        <v>421</v>
      </c>
      <c r="L44" s="226" t="s">
        <v>422</v>
      </c>
      <c r="M44" s="226" t="s">
        <v>421</v>
      </c>
      <c r="N44" s="226" t="s">
        <v>423</v>
      </c>
      <c r="O44" s="226" t="s">
        <v>171</v>
      </c>
      <c r="P44" s="227">
        <v>-1155970</v>
      </c>
      <c r="Q44" s="227">
        <v>0</v>
      </c>
      <c r="R44" s="227">
        <v>4432</v>
      </c>
      <c r="S44" s="227">
        <v>6499087.1399999997</v>
      </c>
      <c r="T44" s="227">
        <v>0</v>
      </c>
      <c r="U44" s="227">
        <v>900099.56</v>
      </c>
      <c r="V44" s="227">
        <v>0</v>
      </c>
      <c r="W44" s="227">
        <v>606390</v>
      </c>
      <c r="X44" s="227">
        <v>206174.14</v>
      </c>
      <c r="Y44" s="227">
        <v>208357.26</v>
      </c>
      <c r="Z44" s="227">
        <v>2700</v>
      </c>
      <c r="AA44" s="227">
        <v>239225.86</v>
      </c>
      <c r="AB44" s="227">
        <v>17265.75</v>
      </c>
      <c r="AC44" s="227">
        <v>0</v>
      </c>
      <c r="AD44" s="227">
        <v>0</v>
      </c>
      <c r="AE44" s="227">
        <v>86143.360000000001</v>
      </c>
      <c r="AF44" s="227">
        <v>44104.5</v>
      </c>
      <c r="AG44" s="227">
        <v>0</v>
      </c>
      <c r="AH44" s="227">
        <v>0</v>
      </c>
      <c r="AI44" s="227">
        <v>0</v>
      </c>
      <c r="AJ44" s="227">
        <v>3690918.39</v>
      </c>
      <c r="AK44" s="227">
        <v>0</v>
      </c>
      <c r="AL44" s="227">
        <v>2047006.82</v>
      </c>
      <c r="AM44" s="227">
        <v>358459.22</v>
      </c>
      <c r="AN44" s="227">
        <v>296275.07</v>
      </c>
      <c r="AO44" s="227">
        <v>154179.46</v>
      </c>
      <c r="AP44" s="227">
        <v>481896.87</v>
      </c>
      <c r="AQ44" s="227">
        <v>36002.160000000003</v>
      </c>
      <c r="AR44" s="227">
        <v>7099.5</v>
      </c>
      <c r="AS44" s="227">
        <v>1441.53</v>
      </c>
      <c r="AT44" s="227">
        <v>0</v>
      </c>
      <c r="AU44" s="227">
        <v>66040.740000000005</v>
      </c>
      <c r="AV44" s="227">
        <v>21646.34</v>
      </c>
      <c r="AW44" s="227">
        <v>13856.6</v>
      </c>
      <c r="AX44" s="227">
        <v>39704.1</v>
      </c>
      <c r="AY44" s="227">
        <v>142854.57</v>
      </c>
      <c r="AZ44" s="227">
        <v>40048.14</v>
      </c>
      <c r="BA44" s="227">
        <v>53547.05</v>
      </c>
      <c r="BB44" s="227">
        <v>261838.58</v>
      </c>
      <c r="BC44" s="227">
        <v>39078.730000000003</v>
      </c>
      <c r="BD44" s="227">
        <v>0</v>
      </c>
      <c r="BE44" s="227">
        <v>0</v>
      </c>
      <c r="BF44" s="227">
        <v>0</v>
      </c>
      <c r="BG44" s="227">
        <v>0</v>
      </c>
      <c r="BH44" s="227">
        <v>0</v>
      </c>
      <c r="BI44" s="227">
        <v>0</v>
      </c>
      <c r="BJ44" s="227">
        <v>0</v>
      </c>
      <c r="BK44" s="227">
        <v>78301.789999999994</v>
      </c>
      <c r="BL44" s="227">
        <v>40436.57</v>
      </c>
      <c r="BM44" s="227">
        <v>71772.19</v>
      </c>
      <c r="BN44" s="227">
        <v>284203.49</v>
      </c>
      <c r="BO44" s="227">
        <v>104895.55</v>
      </c>
      <c r="BP44" s="227">
        <v>324759.38</v>
      </c>
      <c r="BQ44" s="227">
        <v>93056.95</v>
      </c>
      <c r="BR44" s="227">
        <v>0</v>
      </c>
      <c r="BS44" s="227">
        <v>0</v>
      </c>
      <c r="BT44" s="227">
        <v>0</v>
      </c>
      <c r="BU44" s="227">
        <v>0</v>
      </c>
      <c r="BV44" s="227">
        <v>0</v>
      </c>
      <c r="BW44" s="334">
        <v>14404</v>
      </c>
      <c r="BX44" s="335"/>
      <c r="BY44" s="227">
        <v>0</v>
      </c>
      <c r="BZ44" s="227">
        <v>0</v>
      </c>
      <c r="CA44" s="227">
        <v>6000</v>
      </c>
      <c r="CB44" s="227">
        <v>0</v>
      </c>
      <c r="CC44" s="227">
        <v>0</v>
      </c>
      <c r="CD44" s="227">
        <v>0</v>
      </c>
      <c r="CE44" s="227">
        <v>12005</v>
      </c>
      <c r="CF44" s="227">
        <v>0</v>
      </c>
      <c r="CG44" s="227">
        <v>0</v>
      </c>
      <c r="CH44" s="227">
        <v>0</v>
      </c>
      <c r="CI44" s="227">
        <v>0</v>
      </c>
      <c r="CJ44" s="227">
        <v>0</v>
      </c>
      <c r="CK44" s="227">
        <v>-1095742.22</v>
      </c>
      <c r="CL44" s="227">
        <v>6831</v>
      </c>
      <c r="CM44" s="227">
        <v>0</v>
      </c>
      <c r="CN44" s="227">
        <v>0</v>
      </c>
      <c r="CO44" s="227">
        <v>0</v>
      </c>
      <c r="CQ44" s="229">
        <f t="shared" si="0"/>
        <v>-1095742.22</v>
      </c>
    </row>
    <row r="45" spans="1:95" ht="15">
      <c r="A45" s="226">
        <v>302</v>
      </c>
      <c r="B45" s="226">
        <v>2078</v>
      </c>
      <c r="C45" s="226" t="s">
        <v>253</v>
      </c>
      <c r="D45" s="226" t="s">
        <v>424</v>
      </c>
      <c r="E45" s="226"/>
      <c r="F45" s="226" t="s">
        <v>420</v>
      </c>
      <c r="G45" s="226">
        <v>0</v>
      </c>
      <c r="H45" s="226">
        <v>1</v>
      </c>
      <c r="I45" s="226" t="s">
        <v>483</v>
      </c>
      <c r="J45" s="226" t="s">
        <v>482</v>
      </c>
      <c r="K45" s="226" t="s">
        <v>421</v>
      </c>
      <c r="L45" s="226" t="s">
        <v>422</v>
      </c>
      <c r="M45" s="226" t="s">
        <v>421</v>
      </c>
      <c r="N45" s="226" t="s">
        <v>423</v>
      </c>
      <c r="O45" s="226" t="s">
        <v>171</v>
      </c>
      <c r="P45" s="227">
        <v>-191311</v>
      </c>
      <c r="Q45" s="227">
        <v>0</v>
      </c>
      <c r="R45" s="227">
        <v>1378</v>
      </c>
      <c r="S45" s="227">
        <v>1874777.5</v>
      </c>
      <c r="T45" s="227">
        <v>0</v>
      </c>
      <c r="U45" s="227">
        <v>75380.73</v>
      </c>
      <c r="V45" s="227">
        <v>0</v>
      </c>
      <c r="W45" s="227">
        <v>19695</v>
      </c>
      <c r="X45" s="227">
        <v>136423.47</v>
      </c>
      <c r="Y45" s="227">
        <v>138394.18</v>
      </c>
      <c r="Z45" s="227">
        <v>12822.5</v>
      </c>
      <c r="AA45" s="227">
        <v>0</v>
      </c>
      <c r="AB45" s="227">
        <v>50908.76</v>
      </c>
      <c r="AC45" s="227">
        <v>5000</v>
      </c>
      <c r="AD45" s="227">
        <v>2275.1999999999998</v>
      </c>
      <c r="AE45" s="227">
        <v>20535.55</v>
      </c>
      <c r="AF45" s="227">
        <v>286054.53999999998</v>
      </c>
      <c r="AG45" s="227">
        <v>0</v>
      </c>
      <c r="AH45" s="227">
        <v>0</v>
      </c>
      <c r="AI45" s="227">
        <v>0</v>
      </c>
      <c r="AJ45" s="227">
        <v>1256142.81</v>
      </c>
      <c r="AK45" s="227">
        <v>0</v>
      </c>
      <c r="AL45" s="227">
        <v>329613.67</v>
      </c>
      <c r="AM45" s="227">
        <v>37460.65</v>
      </c>
      <c r="AN45" s="227">
        <v>196363.13</v>
      </c>
      <c r="AO45" s="227">
        <v>0</v>
      </c>
      <c r="AP45" s="227">
        <v>36934.1</v>
      </c>
      <c r="AQ45" s="227">
        <v>7008.14</v>
      </c>
      <c r="AR45" s="227">
        <v>3818.47</v>
      </c>
      <c r="AS45" s="227">
        <v>10388.780000000001</v>
      </c>
      <c r="AT45" s="227">
        <v>0</v>
      </c>
      <c r="AU45" s="227">
        <v>30543.47</v>
      </c>
      <c r="AV45" s="227">
        <v>0</v>
      </c>
      <c r="AW45" s="227">
        <v>50139.57</v>
      </c>
      <c r="AX45" s="227">
        <v>3744.47</v>
      </c>
      <c r="AY45" s="227">
        <v>43938.57</v>
      </c>
      <c r="AZ45" s="227">
        <v>21785.4</v>
      </c>
      <c r="BA45" s="227">
        <v>84509.6</v>
      </c>
      <c r="BB45" s="227">
        <v>101651.76</v>
      </c>
      <c r="BC45" s="227">
        <v>0</v>
      </c>
      <c r="BD45" s="227">
        <v>6922.07</v>
      </c>
      <c r="BE45" s="227">
        <v>0</v>
      </c>
      <c r="BF45" s="227">
        <v>0</v>
      </c>
      <c r="BG45" s="227">
        <v>0</v>
      </c>
      <c r="BH45" s="227">
        <v>0</v>
      </c>
      <c r="BI45" s="227">
        <v>0</v>
      </c>
      <c r="BJ45" s="227">
        <v>0</v>
      </c>
      <c r="BK45" s="227">
        <v>13258.49</v>
      </c>
      <c r="BL45" s="227">
        <v>8519.7099999999991</v>
      </c>
      <c r="BM45" s="227">
        <v>12932.64</v>
      </c>
      <c r="BN45" s="227">
        <v>165099.10999999999</v>
      </c>
      <c r="BO45" s="227">
        <v>50724.81</v>
      </c>
      <c r="BP45" s="227">
        <v>70134.570000000007</v>
      </c>
      <c r="BQ45" s="227">
        <v>17672.23</v>
      </c>
      <c r="BR45" s="227">
        <v>0</v>
      </c>
      <c r="BS45" s="227">
        <v>0</v>
      </c>
      <c r="BT45" s="227">
        <v>0</v>
      </c>
      <c r="BU45" s="227">
        <v>0</v>
      </c>
      <c r="BV45" s="227">
        <v>0</v>
      </c>
      <c r="BW45" s="334">
        <v>0</v>
      </c>
      <c r="BX45" s="335"/>
      <c r="BY45" s="227">
        <v>0</v>
      </c>
      <c r="BZ45" s="227">
        <v>0</v>
      </c>
      <c r="CA45" s="227">
        <v>6000</v>
      </c>
      <c r="CB45" s="227">
        <v>0</v>
      </c>
      <c r="CC45" s="227">
        <v>0</v>
      </c>
      <c r="CD45" s="227">
        <v>0</v>
      </c>
      <c r="CE45" s="227">
        <v>0</v>
      </c>
      <c r="CF45" s="227">
        <v>0</v>
      </c>
      <c r="CG45" s="227">
        <v>0</v>
      </c>
      <c r="CH45" s="227">
        <v>0</v>
      </c>
      <c r="CI45" s="227">
        <v>0</v>
      </c>
      <c r="CJ45" s="227">
        <v>0</v>
      </c>
      <c r="CK45" s="227">
        <v>-128349.79</v>
      </c>
      <c r="CL45" s="227">
        <v>1378</v>
      </c>
      <c r="CM45" s="227">
        <v>0</v>
      </c>
      <c r="CN45" s="227">
        <v>0</v>
      </c>
      <c r="CO45" s="227">
        <v>0</v>
      </c>
      <c r="CQ45" s="229">
        <f t="shared" si="0"/>
        <v>-128349.79</v>
      </c>
    </row>
    <row r="46" spans="1:95" ht="15">
      <c r="A46" s="226">
        <v>302</v>
      </c>
      <c r="B46" s="226">
        <v>2079</v>
      </c>
      <c r="C46" s="226" t="s">
        <v>231</v>
      </c>
      <c r="D46" s="226" t="s">
        <v>424</v>
      </c>
      <c r="E46" s="226"/>
      <c r="F46" s="226" t="s">
        <v>420</v>
      </c>
      <c r="G46" s="226">
        <v>0</v>
      </c>
      <c r="H46" s="226">
        <v>0</v>
      </c>
      <c r="I46" s="226" t="s">
        <v>483</v>
      </c>
      <c r="J46" s="226" t="s">
        <v>482</v>
      </c>
      <c r="K46" s="226" t="s">
        <v>421</v>
      </c>
      <c r="L46" s="226" t="s">
        <v>422</v>
      </c>
      <c r="M46" s="226" t="s">
        <v>421</v>
      </c>
      <c r="N46" s="226" t="s">
        <v>423</v>
      </c>
      <c r="O46" s="226" t="s">
        <v>171</v>
      </c>
      <c r="P46" s="227">
        <v>83676.98</v>
      </c>
      <c r="Q46" s="227">
        <v>0</v>
      </c>
      <c r="R46" s="227">
        <v>0</v>
      </c>
      <c r="S46" s="227">
        <v>2445466.5499999998</v>
      </c>
      <c r="T46" s="227">
        <v>0</v>
      </c>
      <c r="U46" s="227">
        <v>43768.4</v>
      </c>
      <c r="V46" s="227">
        <v>0</v>
      </c>
      <c r="W46" s="227">
        <v>14537.65</v>
      </c>
      <c r="X46" s="227">
        <v>93655.05</v>
      </c>
      <c r="Y46" s="227">
        <v>230971.27</v>
      </c>
      <c r="Z46" s="227">
        <v>0</v>
      </c>
      <c r="AA46" s="227">
        <v>0</v>
      </c>
      <c r="AB46" s="227">
        <v>0</v>
      </c>
      <c r="AC46" s="227">
        <v>0</v>
      </c>
      <c r="AD46" s="227">
        <v>0</v>
      </c>
      <c r="AE46" s="227">
        <v>6142.94</v>
      </c>
      <c r="AF46" s="227">
        <v>0</v>
      </c>
      <c r="AG46" s="227">
        <v>0</v>
      </c>
      <c r="AH46" s="227">
        <v>0</v>
      </c>
      <c r="AI46" s="227">
        <v>0</v>
      </c>
      <c r="AJ46" s="227">
        <v>1811282.16</v>
      </c>
      <c r="AK46" s="227">
        <v>0</v>
      </c>
      <c r="AL46" s="227">
        <v>180997.93</v>
      </c>
      <c r="AM46" s="227">
        <v>75054.64</v>
      </c>
      <c r="AN46" s="227">
        <v>134766.32999999999</v>
      </c>
      <c r="AO46" s="227">
        <v>0</v>
      </c>
      <c r="AP46" s="227">
        <v>30447.98</v>
      </c>
      <c r="AQ46" s="227">
        <v>25822.76</v>
      </c>
      <c r="AR46" s="227">
        <v>14124.4</v>
      </c>
      <c r="AS46" s="227">
        <v>701.1</v>
      </c>
      <c r="AT46" s="227">
        <v>0</v>
      </c>
      <c r="AU46" s="227">
        <v>21666.39</v>
      </c>
      <c r="AV46" s="227">
        <v>0</v>
      </c>
      <c r="AW46" s="227">
        <v>87910.07</v>
      </c>
      <c r="AX46" s="227">
        <v>4531.53</v>
      </c>
      <c r="AY46" s="227">
        <v>38399.300000000003</v>
      </c>
      <c r="AZ46" s="227">
        <v>35084.71</v>
      </c>
      <c r="BA46" s="227">
        <v>22834.26</v>
      </c>
      <c r="BB46" s="227">
        <v>112150.69</v>
      </c>
      <c r="BC46" s="227">
        <v>0</v>
      </c>
      <c r="BD46" s="227">
        <v>0</v>
      </c>
      <c r="BE46" s="227">
        <v>21957.5</v>
      </c>
      <c r="BF46" s="227">
        <v>0</v>
      </c>
      <c r="BG46" s="227">
        <v>0</v>
      </c>
      <c r="BH46" s="227">
        <v>0</v>
      </c>
      <c r="BI46" s="227">
        <v>0</v>
      </c>
      <c r="BJ46" s="227">
        <v>0</v>
      </c>
      <c r="BK46" s="227">
        <v>33270.14</v>
      </c>
      <c r="BL46" s="227">
        <v>19054.8</v>
      </c>
      <c r="BM46" s="227">
        <v>131477.15</v>
      </c>
      <c r="BN46" s="227">
        <v>35431.050000000003</v>
      </c>
      <c r="BO46" s="227">
        <v>0</v>
      </c>
      <c r="BP46" s="227">
        <v>37839.51</v>
      </c>
      <c r="BQ46" s="227">
        <v>40758.44</v>
      </c>
      <c r="BR46" s="227">
        <v>0</v>
      </c>
      <c r="BS46" s="227">
        <v>0</v>
      </c>
      <c r="BT46" s="227">
        <v>0</v>
      </c>
      <c r="BU46" s="227">
        <v>0</v>
      </c>
      <c r="BV46" s="227">
        <v>0</v>
      </c>
      <c r="BW46" s="334">
        <v>0</v>
      </c>
      <c r="BX46" s="335"/>
      <c r="BY46" s="227">
        <v>0</v>
      </c>
      <c r="BZ46" s="227">
        <v>0</v>
      </c>
      <c r="CA46" s="227">
        <v>6000</v>
      </c>
      <c r="CB46" s="227">
        <v>0</v>
      </c>
      <c r="CC46" s="227">
        <v>0</v>
      </c>
      <c r="CD46" s="227">
        <v>0</v>
      </c>
      <c r="CE46" s="227">
        <v>0</v>
      </c>
      <c r="CF46" s="227">
        <v>0</v>
      </c>
      <c r="CG46" s="227">
        <v>0</v>
      </c>
      <c r="CH46" s="227">
        <v>0</v>
      </c>
      <c r="CI46" s="227">
        <v>0</v>
      </c>
      <c r="CJ46" s="227">
        <v>0</v>
      </c>
      <c r="CK46" s="227">
        <v>2656</v>
      </c>
      <c r="CL46" s="227">
        <v>0</v>
      </c>
      <c r="CM46" s="227">
        <v>0</v>
      </c>
      <c r="CN46" s="227">
        <v>0</v>
      </c>
      <c r="CO46" s="227">
        <v>0</v>
      </c>
      <c r="CQ46" s="229">
        <f t="shared" si="0"/>
        <v>2656</v>
      </c>
    </row>
    <row r="47" spans="1:95" ht="15">
      <c r="A47" s="226">
        <v>302</v>
      </c>
      <c r="B47" s="226">
        <v>3300</v>
      </c>
      <c r="C47" s="226" t="s">
        <v>334</v>
      </c>
      <c r="D47" s="226" t="s">
        <v>424</v>
      </c>
      <c r="E47" s="226"/>
      <c r="F47" s="226" t="s">
        <v>420</v>
      </c>
      <c r="G47" s="226">
        <v>0</v>
      </c>
      <c r="H47" s="226">
        <v>0</v>
      </c>
      <c r="I47" s="226" t="s">
        <v>483</v>
      </c>
      <c r="J47" s="226" t="s">
        <v>482</v>
      </c>
      <c r="K47" s="226" t="s">
        <v>421</v>
      </c>
      <c r="L47" s="226" t="s">
        <v>422</v>
      </c>
      <c r="M47" s="226" t="s">
        <v>421</v>
      </c>
      <c r="N47" s="226" t="s">
        <v>423</v>
      </c>
      <c r="O47" s="226" t="s">
        <v>171</v>
      </c>
      <c r="P47" s="227">
        <v>161461</v>
      </c>
      <c r="Q47" s="227">
        <v>0</v>
      </c>
      <c r="R47" s="227">
        <v>0</v>
      </c>
      <c r="S47" s="227">
        <v>1276406.24</v>
      </c>
      <c r="T47" s="227">
        <v>0</v>
      </c>
      <c r="U47" s="227">
        <v>120837.52</v>
      </c>
      <c r="V47" s="227">
        <v>0</v>
      </c>
      <c r="W47" s="227">
        <v>113625</v>
      </c>
      <c r="X47" s="227">
        <v>52021.919999999998</v>
      </c>
      <c r="Y47" s="227">
        <v>26957.31</v>
      </c>
      <c r="Z47" s="227">
        <v>0</v>
      </c>
      <c r="AA47" s="227">
        <v>10977.51</v>
      </c>
      <c r="AB47" s="227">
        <v>127.37</v>
      </c>
      <c r="AC47" s="227">
        <v>0</v>
      </c>
      <c r="AD47" s="227">
        <v>0</v>
      </c>
      <c r="AE47" s="227">
        <v>11090.38</v>
      </c>
      <c r="AF47" s="227">
        <v>4792.21</v>
      </c>
      <c r="AG47" s="227">
        <v>0</v>
      </c>
      <c r="AH47" s="227">
        <v>0</v>
      </c>
      <c r="AI47" s="227">
        <v>0</v>
      </c>
      <c r="AJ47" s="227">
        <v>597311.05000000005</v>
      </c>
      <c r="AK47" s="227">
        <v>0</v>
      </c>
      <c r="AL47" s="227">
        <v>214720.5</v>
      </c>
      <c r="AM47" s="227">
        <v>44381.68</v>
      </c>
      <c r="AN47" s="227">
        <v>41175.949999999997</v>
      </c>
      <c r="AO47" s="227">
        <v>0</v>
      </c>
      <c r="AP47" s="227">
        <v>8759.3799999999992</v>
      </c>
      <c r="AQ47" s="227">
        <v>2434.5</v>
      </c>
      <c r="AR47" s="227">
        <v>401.5</v>
      </c>
      <c r="AS47" s="227">
        <v>294.12</v>
      </c>
      <c r="AT47" s="227">
        <v>0</v>
      </c>
      <c r="AU47" s="227">
        <v>15624.73</v>
      </c>
      <c r="AV47" s="227">
        <v>3852.72</v>
      </c>
      <c r="AW47" s="227">
        <v>30350.63</v>
      </c>
      <c r="AX47" s="227">
        <v>9295.25</v>
      </c>
      <c r="AY47" s="227">
        <v>18134</v>
      </c>
      <c r="AZ47" s="227">
        <v>3722.85</v>
      </c>
      <c r="BA47" s="227">
        <v>6532.38</v>
      </c>
      <c r="BB47" s="227">
        <v>37215.620000000003</v>
      </c>
      <c r="BC47" s="227">
        <v>5716.21</v>
      </c>
      <c r="BD47" s="227">
        <v>1100</v>
      </c>
      <c r="BE47" s="227">
        <v>1069</v>
      </c>
      <c r="BF47" s="227">
        <v>1975.89</v>
      </c>
      <c r="BG47" s="227">
        <v>0</v>
      </c>
      <c r="BH47" s="227">
        <v>200.33</v>
      </c>
      <c r="BI47" s="227">
        <v>7473.35</v>
      </c>
      <c r="BJ47" s="227">
        <v>0</v>
      </c>
      <c r="BK47" s="227">
        <v>2963.9</v>
      </c>
      <c r="BL47" s="227">
        <v>7461.36</v>
      </c>
      <c r="BM47" s="227">
        <v>1564.2</v>
      </c>
      <c r="BN47" s="227">
        <v>70096.83</v>
      </c>
      <c r="BO47" s="227">
        <v>61887</v>
      </c>
      <c r="BP47" s="227">
        <v>316581.62</v>
      </c>
      <c r="BQ47" s="227">
        <v>36226.76</v>
      </c>
      <c r="BR47" s="227">
        <v>0</v>
      </c>
      <c r="BS47" s="227">
        <v>0</v>
      </c>
      <c r="BT47" s="227">
        <v>19920.150000000001</v>
      </c>
      <c r="BU47" s="227">
        <v>0</v>
      </c>
      <c r="BV47" s="227">
        <v>0</v>
      </c>
      <c r="BW47" s="334">
        <v>0</v>
      </c>
      <c r="BX47" s="335"/>
      <c r="BY47" s="227">
        <v>0</v>
      </c>
      <c r="BZ47" s="227">
        <v>19920.150000000001</v>
      </c>
      <c r="CA47" s="227">
        <v>6000</v>
      </c>
      <c r="CB47" s="227">
        <v>0</v>
      </c>
      <c r="CC47" s="227">
        <v>0</v>
      </c>
      <c r="CD47" s="227">
        <v>0</v>
      </c>
      <c r="CE47" s="227">
        <v>0</v>
      </c>
      <c r="CF47" s="227">
        <v>0</v>
      </c>
      <c r="CG47" s="227">
        <v>0</v>
      </c>
      <c r="CH47" s="227">
        <v>19920.150000000001</v>
      </c>
      <c r="CI47" s="227">
        <v>0</v>
      </c>
      <c r="CJ47" s="227">
        <v>0</v>
      </c>
      <c r="CK47" s="227">
        <v>209853</v>
      </c>
      <c r="CL47" s="227">
        <v>0</v>
      </c>
      <c r="CM47" s="227">
        <v>0</v>
      </c>
      <c r="CN47" s="227">
        <v>0</v>
      </c>
      <c r="CO47" s="227">
        <v>0</v>
      </c>
      <c r="CQ47" s="229">
        <f t="shared" si="0"/>
        <v>209853</v>
      </c>
    </row>
    <row r="48" spans="1:95" ht="15">
      <c r="A48" s="226">
        <v>302</v>
      </c>
      <c r="B48" s="226">
        <v>3302</v>
      </c>
      <c r="C48" s="226" t="s">
        <v>235</v>
      </c>
      <c r="D48" s="226" t="s">
        <v>424</v>
      </c>
      <c r="E48" s="226"/>
      <c r="F48" s="226" t="s">
        <v>420</v>
      </c>
      <c r="G48" s="226">
        <v>0</v>
      </c>
      <c r="H48" s="226">
        <v>0</v>
      </c>
      <c r="I48" s="226" t="s">
        <v>483</v>
      </c>
      <c r="J48" s="226" t="s">
        <v>482</v>
      </c>
      <c r="K48" s="226" t="s">
        <v>421</v>
      </c>
      <c r="L48" s="226" t="s">
        <v>422</v>
      </c>
      <c r="M48" s="226" t="s">
        <v>421</v>
      </c>
      <c r="N48" s="226" t="s">
        <v>423</v>
      </c>
      <c r="O48" s="226" t="s">
        <v>171</v>
      </c>
      <c r="P48" s="227">
        <v>297452</v>
      </c>
      <c r="Q48" s="227">
        <v>0</v>
      </c>
      <c r="R48" s="227">
        <v>0</v>
      </c>
      <c r="S48" s="227">
        <v>1237316.22</v>
      </c>
      <c r="T48" s="227">
        <v>0</v>
      </c>
      <c r="U48" s="227">
        <v>134155.65</v>
      </c>
      <c r="V48" s="227">
        <v>0</v>
      </c>
      <c r="W48" s="227">
        <v>35560</v>
      </c>
      <c r="X48" s="227">
        <v>45094</v>
      </c>
      <c r="Y48" s="227">
        <v>53847.97</v>
      </c>
      <c r="Z48" s="227">
        <v>8090.01</v>
      </c>
      <c r="AA48" s="227">
        <v>49593.71</v>
      </c>
      <c r="AB48" s="227">
        <v>3630.22</v>
      </c>
      <c r="AC48" s="227">
        <v>0</v>
      </c>
      <c r="AD48" s="227">
        <v>4320</v>
      </c>
      <c r="AE48" s="227">
        <v>45670.43</v>
      </c>
      <c r="AF48" s="227">
        <v>8047.76</v>
      </c>
      <c r="AG48" s="227">
        <v>0</v>
      </c>
      <c r="AH48" s="227">
        <v>0</v>
      </c>
      <c r="AI48" s="227">
        <v>0</v>
      </c>
      <c r="AJ48" s="227">
        <v>880057.19</v>
      </c>
      <c r="AK48" s="227">
        <v>0</v>
      </c>
      <c r="AL48" s="227">
        <v>387695.72</v>
      </c>
      <c r="AM48" s="227">
        <v>46806.38</v>
      </c>
      <c r="AN48" s="227">
        <v>64259.86</v>
      </c>
      <c r="AO48" s="227">
        <v>0</v>
      </c>
      <c r="AP48" s="227">
        <v>46272.12</v>
      </c>
      <c r="AQ48" s="227">
        <v>3129.75</v>
      </c>
      <c r="AR48" s="227">
        <v>2700.18</v>
      </c>
      <c r="AS48" s="227">
        <v>8497.07</v>
      </c>
      <c r="AT48" s="227">
        <v>0</v>
      </c>
      <c r="AU48" s="227">
        <v>18558.27</v>
      </c>
      <c r="AV48" s="227">
        <v>0</v>
      </c>
      <c r="AW48" s="227">
        <v>22128.86</v>
      </c>
      <c r="AX48" s="227">
        <v>2397.91</v>
      </c>
      <c r="AY48" s="227">
        <v>20270.63</v>
      </c>
      <c r="AZ48" s="227">
        <v>5105.1000000000004</v>
      </c>
      <c r="BA48" s="227">
        <v>4019.7</v>
      </c>
      <c r="BB48" s="227">
        <v>54928.34</v>
      </c>
      <c r="BC48" s="227">
        <v>5356.12</v>
      </c>
      <c r="BD48" s="227">
        <v>0</v>
      </c>
      <c r="BE48" s="227">
        <v>10102.58</v>
      </c>
      <c r="BF48" s="227">
        <v>7231.3</v>
      </c>
      <c r="BG48" s="227">
        <v>0</v>
      </c>
      <c r="BH48" s="227">
        <v>749.06</v>
      </c>
      <c r="BI48" s="227">
        <v>2840.68</v>
      </c>
      <c r="BJ48" s="227">
        <v>0</v>
      </c>
      <c r="BK48" s="227">
        <v>2152.2800000000002</v>
      </c>
      <c r="BL48" s="227">
        <v>10640.21</v>
      </c>
      <c r="BM48" s="227">
        <v>6196.21</v>
      </c>
      <c r="BN48" s="227">
        <v>93963.28</v>
      </c>
      <c r="BO48" s="227">
        <v>142.35</v>
      </c>
      <c r="BP48" s="227">
        <v>20993.98</v>
      </c>
      <c r="BQ48" s="227">
        <v>22387.84</v>
      </c>
      <c r="BR48" s="227">
        <v>0</v>
      </c>
      <c r="BS48" s="227">
        <v>0</v>
      </c>
      <c r="BT48" s="227">
        <v>0</v>
      </c>
      <c r="BU48" s="227">
        <v>0</v>
      </c>
      <c r="BV48" s="227">
        <v>0</v>
      </c>
      <c r="BW48" s="334">
        <v>0</v>
      </c>
      <c r="BX48" s="335"/>
      <c r="BY48" s="227">
        <v>6355.86</v>
      </c>
      <c r="BZ48" s="227">
        <v>0</v>
      </c>
      <c r="CA48" s="227">
        <v>6000</v>
      </c>
      <c r="CB48" s="227">
        <v>0</v>
      </c>
      <c r="CC48" s="227">
        <v>0</v>
      </c>
      <c r="CD48" s="227">
        <v>0</v>
      </c>
      <c r="CE48" s="227">
        <v>0</v>
      </c>
      <c r="CF48" s="227">
        <v>0</v>
      </c>
      <c r="CG48" s="227">
        <v>0</v>
      </c>
      <c r="CH48" s="227">
        <v>0</v>
      </c>
      <c r="CI48" s="227">
        <v>6355.86</v>
      </c>
      <c r="CJ48" s="227">
        <v>0</v>
      </c>
      <c r="CK48" s="227">
        <v>173195</v>
      </c>
      <c r="CL48" s="227">
        <v>0</v>
      </c>
      <c r="CM48" s="227">
        <v>0</v>
      </c>
      <c r="CN48" s="227">
        <v>0</v>
      </c>
      <c r="CO48" s="227">
        <v>0</v>
      </c>
      <c r="CQ48" s="229">
        <f t="shared" si="0"/>
        <v>173195</v>
      </c>
    </row>
    <row r="49" spans="1:95" ht="15">
      <c r="A49" s="226">
        <v>302</v>
      </c>
      <c r="B49" s="226">
        <v>3304</v>
      </c>
      <c r="C49" s="226" t="s">
        <v>245</v>
      </c>
      <c r="D49" s="226" t="s">
        <v>424</v>
      </c>
      <c r="E49" s="226"/>
      <c r="F49" s="226" t="s">
        <v>420</v>
      </c>
      <c r="G49" s="226">
        <v>0</v>
      </c>
      <c r="H49" s="226">
        <v>0</v>
      </c>
      <c r="I49" s="226" t="s">
        <v>483</v>
      </c>
      <c r="J49" s="226" t="s">
        <v>482</v>
      </c>
      <c r="K49" s="226" t="s">
        <v>421</v>
      </c>
      <c r="L49" s="226" t="s">
        <v>422</v>
      </c>
      <c r="M49" s="226" t="s">
        <v>421</v>
      </c>
      <c r="N49" s="226" t="s">
        <v>423</v>
      </c>
      <c r="O49" s="226" t="s">
        <v>171</v>
      </c>
      <c r="P49" s="227">
        <v>65096</v>
      </c>
      <c r="Q49" s="227">
        <v>0</v>
      </c>
      <c r="R49" s="227">
        <v>0</v>
      </c>
      <c r="S49" s="227">
        <v>1346698.28</v>
      </c>
      <c r="T49" s="227">
        <v>0</v>
      </c>
      <c r="U49" s="227">
        <v>164679.45000000001</v>
      </c>
      <c r="V49" s="227">
        <v>0</v>
      </c>
      <c r="W49" s="227">
        <v>65145</v>
      </c>
      <c r="X49" s="227">
        <v>41364.959999999999</v>
      </c>
      <c r="Y49" s="227">
        <v>45716.14</v>
      </c>
      <c r="Z49" s="227">
        <v>17091.5</v>
      </c>
      <c r="AA49" s="227">
        <v>39323</v>
      </c>
      <c r="AB49" s="227">
        <v>587.04</v>
      </c>
      <c r="AC49" s="227">
        <v>0</v>
      </c>
      <c r="AD49" s="227">
        <v>0</v>
      </c>
      <c r="AE49" s="227">
        <v>31926.51</v>
      </c>
      <c r="AF49" s="227">
        <v>6997.18</v>
      </c>
      <c r="AG49" s="227">
        <v>0</v>
      </c>
      <c r="AH49" s="227">
        <v>0</v>
      </c>
      <c r="AI49" s="227">
        <v>0</v>
      </c>
      <c r="AJ49" s="227">
        <v>769065.04</v>
      </c>
      <c r="AK49" s="227">
        <v>19056.009999999998</v>
      </c>
      <c r="AL49" s="227">
        <v>303958.71999999997</v>
      </c>
      <c r="AM49" s="227">
        <v>40741.81</v>
      </c>
      <c r="AN49" s="227">
        <v>76669.62</v>
      </c>
      <c r="AO49" s="227">
        <v>0</v>
      </c>
      <c r="AP49" s="227">
        <v>41990.38</v>
      </c>
      <c r="AQ49" s="227">
        <v>69582.48</v>
      </c>
      <c r="AR49" s="227">
        <v>6270.36</v>
      </c>
      <c r="AS49" s="227">
        <v>323.19</v>
      </c>
      <c r="AT49" s="227">
        <v>0</v>
      </c>
      <c r="AU49" s="227">
        <v>11194.81</v>
      </c>
      <c r="AV49" s="227">
        <v>544.28</v>
      </c>
      <c r="AW49" s="227">
        <v>29083.46</v>
      </c>
      <c r="AX49" s="227">
        <v>3761.03</v>
      </c>
      <c r="AY49" s="227">
        <v>24273.63</v>
      </c>
      <c r="AZ49" s="227">
        <v>4258.8</v>
      </c>
      <c r="BA49" s="227">
        <v>18813.310000000001</v>
      </c>
      <c r="BB49" s="227">
        <v>44642.89</v>
      </c>
      <c r="BC49" s="227">
        <v>4368.75</v>
      </c>
      <c r="BD49" s="227">
        <v>0</v>
      </c>
      <c r="BE49" s="227">
        <v>0</v>
      </c>
      <c r="BF49" s="227">
        <v>4474.0200000000004</v>
      </c>
      <c r="BG49" s="227">
        <v>394</v>
      </c>
      <c r="BH49" s="227">
        <v>299.91000000000003</v>
      </c>
      <c r="BI49" s="227">
        <v>6450</v>
      </c>
      <c r="BJ49" s="227">
        <v>0</v>
      </c>
      <c r="BK49" s="227">
        <v>13565.12</v>
      </c>
      <c r="BL49" s="227">
        <v>8347.32</v>
      </c>
      <c r="BM49" s="227">
        <v>6432.22</v>
      </c>
      <c r="BN49" s="227">
        <v>82617.61</v>
      </c>
      <c r="BO49" s="227">
        <v>59789.440000000002</v>
      </c>
      <c r="BP49" s="227">
        <v>60503.88</v>
      </c>
      <c r="BQ49" s="227">
        <v>45525.86</v>
      </c>
      <c r="BR49" s="227">
        <v>0</v>
      </c>
      <c r="BS49" s="227">
        <v>0</v>
      </c>
      <c r="BT49" s="227">
        <v>0</v>
      </c>
      <c r="BU49" s="227">
        <v>0</v>
      </c>
      <c r="BV49" s="227">
        <v>0</v>
      </c>
      <c r="BW49" s="334">
        <v>0</v>
      </c>
      <c r="BX49" s="335"/>
      <c r="BY49" s="227">
        <v>0</v>
      </c>
      <c r="BZ49" s="227">
        <v>0</v>
      </c>
      <c r="CA49" s="227">
        <v>6000</v>
      </c>
      <c r="CB49" s="227">
        <v>0</v>
      </c>
      <c r="CC49" s="227">
        <v>0</v>
      </c>
      <c r="CD49" s="227">
        <v>0</v>
      </c>
      <c r="CE49" s="227">
        <v>0</v>
      </c>
      <c r="CF49" s="227">
        <v>0</v>
      </c>
      <c r="CG49" s="227">
        <v>0</v>
      </c>
      <c r="CH49" s="227">
        <v>0</v>
      </c>
      <c r="CI49" s="227">
        <v>0</v>
      </c>
      <c r="CJ49" s="227">
        <v>0</v>
      </c>
      <c r="CK49" s="227">
        <v>67627.11</v>
      </c>
      <c r="CL49" s="227">
        <v>0</v>
      </c>
      <c r="CM49" s="227">
        <v>0</v>
      </c>
      <c r="CN49" s="227">
        <v>0</v>
      </c>
      <c r="CO49" s="227">
        <v>0</v>
      </c>
      <c r="CQ49" s="229">
        <f t="shared" si="0"/>
        <v>67627.11</v>
      </c>
    </row>
    <row r="50" spans="1:95" ht="15">
      <c r="A50" s="226">
        <v>302</v>
      </c>
      <c r="B50" s="226">
        <v>3305</v>
      </c>
      <c r="C50" s="226" t="s">
        <v>249</v>
      </c>
      <c r="D50" s="226" t="s">
        <v>424</v>
      </c>
      <c r="E50" s="226"/>
      <c r="F50" s="226" t="s">
        <v>420</v>
      </c>
      <c r="G50" s="226">
        <v>0</v>
      </c>
      <c r="H50" s="226">
        <v>0</v>
      </c>
      <c r="I50" s="226" t="s">
        <v>483</v>
      </c>
      <c r="J50" s="226" t="s">
        <v>482</v>
      </c>
      <c r="K50" s="226" t="s">
        <v>421</v>
      </c>
      <c r="L50" s="226" t="s">
        <v>422</v>
      </c>
      <c r="M50" s="226" t="s">
        <v>421</v>
      </c>
      <c r="N50" s="226" t="s">
        <v>423</v>
      </c>
      <c r="O50" s="226" t="s">
        <v>171</v>
      </c>
      <c r="P50" s="227">
        <v>120711</v>
      </c>
      <c r="Q50" s="227">
        <v>0</v>
      </c>
      <c r="R50" s="227">
        <v>0</v>
      </c>
      <c r="S50" s="227">
        <v>925351.35</v>
      </c>
      <c r="T50" s="227">
        <v>0</v>
      </c>
      <c r="U50" s="227">
        <v>50992.31</v>
      </c>
      <c r="V50" s="227">
        <v>0</v>
      </c>
      <c r="W50" s="227">
        <v>38990</v>
      </c>
      <c r="X50" s="227">
        <v>39715.5</v>
      </c>
      <c r="Y50" s="227">
        <v>100904.28</v>
      </c>
      <c r="Z50" s="227">
        <v>3627</v>
      </c>
      <c r="AA50" s="227">
        <v>16180.3</v>
      </c>
      <c r="AB50" s="227">
        <v>575.15</v>
      </c>
      <c r="AC50" s="227">
        <v>0</v>
      </c>
      <c r="AD50" s="227">
        <v>0</v>
      </c>
      <c r="AE50" s="227">
        <v>15995</v>
      </c>
      <c r="AF50" s="227">
        <v>10607.3</v>
      </c>
      <c r="AG50" s="227">
        <v>0</v>
      </c>
      <c r="AH50" s="227">
        <v>0</v>
      </c>
      <c r="AI50" s="227">
        <v>0</v>
      </c>
      <c r="AJ50" s="227">
        <v>626475.97</v>
      </c>
      <c r="AK50" s="227">
        <v>0</v>
      </c>
      <c r="AL50" s="227">
        <v>172189.67</v>
      </c>
      <c r="AM50" s="227">
        <v>53926.77</v>
      </c>
      <c r="AN50" s="227">
        <v>46655.96</v>
      </c>
      <c r="AO50" s="227">
        <v>0</v>
      </c>
      <c r="AP50" s="227">
        <v>33883.42</v>
      </c>
      <c r="AQ50" s="227">
        <v>5356.06</v>
      </c>
      <c r="AR50" s="227">
        <v>1290</v>
      </c>
      <c r="AS50" s="227">
        <v>256.5</v>
      </c>
      <c r="AT50" s="227">
        <v>0</v>
      </c>
      <c r="AU50" s="227">
        <v>5986.15</v>
      </c>
      <c r="AV50" s="227">
        <v>0</v>
      </c>
      <c r="AW50" s="227">
        <v>1441.33</v>
      </c>
      <c r="AX50" s="227">
        <v>1498.26</v>
      </c>
      <c r="AY50" s="227">
        <v>15878.66</v>
      </c>
      <c r="AZ50" s="227">
        <v>1797.27</v>
      </c>
      <c r="BA50" s="227">
        <v>6986.5</v>
      </c>
      <c r="BB50" s="227">
        <v>41168</v>
      </c>
      <c r="BC50" s="227">
        <v>3907.28</v>
      </c>
      <c r="BD50" s="227">
        <v>0</v>
      </c>
      <c r="BE50" s="227">
        <v>2643.51</v>
      </c>
      <c r="BF50" s="227">
        <v>6996.86</v>
      </c>
      <c r="BG50" s="227">
        <v>0</v>
      </c>
      <c r="BH50" s="227">
        <v>101.32</v>
      </c>
      <c r="BI50" s="227">
        <v>4957</v>
      </c>
      <c r="BJ50" s="227">
        <v>0</v>
      </c>
      <c r="BK50" s="227">
        <v>2799.05</v>
      </c>
      <c r="BL50" s="227">
        <v>6507</v>
      </c>
      <c r="BM50" s="227">
        <v>3909.83</v>
      </c>
      <c r="BN50" s="227">
        <v>68841.45</v>
      </c>
      <c r="BO50" s="227">
        <v>0</v>
      </c>
      <c r="BP50" s="227">
        <v>32216.22</v>
      </c>
      <c r="BQ50" s="227">
        <v>25100.880000000001</v>
      </c>
      <c r="BR50" s="227">
        <v>0</v>
      </c>
      <c r="BS50" s="227">
        <v>0</v>
      </c>
      <c r="BT50" s="227">
        <v>0</v>
      </c>
      <c r="BU50" s="227">
        <v>0</v>
      </c>
      <c r="BV50" s="227">
        <v>0</v>
      </c>
      <c r="BW50" s="334">
        <v>0</v>
      </c>
      <c r="BX50" s="335"/>
      <c r="BY50" s="227">
        <v>0</v>
      </c>
      <c r="BZ50" s="227">
        <v>0</v>
      </c>
      <c r="CA50" s="227">
        <v>6000</v>
      </c>
      <c r="CB50" s="227">
        <v>0</v>
      </c>
      <c r="CC50" s="227">
        <v>0</v>
      </c>
      <c r="CD50" s="227">
        <v>0</v>
      </c>
      <c r="CE50" s="227">
        <v>0</v>
      </c>
      <c r="CF50" s="227">
        <v>0</v>
      </c>
      <c r="CG50" s="227">
        <v>0</v>
      </c>
      <c r="CH50" s="227">
        <v>0</v>
      </c>
      <c r="CI50" s="227">
        <v>0</v>
      </c>
      <c r="CJ50" s="227">
        <v>0</v>
      </c>
      <c r="CK50" s="227">
        <v>150878.26999999999</v>
      </c>
      <c r="CL50" s="227">
        <v>0</v>
      </c>
      <c r="CM50" s="227">
        <v>0</v>
      </c>
      <c r="CN50" s="227">
        <v>0</v>
      </c>
      <c r="CO50" s="227">
        <v>0</v>
      </c>
      <c r="CQ50" s="229">
        <f t="shared" si="0"/>
        <v>150878.26999999999</v>
      </c>
    </row>
    <row r="51" spans="1:95" ht="30">
      <c r="A51" s="226">
        <v>302</v>
      </c>
      <c r="B51" s="226">
        <v>3307</v>
      </c>
      <c r="C51" s="226" t="s">
        <v>452</v>
      </c>
      <c r="D51" s="226" t="s">
        <v>424</v>
      </c>
      <c r="E51" s="226"/>
      <c r="F51" s="226" t="s">
        <v>420</v>
      </c>
      <c r="G51" s="226">
        <v>0</v>
      </c>
      <c r="H51" s="226">
        <v>0</v>
      </c>
      <c r="I51" s="226" t="s">
        <v>483</v>
      </c>
      <c r="J51" s="226" t="s">
        <v>482</v>
      </c>
      <c r="K51" s="226" t="s">
        <v>421</v>
      </c>
      <c r="L51" s="226" t="s">
        <v>422</v>
      </c>
      <c r="M51" s="226" t="s">
        <v>421</v>
      </c>
      <c r="N51" s="226" t="s">
        <v>423</v>
      </c>
      <c r="O51" s="226" t="s">
        <v>171</v>
      </c>
      <c r="P51" s="227">
        <v>227373.43</v>
      </c>
      <c r="Q51" s="227">
        <v>0</v>
      </c>
      <c r="R51" s="227">
        <v>0</v>
      </c>
      <c r="S51" s="227">
        <v>1365701.09</v>
      </c>
      <c r="T51" s="227">
        <v>0</v>
      </c>
      <c r="U51" s="227">
        <v>76178.929999999993</v>
      </c>
      <c r="V51" s="227">
        <v>0</v>
      </c>
      <c r="W51" s="227">
        <v>41220</v>
      </c>
      <c r="X51" s="227">
        <v>50110.5</v>
      </c>
      <c r="Y51" s="227">
        <v>54415.94</v>
      </c>
      <c r="Z51" s="227">
        <v>27493.8</v>
      </c>
      <c r="AA51" s="227">
        <v>25082.51</v>
      </c>
      <c r="AB51" s="227">
        <v>1194.95</v>
      </c>
      <c r="AC51" s="227">
        <v>0</v>
      </c>
      <c r="AD51" s="227">
        <v>0</v>
      </c>
      <c r="AE51" s="227">
        <v>44490.66</v>
      </c>
      <c r="AF51" s="227">
        <v>21638.62</v>
      </c>
      <c r="AG51" s="227">
        <v>0</v>
      </c>
      <c r="AH51" s="227">
        <v>0</v>
      </c>
      <c r="AI51" s="227">
        <v>0</v>
      </c>
      <c r="AJ51" s="227">
        <v>699790.2</v>
      </c>
      <c r="AK51" s="227">
        <v>0</v>
      </c>
      <c r="AL51" s="227">
        <v>312044.13</v>
      </c>
      <c r="AM51" s="227">
        <v>65506.39</v>
      </c>
      <c r="AN51" s="227">
        <v>72543.69</v>
      </c>
      <c r="AO51" s="227">
        <v>0</v>
      </c>
      <c r="AP51" s="227">
        <v>23126.240000000002</v>
      </c>
      <c r="AQ51" s="227">
        <v>1239.7</v>
      </c>
      <c r="AR51" s="227">
        <v>1407.55</v>
      </c>
      <c r="AS51" s="227">
        <v>359.1</v>
      </c>
      <c r="AT51" s="227">
        <v>0</v>
      </c>
      <c r="AU51" s="227">
        <v>17731.419999999998</v>
      </c>
      <c r="AV51" s="227">
        <v>1680</v>
      </c>
      <c r="AW51" s="227">
        <v>13314.56</v>
      </c>
      <c r="AX51" s="227">
        <v>4951.5200000000004</v>
      </c>
      <c r="AY51" s="227">
        <v>30001.96</v>
      </c>
      <c r="AZ51" s="227">
        <v>4941.3</v>
      </c>
      <c r="BA51" s="227">
        <v>11975.67</v>
      </c>
      <c r="BB51" s="227">
        <v>55974.25</v>
      </c>
      <c r="BC51" s="227">
        <v>13002.21</v>
      </c>
      <c r="BD51" s="227">
        <v>576</v>
      </c>
      <c r="BE51" s="227">
        <v>4348.5</v>
      </c>
      <c r="BF51" s="227">
        <v>10417.42</v>
      </c>
      <c r="BG51" s="227">
        <v>2050</v>
      </c>
      <c r="BH51" s="227">
        <v>166.87</v>
      </c>
      <c r="BI51" s="227">
        <v>8711.02</v>
      </c>
      <c r="BJ51" s="227">
        <v>0</v>
      </c>
      <c r="BK51" s="227">
        <v>2429.87</v>
      </c>
      <c r="BL51" s="227">
        <v>16725.919999999998</v>
      </c>
      <c r="BM51" s="227">
        <v>159.27000000000001</v>
      </c>
      <c r="BN51" s="227">
        <v>101447.82</v>
      </c>
      <c r="BO51" s="227">
        <v>77373.960000000006</v>
      </c>
      <c r="BP51" s="227">
        <v>140060.32</v>
      </c>
      <c r="BQ51" s="227">
        <v>33050.57</v>
      </c>
      <c r="BR51" s="227">
        <v>0</v>
      </c>
      <c r="BS51" s="227">
        <v>0</v>
      </c>
      <c r="BT51" s="227">
        <v>0</v>
      </c>
      <c r="BU51" s="227">
        <v>0</v>
      </c>
      <c r="BV51" s="227">
        <v>0</v>
      </c>
      <c r="BW51" s="334">
        <v>0</v>
      </c>
      <c r="BX51" s="335"/>
      <c r="BY51" s="227">
        <v>43345</v>
      </c>
      <c r="BZ51" s="227">
        <v>0</v>
      </c>
      <c r="CA51" s="227">
        <v>6000</v>
      </c>
      <c r="CB51" s="227">
        <v>0</v>
      </c>
      <c r="CC51" s="227">
        <v>0</v>
      </c>
      <c r="CD51" s="227">
        <v>43345</v>
      </c>
      <c r="CE51" s="227">
        <v>0</v>
      </c>
      <c r="CF51" s="227">
        <v>0</v>
      </c>
      <c r="CG51" s="227">
        <v>0</v>
      </c>
      <c r="CH51" s="227">
        <v>0</v>
      </c>
      <c r="CI51" s="227">
        <v>0</v>
      </c>
      <c r="CJ51" s="227">
        <v>0</v>
      </c>
      <c r="CK51" s="227">
        <v>207793</v>
      </c>
      <c r="CL51" s="227">
        <v>0</v>
      </c>
      <c r="CM51" s="227">
        <v>0</v>
      </c>
      <c r="CN51" s="227">
        <v>0</v>
      </c>
      <c r="CO51" s="227">
        <v>0</v>
      </c>
      <c r="CQ51" s="229">
        <f t="shared" si="0"/>
        <v>207793</v>
      </c>
    </row>
    <row r="52" spans="1:95" ht="30">
      <c r="A52" s="226">
        <v>302</v>
      </c>
      <c r="B52" s="226">
        <v>3309</v>
      </c>
      <c r="C52" s="226" t="s">
        <v>453</v>
      </c>
      <c r="D52" s="226" t="s">
        <v>424</v>
      </c>
      <c r="E52" s="226"/>
      <c r="F52" s="226" t="s">
        <v>420</v>
      </c>
      <c r="G52" s="226">
        <v>0</v>
      </c>
      <c r="H52" s="226">
        <v>0</v>
      </c>
      <c r="I52" s="226" t="s">
        <v>483</v>
      </c>
      <c r="J52" s="226" t="s">
        <v>482</v>
      </c>
      <c r="K52" s="226" t="s">
        <v>421</v>
      </c>
      <c r="L52" s="226" t="s">
        <v>422</v>
      </c>
      <c r="M52" s="226" t="s">
        <v>421</v>
      </c>
      <c r="N52" s="226" t="s">
        <v>423</v>
      </c>
      <c r="O52" s="226" t="s">
        <v>171</v>
      </c>
      <c r="P52" s="227">
        <v>146253</v>
      </c>
      <c r="Q52" s="227">
        <v>0</v>
      </c>
      <c r="R52" s="227">
        <v>0</v>
      </c>
      <c r="S52" s="227">
        <v>1370018.26</v>
      </c>
      <c r="T52" s="227">
        <v>0</v>
      </c>
      <c r="U52" s="227">
        <v>86186.59</v>
      </c>
      <c r="V52" s="227">
        <v>0</v>
      </c>
      <c r="W52" s="227">
        <v>32930</v>
      </c>
      <c r="X52" s="227">
        <v>74588.83</v>
      </c>
      <c r="Y52" s="227">
        <v>51532.37</v>
      </c>
      <c r="Z52" s="227">
        <v>15529.5</v>
      </c>
      <c r="AA52" s="227">
        <v>112987.42</v>
      </c>
      <c r="AB52" s="227">
        <v>6824.71</v>
      </c>
      <c r="AC52" s="227">
        <v>0</v>
      </c>
      <c r="AD52" s="227">
        <v>0</v>
      </c>
      <c r="AE52" s="227">
        <v>87717.64</v>
      </c>
      <c r="AF52" s="227">
        <v>8774.61</v>
      </c>
      <c r="AG52" s="227">
        <v>0</v>
      </c>
      <c r="AH52" s="227">
        <v>0</v>
      </c>
      <c r="AI52" s="227">
        <v>0</v>
      </c>
      <c r="AJ52" s="227">
        <v>769253.56</v>
      </c>
      <c r="AK52" s="227">
        <v>0</v>
      </c>
      <c r="AL52" s="227">
        <v>352586.49</v>
      </c>
      <c r="AM52" s="227">
        <v>41760.11</v>
      </c>
      <c r="AN52" s="227">
        <v>61873.31</v>
      </c>
      <c r="AO52" s="227">
        <v>0</v>
      </c>
      <c r="AP52" s="227">
        <v>54191.81</v>
      </c>
      <c r="AQ52" s="227">
        <v>6514.54</v>
      </c>
      <c r="AR52" s="227">
        <v>6389.24</v>
      </c>
      <c r="AS52" s="227">
        <v>360.81</v>
      </c>
      <c r="AT52" s="227">
        <v>0</v>
      </c>
      <c r="AU52" s="227">
        <v>17120.07</v>
      </c>
      <c r="AV52" s="227">
        <v>3640.48</v>
      </c>
      <c r="AW52" s="227">
        <v>26672.92</v>
      </c>
      <c r="AX52" s="227">
        <v>2820.81</v>
      </c>
      <c r="AY52" s="227">
        <v>13575.17</v>
      </c>
      <c r="AZ52" s="227">
        <v>5569.2</v>
      </c>
      <c r="BA52" s="227">
        <v>8013.1</v>
      </c>
      <c r="BB52" s="227">
        <v>105670.79</v>
      </c>
      <c r="BC52" s="227">
        <v>4995</v>
      </c>
      <c r="BD52" s="227">
        <v>0</v>
      </c>
      <c r="BE52" s="227">
        <v>5281.91</v>
      </c>
      <c r="BF52" s="227">
        <v>1681.83</v>
      </c>
      <c r="BG52" s="227">
        <v>3230.64</v>
      </c>
      <c r="BH52" s="227">
        <v>946.43</v>
      </c>
      <c r="BI52" s="227">
        <v>6045</v>
      </c>
      <c r="BJ52" s="227">
        <v>0</v>
      </c>
      <c r="BK52" s="227">
        <v>5201.71</v>
      </c>
      <c r="BL52" s="227">
        <v>10044.18</v>
      </c>
      <c r="BM52" s="227">
        <v>9004.41</v>
      </c>
      <c r="BN52" s="227">
        <v>102146.15</v>
      </c>
      <c r="BO52" s="227">
        <v>44968.4</v>
      </c>
      <c r="BP52" s="227">
        <v>123125.39</v>
      </c>
      <c r="BQ52" s="227">
        <v>25915.47</v>
      </c>
      <c r="BR52" s="227">
        <v>0</v>
      </c>
      <c r="BS52" s="227">
        <v>0</v>
      </c>
      <c r="BT52" s="227">
        <v>0</v>
      </c>
      <c r="BU52" s="227">
        <v>0</v>
      </c>
      <c r="BV52" s="227">
        <v>0</v>
      </c>
      <c r="BW52" s="334">
        <v>0</v>
      </c>
      <c r="BX52" s="335"/>
      <c r="BY52" s="227">
        <v>0</v>
      </c>
      <c r="BZ52" s="227">
        <v>0</v>
      </c>
      <c r="CA52" s="227">
        <v>6000</v>
      </c>
      <c r="CB52" s="227">
        <v>0</v>
      </c>
      <c r="CC52" s="227">
        <v>0</v>
      </c>
      <c r="CD52" s="227">
        <v>0</v>
      </c>
      <c r="CE52" s="227">
        <v>0</v>
      </c>
      <c r="CF52" s="227">
        <v>0</v>
      </c>
      <c r="CG52" s="227">
        <v>0</v>
      </c>
      <c r="CH52" s="227">
        <v>0</v>
      </c>
      <c r="CI52" s="227">
        <v>0</v>
      </c>
      <c r="CJ52" s="227">
        <v>0</v>
      </c>
      <c r="CK52" s="227">
        <v>174744</v>
      </c>
      <c r="CL52" s="227">
        <v>0</v>
      </c>
      <c r="CM52" s="227">
        <v>0</v>
      </c>
      <c r="CN52" s="227">
        <v>0</v>
      </c>
      <c r="CO52" s="227">
        <v>0</v>
      </c>
      <c r="CQ52" s="229">
        <f t="shared" si="0"/>
        <v>174744</v>
      </c>
    </row>
    <row r="53" spans="1:95" ht="15">
      <c r="A53" s="226">
        <v>302</v>
      </c>
      <c r="B53" s="226">
        <v>3311</v>
      </c>
      <c r="C53" s="226" t="s">
        <v>454</v>
      </c>
      <c r="D53" s="226" t="s">
        <v>424</v>
      </c>
      <c r="E53" s="226"/>
      <c r="F53" s="226" t="s">
        <v>420</v>
      </c>
      <c r="G53" s="226">
        <v>0</v>
      </c>
      <c r="H53" s="226">
        <v>1</v>
      </c>
      <c r="I53" s="226" t="s">
        <v>483</v>
      </c>
      <c r="J53" s="226" t="s">
        <v>482</v>
      </c>
      <c r="K53" s="226" t="s">
        <v>421</v>
      </c>
      <c r="L53" s="226" t="s">
        <v>422</v>
      </c>
      <c r="M53" s="226" t="s">
        <v>421</v>
      </c>
      <c r="N53" s="226" t="s">
        <v>423</v>
      </c>
      <c r="O53" s="226" t="s">
        <v>171</v>
      </c>
      <c r="P53" s="227">
        <v>-74603</v>
      </c>
      <c r="Q53" s="227">
        <v>0</v>
      </c>
      <c r="R53" s="227">
        <v>8210</v>
      </c>
      <c r="S53" s="227">
        <v>2471449.61</v>
      </c>
      <c r="T53" s="227">
        <v>0</v>
      </c>
      <c r="U53" s="227">
        <v>87397.13</v>
      </c>
      <c r="V53" s="227">
        <v>0</v>
      </c>
      <c r="W53" s="227">
        <v>71520</v>
      </c>
      <c r="X53" s="227">
        <v>75516.42</v>
      </c>
      <c r="Y53" s="227">
        <v>117259.46</v>
      </c>
      <c r="Z53" s="227">
        <v>64410.68</v>
      </c>
      <c r="AA53" s="227">
        <v>25858.16</v>
      </c>
      <c r="AB53" s="227">
        <v>12455.9</v>
      </c>
      <c r="AC53" s="227">
        <v>0</v>
      </c>
      <c r="AD53" s="227">
        <v>0</v>
      </c>
      <c r="AE53" s="227">
        <v>120552.51</v>
      </c>
      <c r="AF53" s="227">
        <v>19665.77</v>
      </c>
      <c r="AG53" s="227">
        <v>0</v>
      </c>
      <c r="AH53" s="227">
        <v>0</v>
      </c>
      <c r="AI53" s="227">
        <v>0</v>
      </c>
      <c r="AJ53" s="227">
        <v>1502762.96</v>
      </c>
      <c r="AK53" s="227">
        <v>0</v>
      </c>
      <c r="AL53" s="227">
        <v>524163.62</v>
      </c>
      <c r="AM53" s="227">
        <v>46035.97</v>
      </c>
      <c r="AN53" s="227">
        <v>124017.98</v>
      </c>
      <c r="AO53" s="227">
        <v>0</v>
      </c>
      <c r="AP53" s="227">
        <v>45098.51</v>
      </c>
      <c r="AQ53" s="227">
        <v>97661.25</v>
      </c>
      <c r="AR53" s="227">
        <v>6864</v>
      </c>
      <c r="AS53" s="227">
        <v>654.92999999999995</v>
      </c>
      <c r="AT53" s="227">
        <v>0</v>
      </c>
      <c r="AU53" s="227">
        <v>25227.65</v>
      </c>
      <c r="AV53" s="227">
        <v>3980.8</v>
      </c>
      <c r="AW53" s="227">
        <v>72129.69</v>
      </c>
      <c r="AX53" s="227">
        <v>12676.36</v>
      </c>
      <c r="AY53" s="227">
        <v>37488.089999999997</v>
      </c>
      <c r="AZ53" s="227">
        <v>31770.38</v>
      </c>
      <c r="BA53" s="227">
        <v>13511.72</v>
      </c>
      <c r="BB53" s="227">
        <v>92784.88</v>
      </c>
      <c r="BC53" s="227">
        <v>8297.52</v>
      </c>
      <c r="BD53" s="227">
        <v>0</v>
      </c>
      <c r="BE53" s="227">
        <v>12792.85</v>
      </c>
      <c r="BF53" s="227">
        <v>17157.36</v>
      </c>
      <c r="BG53" s="227">
        <v>1961.98</v>
      </c>
      <c r="BH53" s="227">
        <v>217.17</v>
      </c>
      <c r="BI53" s="227">
        <v>6450</v>
      </c>
      <c r="BJ53" s="227">
        <v>0</v>
      </c>
      <c r="BK53" s="227">
        <v>5381.75</v>
      </c>
      <c r="BL53" s="227">
        <v>17249.04</v>
      </c>
      <c r="BM53" s="227">
        <v>1581.96</v>
      </c>
      <c r="BN53" s="227">
        <v>176156.46</v>
      </c>
      <c r="BO53" s="227">
        <v>64291.47</v>
      </c>
      <c r="BP53" s="227">
        <v>112997.55</v>
      </c>
      <c r="BQ53" s="227">
        <v>46084.73</v>
      </c>
      <c r="BR53" s="227">
        <v>0</v>
      </c>
      <c r="BS53" s="227">
        <v>0</v>
      </c>
      <c r="BT53" s="227">
        <v>1608.4</v>
      </c>
      <c r="BU53" s="227">
        <v>0</v>
      </c>
      <c r="BV53" s="227">
        <v>0</v>
      </c>
      <c r="BW53" s="334">
        <v>0</v>
      </c>
      <c r="BX53" s="335"/>
      <c r="BY53" s="227">
        <v>0</v>
      </c>
      <c r="BZ53" s="227">
        <v>1608.4</v>
      </c>
      <c r="CA53" s="227">
        <v>6000</v>
      </c>
      <c r="CB53" s="227">
        <v>0</v>
      </c>
      <c r="CC53" s="227">
        <v>0</v>
      </c>
      <c r="CD53" s="227">
        <v>9818.4</v>
      </c>
      <c r="CE53" s="227">
        <v>0</v>
      </c>
      <c r="CF53" s="227">
        <v>0</v>
      </c>
      <c r="CG53" s="227">
        <v>0</v>
      </c>
      <c r="CH53" s="227">
        <v>0</v>
      </c>
      <c r="CI53" s="227">
        <v>0</v>
      </c>
      <c r="CJ53" s="227">
        <v>0</v>
      </c>
      <c r="CK53" s="227">
        <v>-117574.39</v>
      </c>
      <c r="CL53" s="227">
        <v>0</v>
      </c>
      <c r="CM53" s="227">
        <v>0</v>
      </c>
      <c r="CN53" s="227">
        <v>0</v>
      </c>
      <c r="CO53" s="227">
        <v>0</v>
      </c>
      <c r="CQ53" s="229">
        <f t="shared" si="0"/>
        <v>-117574.39</v>
      </c>
    </row>
    <row r="54" spans="1:95" ht="30">
      <c r="A54" s="226">
        <v>302</v>
      </c>
      <c r="B54" s="226">
        <v>3312</v>
      </c>
      <c r="C54" s="226" t="s">
        <v>474</v>
      </c>
      <c r="D54" s="226" t="s">
        <v>424</v>
      </c>
      <c r="E54" s="226"/>
      <c r="F54" s="226" t="s">
        <v>420</v>
      </c>
      <c r="G54" s="226">
        <v>0</v>
      </c>
      <c r="H54" s="226">
        <v>0</v>
      </c>
      <c r="I54" s="226" t="s">
        <v>483</v>
      </c>
      <c r="J54" s="226" t="s">
        <v>482</v>
      </c>
      <c r="K54" s="226" t="s">
        <v>421</v>
      </c>
      <c r="L54" s="226" t="s">
        <v>422</v>
      </c>
      <c r="M54" s="226" t="s">
        <v>421</v>
      </c>
      <c r="N54" s="226" t="s">
        <v>423</v>
      </c>
      <c r="O54" s="226" t="s">
        <v>171</v>
      </c>
      <c r="P54" s="227">
        <v>68076</v>
      </c>
      <c r="Q54" s="227">
        <v>0</v>
      </c>
      <c r="R54" s="227">
        <v>0</v>
      </c>
      <c r="S54" s="227">
        <v>1250493.76</v>
      </c>
      <c r="T54" s="227">
        <v>0</v>
      </c>
      <c r="U54" s="227">
        <v>122245.59</v>
      </c>
      <c r="V54" s="227">
        <v>0</v>
      </c>
      <c r="W54" s="227">
        <v>48795</v>
      </c>
      <c r="X54" s="227">
        <v>49628.68</v>
      </c>
      <c r="Y54" s="227">
        <v>62341.3</v>
      </c>
      <c r="Z54" s="227">
        <v>160</v>
      </c>
      <c r="AA54" s="227">
        <v>42260.15</v>
      </c>
      <c r="AB54" s="227">
        <v>2438.73</v>
      </c>
      <c r="AC54" s="227">
        <v>6287</v>
      </c>
      <c r="AD54" s="227">
        <v>5971</v>
      </c>
      <c r="AE54" s="227">
        <v>39692.400000000001</v>
      </c>
      <c r="AF54" s="227">
        <v>8689.7199999999993</v>
      </c>
      <c r="AG54" s="227">
        <v>0</v>
      </c>
      <c r="AH54" s="227">
        <v>0</v>
      </c>
      <c r="AI54" s="227">
        <v>0</v>
      </c>
      <c r="AJ54" s="227">
        <v>792978.48</v>
      </c>
      <c r="AK54" s="227">
        <v>0</v>
      </c>
      <c r="AL54" s="227">
        <v>427704.75</v>
      </c>
      <c r="AM54" s="227">
        <v>44110.05</v>
      </c>
      <c r="AN54" s="227">
        <v>70894.62</v>
      </c>
      <c r="AO54" s="227">
        <v>0</v>
      </c>
      <c r="AP54" s="227">
        <v>36833.96</v>
      </c>
      <c r="AQ54" s="227">
        <v>487</v>
      </c>
      <c r="AR54" s="227">
        <v>2884.4</v>
      </c>
      <c r="AS54" s="227">
        <v>365.94</v>
      </c>
      <c r="AT54" s="227">
        <v>7689.63</v>
      </c>
      <c r="AU54" s="227">
        <v>3193.08</v>
      </c>
      <c r="AV54" s="227">
        <v>33.33</v>
      </c>
      <c r="AW54" s="227">
        <v>23022.61</v>
      </c>
      <c r="AX54" s="227">
        <v>3415.95</v>
      </c>
      <c r="AY54" s="227">
        <v>12165.63</v>
      </c>
      <c r="AZ54" s="227">
        <v>4370.9399999999996</v>
      </c>
      <c r="BA54" s="227">
        <v>7706.54</v>
      </c>
      <c r="BB54" s="227">
        <v>67313.91</v>
      </c>
      <c r="BC54" s="227">
        <v>5987.19</v>
      </c>
      <c r="BD54" s="227">
        <v>0</v>
      </c>
      <c r="BE54" s="227">
        <v>5623.36</v>
      </c>
      <c r="BF54" s="227">
        <v>10482.77</v>
      </c>
      <c r="BG54" s="227">
        <v>0</v>
      </c>
      <c r="BH54" s="227">
        <v>100</v>
      </c>
      <c r="BI54" s="227">
        <v>10732.15</v>
      </c>
      <c r="BJ54" s="227">
        <v>0</v>
      </c>
      <c r="BK54" s="227">
        <v>348.17</v>
      </c>
      <c r="BL54" s="227">
        <v>9283.32</v>
      </c>
      <c r="BM54" s="227">
        <v>4573.84</v>
      </c>
      <c r="BN54" s="227">
        <v>91834.92</v>
      </c>
      <c r="BO54" s="227">
        <v>0</v>
      </c>
      <c r="BP54" s="227">
        <v>28220.45</v>
      </c>
      <c r="BQ54" s="227">
        <v>26429.55</v>
      </c>
      <c r="BR54" s="227">
        <v>0</v>
      </c>
      <c r="BS54" s="227">
        <v>0</v>
      </c>
      <c r="BT54" s="227">
        <v>0</v>
      </c>
      <c r="BU54" s="227">
        <v>0</v>
      </c>
      <c r="BV54" s="227">
        <v>0</v>
      </c>
      <c r="BW54" s="334">
        <v>0</v>
      </c>
      <c r="BX54" s="335"/>
      <c r="BY54" s="227">
        <v>0</v>
      </c>
      <c r="BZ54" s="227">
        <v>0</v>
      </c>
      <c r="CA54" s="227">
        <v>6000</v>
      </c>
      <c r="CB54" s="227">
        <v>0</v>
      </c>
      <c r="CC54" s="227">
        <v>0</v>
      </c>
      <c r="CD54" s="227">
        <v>0</v>
      </c>
      <c r="CE54" s="227">
        <v>0</v>
      </c>
      <c r="CF54" s="227">
        <v>0</v>
      </c>
      <c r="CG54" s="227">
        <v>0</v>
      </c>
      <c r="CH54" s="227">
        <v>0</v>
      </c>
      <c r="CI54" s="227">
        <v>0</v>
      </c>
      <c r="CJ54" s="227">
        <v>0</v>
      </c>
      <c r="CK54" s="227">
        <v>8292.7900000000009</v>
      </c>
      <c r="CL54" s="227">
        <v>0</v>
      </c>
      <c r="CM54" s="227">
        <v>0</v>
      </c>
      <c r="CN54" s="227">
        <v>0</v>
      </c>
      <c r="CO54" s="227">
        <v>0</v>
      </c>
      <c r="CQ54" s="229">
        <f t="shared" si="0"/>
        <v>8292.7900000000009</v>
      </c>
    </row>
    <row r="55" spans="1:95" ht="15">
      <c r="A55" s="226">
        <v>302</v>
      </c>
      <c r="B55" s="226">
        <v>3313</v>
      </c>
      <c r="C55" s="226" t="s">
        <v>259</v>
      </c>
      <c r="D55" s="226" t="s">
        <v>424</v>
      </c>
      <c r="E55" s="226"/>
      <c r="F55" s="226" t="s">
        <v>420</v>
      </c>
      <c r="G55" s="226">
        <v>0</v>
      </c>
      <c r="H55" s="226">
        <v>0</v>
      </c>
      <c r="I55" s="226" t="s">
        <v>483</v>
      </c>
      <c r="J55" s="226" t="s">
        <v>482</v>
      </c>
      <c r="K55" s="226" t="s">
        <v>421</v>
      </c>
      <c r="L55" s="226" t="s">
        <v>422</v>
      </c>
      <c r="M55" s="226" t="s">
        <v>421</v>
      </c>
      <c r="N55" s="226" t="s">
        <v>423</v>
      </c>
      <c r="O55" s="226" t="s">
        <v>171</v>
      </c>
      <c r="P55" s="227">
        <v>160701</v>
      </c>
      <c r="Q55" s="227">
        <v>0</v>
      </c>
      <c r="R55" s="227">
        <v>0</v>
      </c>
      <c r="S55" s="227">
        <v>1310131.76</v>
      </c>
      <c r="T55" s="227">
        <v>0</v>
      </c>
      <c r="U55" s="227">
        <v>135606.89000000001</v>
      </c>
      <c r="V55" s="227">
        <v>0</v>
      </c>
      <c r="W55" s="227">
        <v>72720</v>
      </c>
      <c r="X55" s="227">
        <v>34080</v>
      </c>
      <c r="Y55" s="227">
        <v>37803.21</v>
      </c>
      <c r="Z55" s="227">
        <v>624.82000000000005</v>
      </c>
      <c r="AA55" s="227">
        <v>21609.599999999999</v>
      </c>
      <c r="AB55" s="227">
        <v>3.04</v>
      </c>
      <c r="AC55" s="227">
        <v>0</v>
      </c>
      <c r="AD55" s="227">
        <v>10044</v>
      </c>
      <c r="AE55" s="227">
        <v>13510.2</v>
      </c>
      <c r="AF55" s="227">
        <v>4031.36</v>
      </c>
      <c r="AG55" s="227">
        <v>0</v>
      </c>
      <c r="AH55" s="227">
        <v>0</v>
      </c>
      <c r="AI55" s="227">
        <v>0</v>
      </c>
      <c r="AJ55" s="227">
        <v>752547.87</v>
      </c>
      <c r="AK55" s="227">
        <v>8136.75</v>
      </c>
      <c r="AL55" s="227">
        <v>500064.31</v>
      </c>
      <c r="AM55" s="227">
        <v>46228.31</v>
      </c>
      <c r="AN55" s="227">
        <v>73856.5</v>
      </c>
      <c r="AO55" s="227">
        <v>0</v>
      </c>
      <c r="AP55" s="227">
        <v>16656.13</v>
      </c>
      <c r="AQ55" s="227">
        <v>4288.75</v>
      </c>
      <c r="AR55" s="227">
        <v>2688.2</v>
      </c>
      <c r="AS55" s="227">
        <v>15576.48</v>
      </c>
      <c r="AT55" s="227">
        <v>0</v>
      </c>
      <c r="AU55" s="227">
        <v>14966.86</v>
      </c>
      <c r="AV55" s="227">
        <v>202.63</v>
      </c>
      <c r="AW55" s="227">
        <v>26394.21</v>
      </c>
      <c r="AX55" s="227">
        <v>4718.3100000000004</v>
      </c>
      <c r="AY55" s="227">
        <v>16508.509999999998</v>
      </c>
      <c r="AZ55" s="227">
        <v>4098.34</v>
      </c>
      <c r="BA55" s="227">
        <v>8373.51</v>
      </c>
      <c r="BB55" s="227">
        <v>32063.67</v>
      </c>
      <c r="BC55" s="227">
        <v>4447.6899999999996</v>
      </c>
      <c r="BD55" s="227">
        <v>0</v>
      </c>
      <c r="BE55" s="227">
        <v>0</v>
      </c>
      <c r="BF55" s="227">
        <v>6071.34</v>
      </c>
      <c r="BG55" s="227">
        <v>0</v>
      </c>
      <c r="BH55" s="227">
        <v>861.46</v>
      </c>
      <c r="BI55" s="227">
        <v>4570</v>
      </c>
      <c r="BJ55" s="227">
        <v>0</v>
      </c>
      <c r="BK55" s="227">
        <v>3676.26</v>
      </c>
      <c r="BL55" s="227">
        <v>8173.35</v>
      </c>
      <c r="BM55" s="227">
        <v>4221.41</v>
      </c>
      <c r="BN55" s="227">
        <v>77108.02</v>
      </c>
      <c r="BO55" s="227">
        <v>15670.9</v>
      </c>
      <c r="BP55" s="227">
        <v>108609.48</v>
      </c>
      <c r="BQ55" s="227">
        <v>32637.63</v>
      </c>
      <c r="BR55" s="227">
        <v>0</v>
      </c>
      <c r="BS55" s="227">
        <v>0</v>
      </c>
      <c r="BT55" s="227">
        <v>0</v>
      </c>
      <c r="BU55" s="227">
        <v>0</v>
      </c>
      <c r="BV55" s="227">
        <v>0</v>
      </c>
      <c r="BW55" s="334">
        <v>0</v>
      </c>
      <c r="BX55" s="335"/>
      <c r="BY55" s="227">
        <v>0</v>
      </c>
      <c r="BZ55" s="227">
        <v>0</v>
      </c>
      <c r="CA55" s="227">
        <v>6000</v>
      </c>
      <c r="CB55" s="227">
        <v>0</v>
      </c>
      <c r="CC55" s="227">
        <v>0</v>
      </c>
      <c r="CD55" s="227">
        <v>0</v>
      </c>
      <c r="CE55" s="227">
        <v>0</v>
      </c>
      <c r="CF55" s="227">
        <v>0</v>
      </c>
      <c r="CG55" s="227">
        <v>0</v>
      </c>
      <c r="CH55" s="227">
        <v>0</v>
      </c>
      <c r="CI55" s="227">
        <v>0</v>
      </c>
      <c r="CJ55" s="227">
        <v>7272</v>
      </c>
      <c r="CK55" s="227">
        <v>177</v>
      </c>
      <c r="CL55" s="227">
        <v>0</v>
      </c>
      <c r="CM55" s="227">
        <v>0</v>
      </c>
      <c r="CN55" s="227">
        <v>0</v>
      </c>
      <c r="CO55" s="227">
        <v>0</v>
      </c>
      <c r="CQ55" s="229">
        <f t="shared" si="0"/>
        <v>7449</v>
      </c>
    </row>
    <row r="56" spans="1:95" ht="15">
      <c r="A56" s="226">
        <v>302</v>
      </c>
      <c r="B56" s="226">
        <v>3314</v>
      </c>
      <c r="C56" s="226" t="s">
        <v>299</v>
      </c>
      <c r="D56" s="226" t="s">
        <v>424</v>
      </c>
      <c r="E56" s="226"/>
      <c r="F56" s="226" t="s">
        <v>420</v>
      </c>
      <c r="G56" s="226">
        <v>0</v>
      </c>
      <c r="H56" s="226">
        <v>0</v>
      </c>
      <c r="I56" s="226" t="s">
        <v>483</v>
      </c>
      <c r="J56" s="226" t="s">
        <v>482</v>
      </c>
      <c r="K56" s="226" t="s">
        <v>421</v>
      </c>
      <c r="L56" s="226" t="s">
        <v>422</v>
      </c>
      <c r="M56" s="226" t="s">
        <v>421</v>
      </c>
      <c r="N56" s="226" t="s">
        <v>423</v>
      </c>
      <c r="O56" s="226" t="s">
        <v>171</v>
      </c>
      <c r="P56" s="227">
        <v>61532</v>
      </c>
      <c r="Q56" s="227">
        <v>0</v>
      </c>
      <c r="R56" s="227">
        <v>0</v>
      </c>
      <c r="S56" s="227">
        <v>1244168.47</v>
      </c>
      <c r="T56" s="227">
        <v>0</v>
      </c>
      <c r="U56" s="227">
        <v>90451.42</v>
      </c>
      <c r="V56" s="227">
        <v>0</v>
      </c>
      <c r="W56" s="227">
        <v>60600</v>
      </c>
      <c r="X56" s="227">
        <v>50811</v>
      </c>
      <c r="Y56" s="227">
        <v>84752.69</v>
      </c>
      <c r="Z56" s="227">
        <v>220</v>
      </c>
      <c r="AA56" s="227">
        <v>57537.68</v>
      </c>
      <c r="AB56" s="227">
        <v>1565.46</v>
      </c>
      <c r="AC56" s="227">
        <v>0</v>
      </c>
      <c r="AD56" s="227">
        <v>0</v>
      </c>
      <c r="AE56" s="227">
        <v>22528</v>
      </c>
      <c r="AF56" s="227">
        <v>11228.09</v>
      </c>
      <c r="AG56" s="227">
        <v>0</v>
      </c>
      <c r="AH56" s="227">
        <v>0</v>
      </c>
      <c r="AI56" s="227">
        <v>0</v>
      </c>
      <c r="AJ56" s="227">
        <v>732211.88</v>
      </c>
      <c r="AK56" s="227">
        <v>0</v>
      </c>
      <c r="AL56" s="227">
        <v>277050.05</v>
      </c>
      <c r="AM56" s="227">
        <v>27141.94</v>
      </c>
      <c r="AN56" s="227">
        <v>65141.65</v>
      </c>
      <c r="AO56" s="227">
        <v>0</v>
      </c>
      <c r="AP56" s="227">
        <v>73287.320000000007</v>
      </c>
      <c r="AQ56" s="227">
        <v>6914.35</v>
      </c>
      <c r="AR56" s="227">
        <v>2881.95</v>
      </c>
      <c r="AS56" s="227">
        <v>353.97</v>
      </c>
      <c r="AT56" s="227">
        <v>0</v>
      </c>
      <c r="AU56" s="227">
        <v>11970.93</v>
      </c>
      <c r="AV56" s="227">
        <v>1655</v>
      </c>
      <c r="AW56" s="227">
        <v>3787.49</v>
      </c>
      <c r="AX56" s="227">
        <v>5255.09</v>
      </c>
      <c r="AY56" s="227">
        <v>22436.5</v>
      </c>
      <c r="AZ56" s="227">
        <v>3715.22</v>
      </c>
      <c r="BA56" s="227">
        <v>8169.22</v>
      </c>
      <c r="BB56" s="227">
        <v>50197.42</v>
      </c>
      <c r="BC56" s="227">
        <v>4198.74</v>
      </c>
      <c r="BD56" s="227">
        <v>7809.95</v>
      </c>
      <c r="BE56" s="227">
        <v>8504.25</v>
      </c>
      <c r="BF56" s="227">
        <v>7317.74</v>
      </c>
      <c r="BG56" s="227">
        <v>2114.9899999999998</v>
      </c>
      <c r="BH56" s="227">
        <v>305.05</v>
      </c>
      <c r="BI56" s="227">
        <v>8130</v>
      </c>
      <c r="BJ56" s="227">
        <v>0</v>
      </c>
      <c r="BK56" s="227">
        <v>12938.7</v>
      </c>
      <c r="BL56" s="227">
        <v>9128.99</v>
      </c>
      <c r="BM56" s="227">
        <v>11818.43</v>
      </c>
      <c r="BN56" s="227">
        <v>89309.02</v>
      </c>
      <c r="BO56" s="227">
        <v>3848.4</v>
      </c>
      <c r="BP56" s="227">
        <v>154899.87</v>
      </c>
      <c r="BQ56" s="227">
        <v>34611.699999999997</v>
      </c>
      <c r="BR56" s="227">
        <v>0</v>
      </c>
      <c r="BS56" s="227">
        <v>0</v>
      </c>
      <c r="BT56" s="227">
        <v>0</v>
      </c>
      <c r="BU56" s="227">
        <v>0</v>
      </c>
      <c r="BV56" s="227">
        <v>0</v>
      </c>
      <c r="BW56" s="334">
        <v>0</v>
      </c>
      <c r="BX56" s="335"/>
      <c r="BY56" s="227">
        <v>0</v>
      </c>
      <c r="BZ56" s="227">
        <v>0</v>
      </c>
      <c r="CA56" s="227">
        <v>6000</v>
      </c>
      <c r="CB56" s="227">
        <v>0</v>
      </c>
      <c r="CC56" s="227">
        <v>0</v>
      </c>
      <c r="CD56" s="227">
        <v>0</v>
      </c>
      <c r="CE56" s="227">
        <v>0</v>
      </c>
      <c r="CF56" s="227">
        <v>0</v>
      </c>
      <c r="CG56" s="227">
        <v>0</v>
      </c>
      <c r="CH56" s="227">
        <v>0</v>
      </c>
      <c r="CI56" s="227">
        <v>0</v>
      </c>
      <c r="CJ56" s="227">
        <v>0</v>
      </c>
      <c r="CK56" s="227">
        <v>38289</v>
      </c>
      <c r="CL56" s="227">
        <v>0</v>
      </c>
      <c r="CM56" s="227">
        <v>0</v>
      </c>
      <c r="CN56" s="227">
        <v>0</v>
      </c>
      <c r="CO56" s="227">
        <v>0</v>
      </c>
      <c r="CQ56" s="229">
        <f t="shared" si="0"/>
        <v>38289</v>
      </c>
    </row>
    <row r="57" spans="1:95" ht="30">
      <c r="A57" s="226">
        <v>302</v>
      </c>
      <c r="B57" s="226">
        <v>3315</v>
      </c>
      <c r="C57" s="226" t="s">
        <v>337</v>
      </c>
      <c r="D57" s="226" t="s">
        <v>424</v>
      </c>
      <c r="E57" s="226"/>
      <c r="F57" s="226" t="s">
        <v>420</v>
      </c>
      <c r="G57" s="226">
        <v>0</v>
      </c>
      <c r="H57" s="226">
        <v>0</v>
      </c>
      <c r="I57" s="226" t="s">
        <v>483</v>
      </c>
      <c r="J57" s="226" t="s">
        <v>482</v>
      </c>
      <c r="K57" s="226" t="s">
        <v>421</v>
      </c>
      <c r="L57" s="226" t="s">
        <v>422</v>
      </c>
      <c r="M57" s="226" t="s">
        <v>421</v>
      </c>
      <c r="N57" s="226" t="s">
        <v>423</v>
      </c>
      <c r="O57" s="226" t="s">
        <v>171</v>
      </c>
      <c r="P57" s="227">
        <v>44643</v>
      </c>
      <c r="Q57" s="227">
        <v>0</v>
      </c>
      <c r="R57" s="227">
        <v>0</v>
      </c>
      <c r="S57" s="227">
        <v>1156801.3999999999</v>
      </c>
      <c r="T57" s="227">
        <v>0</v>
      </c>
      <c r="U57" s="227">
        <v>21049.72</v>
      </c>
      <c r="V57" s="227">
        <v>0</v>
      </c>
      <c r="W57" s="227">
        <v>13235</v>
      </c>
      <c r="X57" s="227">
        <v>46416</v>
      </c>
      <c r="Y57" s="227">
        <v>56831.37</v>
      </c>
      <c r="Z57" s="227">
        <v>98472.36</v>
      </c>
      <c r="AA57" s="227">
        <v>0</v>
      </c>
      <c r="AB57" s="227">
        <v>506.39</v>
      </c>
      <c r="AC57" s="227">
        <v>8400</v>
      </c>
      <c r="AD57" s="227">
        <v>0</v>
      </c>
      <c r="AE57" s="227">
        <v>27770.65</v>
      </c>
      <c r="AF57" s="227">
        <v>81834.38</v>
      </c>
      <c r="AG57" s="227">
        <v>0</v>
      </c>
      <c r="AH57" s="227">
        <v>0</v>
      </c>
      <c r="AI57" s="227">
        <v>0</v>
      </c>
      <c r="AJ57" s="227">
        <v>771219.9</v>
      </c>
      <c r="AK57" s="227">
        <v>0</v>
      </c>
      <c r="AL57" s="227">
        <v>216930.23</v>
      </c>
      <c r="AM57" s="227">
        <v>42557.22</v>
      </c>
      <c r="AN57" s="227">
        <v>73801.78</v>
      </c>
      <c r="AO57" s="227">
        <v>0</v>
      </c>
      <c r="AP57" s="227">
        <v>63790.94</v>
      </c>
      <c r="AQ57" s="227">
        <v>550.22</v>
      </c>
      <c r="AR57" s="227">
        <v>3052.41</v>
      </c>
      <c r="AS57" s="227">
        <v>5195.3900000000003</v>
      </c>
      <c r="AT57" s="227">
        <v>0</v>
      </c>
      <c r="AU57" s="227">
        <v>14214.76</v>
      </c>
      <c r="AV57" s="227">
        <v>0</v>
      </c>
      <c r="AW57" s="227">
        <v>1593.12</v>
      </c>
      <c r="AX57" s="227">
        <v>8270.99</v>
      </c>
      <c r="AY57" s="227">
        <v>22387.13</v>
      </c>
      <c r="AZ57" s="227">
        <v>4242.91</v>
      </c>
      <c r="BA57" s="227">
        <v>9468.56</v>
      </c>
      <c r="BB57" s="227">
        <v>72265.31</v>
      </c>
      <c r="BC57" s="227">
        <v>8297.5</v>
      </c>
      <c r="BD57" s="227">
        <v>0</v>
      </c>
      <c r="BE57" s="227">
        <v>1198.26</v>
      </c>
      <c r="BF57" s="227">
        <v>6757.96</v>
      </c>
      <c r="BG57" s="227">
        <v>0</v>
      </c>
      <c r="BH57" s="227">
        <v>25.48</v>
      </c>
      <c r="BI57" s="227">
        <v>0</v>
      </c>
      <c r="BJ57" s="227">
        <v>0</v>
      </c>
      <c r="BK57" s="227">
        <v>1371.11</v>
      </c>
      <c r="BL57" s="227">
        <v>8589.24</v>
      </c>
      <c r="BM57" s="227">
        <v>18070.939999999999</v>
      </c>
      <c r="BN57" s="227">
        <v>91701.19</v>
      </c>
      <c r="BO57" s="227">
        <v>28008.66</v>
      </c>
      <c r="BP57" s="227">
        <v>34045.879999999997</v>
      </c>
      <c r="BQ57" s="227">
        <v>37875.18</v>
      </c>
      <c r="BR57" s="227">
        <v>0</v>
      </c>
      <c r="BS57" s="227">
        <v>0</v>
      </c>
      <c r="BT57" s="227">
        <v>0</v>
      </c>
      <c r="BU57" s="227">
        <v>0</v>
      </c>
      <c r="BV57" s="227">
        <v>0</v>
      </c>
      <c r="BW57" s="334">
        <v>0</v>
      </c>
      <c r="BX57" s="335"/>
      <c r="BY57" s="227">
        <v>0</v>
      </c>
      <c r="BZ57" s="227">
        <v>0</v>
      </c>
      <c r="CA57" s="227">
        <v>6000</v>
      </c>
      <c r="CB57" s="227">
        <v>0</v>
      </c>
      <c r="CC57" s="227">
        <v>0</v>
      </c>
      <c r="CD57" s="227">
        <v>0</v>
      </c>
      <c r="CE57" s="227">
        <v>0</v>
      </c>
      <c r="CF57" s="227">
        <v>0</v>
      </c>
      <c r="CG57" s="227">
        <v>0</v>
      </c>
      <c r="CH57" s="227">
        <v>0</v>
      </c>
      <c r="CI57" s="227">
        <v>0</v>
      </c>
      <c r="CJ57" s="227">
        <v>0</v>
      </c>
      <c r="CK57" s="227">
        <v>10478</v>
      </c>
      <c r="CL57" s="227">
        <v>0</v>
      </c>
      <c r="CM57" s="227">
        <v>0</v>
      </c>
      <c r="CN57" s="227">
        <v>0</v>
      </c>
      <c r="CO57" s="227">
        <v>0</v>
      </c>
      <c r="CQ57" s="229">
        <f t="shared" si="0"/>
        <v>10478</v>
      </c>
    </row>
    <row r="58" spans="1:95" ht="15">
      <c r="A58" s="226">
        <v>302</v>
      </c>
      <c r="B58" s="226">
        <v>3316</v>
      </c>
      <c r="C58" s="226" t="s">
        <v>475</v>
      </c>
      <c r="D58" s="226" t="s">
        <v>424</v>
      </c>
      <c r="E58" s="226"/>
      <c r="F58" s="226" t="s">
        <v>420</v>
      </c>
      <c r="G58" s="226">
        <v>0</v>
      </c>
      <c r="H58" s="226">
        <v>1</v>
      </c>
      <c r="I58" s="226" t="s">
        <v>483</v>
      </c>
      <c r="J58" s="226" t="s">
        <v>482</v>
      </c>
      <c r="K58" s="226" t="s">
        <v>421</v>
      </c>
      <c r="L58" s="226" t="s">
        <v>422</v>
      </c>
      <c r="M58" s="226" t="s">
        <v>421</v>
      </c>
      <c r="N58" s="226" t="s">
        <v>423</v>
      </c>
      <c r="O58" s="226" t="s">
        <v>171</v>
      </c>
      <c r="P58" s="227">
        <v>-49371</v>
      </c>
      <c r="Q58" s="227">
        <v>0</v>
      </c>
      <c r="R58" s="227">
        <v>0</v>
      </c>
      <c r="S58" s="227">
        <v>1208534.79</v>
      </c>
      <c r="T58" s="227">
        <v>0</v>
      </c>
      <c r="U58" s="227">
        <v>94584.01</v>
      </c>
      <c r="V58" s="227">
        <v>0</v>
      </c>
      <c r="W58" s="227">
        <v>31350</v>
      </c>
      <c r="X58" s="227">
        <v>56861.9</v>
      </c>
      <c r="Y58" s="227">
        <v>73701.09</v>
      </c>
      <c r="Z58" s="227">
        <v>1924</v>
      </c>
      <c r="AA58" s="227">
        <v>51916.13</v>
      </c>
      <c r="AB58" s="227">
        <v>1452.18</v>
      </c>
      <c r="AC58" s="227">
        <v>0</v>
      </c>
      <c r="AD58" s="227">
        <v>0</v>
      </c>
      <c r="AE58" s="227">
        <v>29971.34</v>
      </c>
      <c r="AF58" s="227">
        <v>25128.89</v>
      </c>
      <c r="AG58" s="227">
        <v>0</v>
      </c>
      <c r="AH58" s="227">
        <v>0</v>
      </c>
      <c r="AI58" s="227">
        <v>0</v>
      </c>
      <c r="AJ58" s="227">
        <v>826124.1</v>
      </c>
      <c r="AK58" s="227">
        <v>0</v>
      </c>
      <c r="AL58" s="227">
        <v>240850.02</v>
      </c>
      <c r="AM58" s="227">
        <v>21704.84</v>
      </c>
      <c r="AN58" s="227">
        <v>52219.65</v>
      </c>
      <c r="AO58" s="227">
        <v>0</v>
      </c>
      <c r="AP58" s="227">
        <v>62540.83</v>
      </c>
      <c r="AQ58" s="227">
        <v>729.29</v>
      </c>
      <c r="AR58" s="227">
        <v>4428.8900000000003</v>
      </c>
      <c r="AS58" s="227">
        <v>4051.56</v>
      </c>
      <c r="AT58" s="227">
        <v>0</v>
      </c>
      <c r="AU58" s="227">
        <v>9714.06</v>
      </c>
      <c r="AV58" s="227">
        <v>0</v>
      </c>
      <c r="AW58" s="227">
        <v>12665</v>
      </c>
      <c r="AX58" s="227">
        <v>4697.57</v>
      </c>
      <c r="AY58" s="227">
        <v>12038.45</v>
      </c>
      <c r="AZ58" s="227">
        <v>4088.7</v>
      </c>
      <c r="BA58" s="227">
        <v>7391.95</v>
      </c>
      <c r="BB58" s="227">
        <v>74824.929999999993</v>
      </c>
      <c r="BC58" s="227">
        <v>5100.05</v>
      </c>
      <c r="BD58" s="227">
        <v>0</v>
      </c>
      <c r="BE58" s="227">
        <v>0</v>
      </c>
      <c r="BF58" s="227">
        <v>1652.75</v>
      </c>
      <c r="BG58" s="227">
        <v>1589.19</v>
      </c>
      <c r="BH58" s="227">
        <v>0</v>
      </c>
      <c r="BI58" s="227">
        <v>0</v>
      </c>
      <c r="BJ58" s="227">
        <v>0</v>
      </c>
      <c r="BK58" s="227">
        <v>11285.36</v>
      </c>
      <c r="BL58" s="227">
        <v>8539.74</v>
      </c>
      <c r="BM58" s="227">
        <v>19091.009999999998</v>
      </c>
      <c r="BN58" s="227">
        <v>79837.850000000006</v>
      </c>
      <c r="BO58" s="227">
        <v>3895.72</v>
      </c>
      <c r="BP58" s="227">
        <v>36547.65</v>
      </c>
      <c r="BQ58" s="227">
        <v>65856.58</v>
      </c>
      <c r="BR58" s="227">
        <v>0</v>
      </c>
      <c r="BS58" s="227">
        <v>0</v>
      </c>
      <c r="BT58" s="227">
        <v>0</v>
      </c>
      <c r="BU58" s="227">
        <v>0</v>
      </c>
      <c r="BV58" s="227">
        <v>0</v>
      </c>
      <c r="BW58" s="334">
        <v>0</v>
      </c>
      <c r="BX58" s="335"/>
      <c r="BY58" s="227">
        <v>0</v>
      </c>
      <c r="BZ58" s="227">
        <v>0</v>
      </c>
      <c r="CA58" s="227">
        <v>6000</v>
      </c>
      <c r="CB58" s="227">
        <v>0</v>
      </c>
      <c r="CC58" s="227">
        <v>0</v>
      </c>
      <c r="CD58" s="227">
        <v>0</v>
      </c>
      <c r="CE58" s="227">
        <v>0</v>
      </c>
      <c r="CF58" s="227">
        <v>0</v>
      </c>
      <c r="CG58" s="227">
        <v>0</v>
      </c>
      <c r="CH58" s="227">
        <v>0</v>
      </c>
      <c r="CI58" s="227">
        <v>0</v>
      </c>
      <c r="CJ58" s="227">
        <v>0</v>
      </c>
      <c r="CK58" s="227">
        <v>-45412.41</v>
      </c>
      <c r="CL58" s="227">
        <v>0</v>
      </c>
      <c r="CM58" s="227">
        <v>0</v>
      </c>
      <c r="CN58" s="227">
        <v>0</v>
      </c>
      <c r="CO58" s="227">
        <v>0</v>
      </c>
      <c r="CQ58" s="229">
        <f t="shared" si="0"/>
        <v>-45412.41</v>
      </c>
    </row>
    <row r="59" spans="1:95" ht="30">
      <c r="A59" s="226">
        <v>302</v>
      </c>
      <c r="B59" s="226">
        <v>3317</v>
      </c>
      <c r="C59" s="226" t="s">
        <v>476</v>
      </c>
      <c r="D59" s="226" t="s">
        <v>424</v>
      </c>
      <c r="E59" s="226"/>
      <c r="F59" s="226" t="s">
        <v>420</v>
      </c>
      <c r="G59" s="226">
        <v>0</v>
      </c>
      <c r="H59" s="226">
        <v>1</v>
      </c>
      <c r="I59" s="226" t="s">
        <v>483</v>
      </c>
      <c r="J59" s="226" t="s">
        <v>482</v>
      </c>
      <c r="K59" s="226" t="s">
        <v>421</v>
      </c>
      <c r="L59" s="226" t="s">
        <v>422</v>
      </c>
      <c r="M59" s="226" t="s">
        <v>421</v>
      </c>
      <c r="N59" s="226" t="s">
        <v>423</v>
      </c>
      <c r="O59" s="226" t="s">
        <v>171</v>
      </c>
      <c r="P59" s="227">
        <v>176641.72</v>
      </c>
      <c r="Q59" s="227">
        <v>0</v>
      </c>
      <c r="R59" s="227">
        <v>0</v>
      </c>
      <c r="S59" s="227">
        <v>1402794.75</v>
      </c>
      <c r="T59" s="227">
        <v>0</v>
      </c>
      <c r="U59" s="227">
        <v>196072.27</v>
      </c>
      <c r="V59" s="227">
        <v>0</v>
      </c>
      <c r="W59" s="227">
        <v>72520</v>
      </c>
      <c r="X59" s="227">
        <v>42898.6</v>
      </c>
      <c r="Y59" s="227">
        <v>61885.98</v>
      </c>
      <c r="Z59" s="227">
        <v>41937.360000000001</v>
      </c>
      <c r="AA59" s="227">
        <v>30331.27</v>
      </c>
      <c r="AB59" s="227">
        <v>2095.5</v>
      </c>
      <c r="AC59" s="227">
        <v>-8625</v>
      </c>
      <c r="AD59" s="227">
        <v>750</v>
      </c>
      <c r="AE59" s="227">
        <v>49297.02</v>
      </c>
      <c r="AF59" s="227">
        <v>33908.5</v>
      </c>
      <c r="AG59" s="227">
        <v>0</v>
      </c>
      <c r="AH59" s="227">
        <v>0</v>
      </c>
      <c r="AI59" s="227">
        <v>0</v>
      </c>
      <c r="AJ59" s="227">
        <v>812081.21</v>
      </c>
      <c r="AK59" s="227">
        <v>21627</v>
      </c>
      <c r="AL59" s="227">
        <v>404406.48</v>
      </c>
      <c r="AM59" s="227">
        <v>44598.82</v>
      </c>
      <c r="AN59" s="227">
        <v>71644.36</v>
      </c>
      <c r="AO59" s="227">
        <v>0</v>
      </c>
      <c r="AP59" s="227">
        <v>51708.1</v>
      </c>
      <c r="AQ59" s="227">
        <v>768.73</v>
      </c>
      <c r="AR59" s="227">
        <v>1484.5</v>
      </c>
      <c r="AS59" s="227">
        <v>6918.48</v>
      </c>
      <c r="AT59" s="227">
        <v>0</v>
      </c>
      <c r="AU59" s="227">
        <v>26366.43</v>
      </c>
      <c r="AV59" s="227">
        <v>5503.18</v>
      </c>
      <c r="AW59" s="227">
        <v>39328.699999999997</v>
      </c>
      <c r="AX59" s="227">
        <v>9569.98</v>
      </c>
      <c r="AY59" s="227">
        <v>29502.79</v>
      </c>
      <c r="AZ59" s="227">
        <v>4742.18</v>
      </c>
      <c r="BA59" s="227">
        <v>9205.91</v>
      </c>
      <c r="BB59" s="227">
        <v>63628.32</v>
      </c>
      <c r="BC59" s="227">
        <v>7136.06</v>
      </c>
      <c r="BD59" s="227">
        <v>0</v>
      </c>
      <c r="BE59" s="227">
        <v>2696.25</v>
      </c>
      <c r="BF59" s="227">
        <v>11508.82</v>
      </c>
      <c r="BG59" s="227">
        <v>5989.46</v>
      </c>
      <c r="BH59" s="227">
        <v>618.14</v>
      </c>
      <c r="BI59" s="227">
        <v>7430</v>
      </c>
      <c r="BJ59" s="227">
        <v>0</v>
      </c>
      <c r="BK59" s="227">
        <v>3206.8</v>
      </c>
      <c r="BL59" s="227">
        <v>11220.87</v>
      </c>
      <c r="BM59" s="227">
        <v>6865.36</v>
      </c>
      <c r="BN59" s="227">
        <v>91932.7</v>
      </c>
      <c r="BO59" s="227">
        <v>9681.34</v>
      </c>
      <c r="BP59" s="227">
        <v>96798.73</v>
      </c>
      <c r="BQ59" s="227">
        <v>27039.200000000001</v>
      </c>
      <c r="BR59" s="227">
        <v>0</v>
      </c>
      <c r="BS59" s="227">
        <v>0</v>
      </c>
      <c r="BT59" s="227">
        <v>0</v>
      </c>
      <c r="BU59" s="227">
        <v>0</v>
      </c>
      <c r="BV59" s="227">
        <v>0</v>
      </c>
      <c r="BW59" s="334">
        <v>0</v>
      </c>
      <c r="BX59" s="335"/>
      <c r="BY59" s="227">
        <v>0</v>
      </c>
      <c r="BZ59" s="227">
        <v>0</v>
      </c>
      <c r="CA59" s="227">
        <v>6000</v>
      </c>
      <c r="CB59" s="227">
        <v>0</v>
      </c>
      <c r="CC59" s="227">
        <v>0</v>
      </c>
      <c r="CD59" s="227">
        <v>0</v>
      </c>
      <c r="CE59" s="227">
        <v>0</v>
      </c>
      <c r="CF59" s="227">
        <v>0</v>
      </c>
      <c r="CG59" s="227">
        <v>0</v>
      </c>
      <c r="CH59" s="227">
        <v>0</v>
      </c>
      <c r="CI59" s="227">
        <v>0</v>
      </c>
      <c r="CJ59" s="227">
        <v>0</v>
      </c>
      <c r="CK59" s="227">
        <v>217299.07</v>
      </c>
      <c r="CL59" s="227">
        <v>0</v>
      </c>
      <c r="CM59" s="227">
        <v>0</v>
      </c>
      <c r="CN59" s="227">
        <v>0</v>
      </c>
      <c r="CO59" s="227">
        <v>0</v>
      </c>
      <c r="CQ59" s="229">
        <f t="shared" si="0"/>
        <v>217299.07</v>
      </c>
    </row>
    <row r="60" spans="1:95" ht="30">
      <c r="A60" s="226">
        <v>302</v>
      </c>
      <c r="B60" s="226">
        <v>3500</v>
      </c>
      <c r="C60" s="226" t="s">
        <v>313</v>
      </c>
      <c r="D60" s="226" t="s">
        <v>424</v>
      </c>
      <c r="E60" s="226"/>
      <c r="F60" s="226" t="s">
        <v>420</v>
      </c>
      <c r="G60" s="226">
        <v>0</v>
      </c>
      <c r="H60" s="226">
        <v>0</v>
      </c>
      <c r="I60" s="226" t="s">
        <v>483</v>
      </c>
      <c r="J60" s="226" t="s">
        <v>482</v>
      </c>
      <c r="K60" s="226" t="s">
        <v>421</v>
      </c>
      <c r="L60" s="226" t="s">
        <v>422</v>
      </c>
      <c r="M60" s="226" t="s">
        <v>421</v>
      </c>
      <c r="N60" s="226" t="s">
        <v>423</v>
      </c>
      <c r="O60" s="226" t="s">
        <v>171</v>
      </c>
      <c r="P60" s="227">
        <v>248078.12</v>
      </c>
      <c r="Q60" s="227">
        <v>0</v>
      </c>
      <c r="R60" s="227">
        <v>0</v>
      </c>
      <c r="S60" s="227">
        <v>1178570.77</v>
      </c>
      <c r="T60" s="227">
        <v>0</v>
      </c>
      <c r="U60" s="227">
        <v>142695.91</v>
      </c>
      <c r="V60" s="227">
        <v>0</v>
      </c>
      <c r="W60" s="227">
        <v>49995</v>
      </c>
      <c r="X60" s="227">
        <v>65191.839999999997</v>
      </c>
      <c r="Y60" s="227">
        <v>14908.27</v>
      </c>
      <c r="Z60" s="227">
        <v>0</v>
      </c>
      <c r="AA60" s="227">
        <v>18743.86</v>
      </c>
      <c r="AB60" s="227">
        <v>0</v>
      </c>
      <c r="AC60" s="227">
        <v>0</v>
      </c>
      <c r="AD60" s="227">
        <v>0</v>
      </c>
      <c r="AE60" s="227">
        <v>10115.44</v>
      </c>
      <c r="AF60" s="227">
        <v>2555.5500000000002</v>
      </c>
      <c r="AG60" s="227">
        <v>0</v>
      </c>
      <c r="AH60" s="227">
        <v>0</v>
      </c>
      <c r="AI60" s="227">
        <v>0</v>
      </c>
      <c r="AJ60" s="227">
        <v>540382.18999999994</v>
      </c>
      <c r="AK60" s="227">
        <v>0</v>
      </c>
      <c r="AL60" s="227">
        <v>212682.18</v>
      </c>
      <c r="AM60" s="227">
        <v>15254.73</v>
      </c>
      <c r="AN60" s="227">
        <v>44521.35</v>
      </c>
      <c r="AO60" s="227">
        <v>0</v>
      </c>
      <c r="AP60" s="227">
        <v>15399.3</v>
      </c>
      <c r="AQ60" s="227">
        <v>3708.5</v>
      </c>
      <c r="AR60" s="227">
        <v>2844.87</v>
      </c>
      <c r="AS60" s="227">
        <v>253.08</v>
      </c>
      <c r="AT60" s="227">
        <v>0</v>
      </c>
      <c r="AU60" s="227">
        <v>5774.24</v>
      </c>
      <c r="AV60" s="227">
        <v>120.99</v>
      </c>
      <c r="AW60" s="227">
        <v>13477.31</v>
      </c>
      <c r="AX60" s="227">
        <v>4448.42</v>
      </c>
      <c r="AY60" s="227">
        <v>15968.33</v>
      </c>
      <c r="AZ60" s="227">
        <v>3048.99</v>
      </c>
      <c r="BA60" s="227">
        <v>3431.67</v>
      </c>
      <c r="BB60" s="227">
        <v>31847.17</v>
      </c>
      <c r="BC60" s="227">
        <v>5297.31</v>
      </c>
      <c r="BD60" s="227">
        <v>0</v>
      </c>
      <c r="BE60" s="227">
        <v>4836</v>
      </c>
      <c r="BF60" s="227">
        <v>13103.13</v>
      </c>
      <c r="BG60" s="227">
        <v>706.9</v>
      </c>
      <c r="BH60" s="227">
        <v>1128.9000000000001</v>
      </c>
      <c r="BI60" s="227">
        <v>5469</v>
      </c>
      <c r="BJ60" s="227">
        <v>0</v>
      </c>
      <c r="BK60" s="227">
        <v>272.14999999999998</v>
      </c>
      <c r="BL60" s="227">
        <v>6784.74</v>
      </c>
      <c r="BM60" s="227">
        <v>8788.4</v>
      </c>
      <c r="BN60" s="227">
        <v>54519.32</v>
      </c>
      <c r="BO60" s="227">
        <v>163355.68</v>
      </c>
      <c r="BP60" s="227">
        <v>158205.23000000001</v>
      </c>
      <c r="BQ60" s="227">
        <v>14906.68</v>
      </c>
      <c r="BR60" s="227">
        <v>0</v>
      </c>
      <c r="BS60" s="227">
        <v>0</v>
      </c>
      <c r="BT60" s="227">
        <v>15097</v>
      </c>
      <c r="BU60" s="227">
        <v>0</v>
      </c>
      <c r="BV60" s="227">
        <v>0</v>
      </c>
      <c r="BW60" s="334">
        <v>0</v>
      </c>
      <c r="BX60" s="335"/>
      <c r="BY60" s="227">
        <v>0</v>
      </c>
      <c r="BZ60" s="227">
        <v>0</v>
      </c>
      <c r="CA60" s="227">
        <v>6000</v>
      </c>
      <c r="CB60" s="227">
        <v>0</v>
      </c>
      <c r="CC60" s="227">
        <v>0</v>
      </c>
      <c r="CD60" s="227">
        <v>0</v>
      </c>
      <c r="CE60" s="227">
        <v>0</v>
      </c>
      <c r="CF60" s="227">
        <v>0</v>
      </c>
      <c r="CG60" s="227">
        <v>0</v>
      </c>
      <c r="CH60" s="227">
        <v>0</v>
      </c>
      <c r="CI60" s="227">
        <v>0</v>
      </c>
      <c r="CJ60" s="227">
        <v>0</v>
      </c>
      <c r="CK60" s="227">
        <v>365221</v>
      </c>
      <c r="CL60" s="227">
        <v>0</v>
      </c>
      <c r="CM60" s="227">
        <v>0</v>
      </c>
      <c r="CN60" s="227">
        <v>0</v>
      </c>
      <c r="CO60" s="227">
        <v>0</v>
      </c>
      <c r="CQ60" s="229">
        <f t="shared" si="0"/>
        <v>365221</v>
      </c>
    </row>
    <row r="61" spans="1:95" ht="15">
      <c r="A61" s="226">
        <v>302</v>
      </c>
      <c r="B61" s="226">
        <v>3501</v>
      </c>
      <c r="C61" s="226" t="s">
        <v>78</v>
      </c>
      <c r="D61" s="226" t="s">
        <v>424</v>
      </c>
      <c r="E61" s="226"/>
      <c r="F61" s="226" t="s">
        <v>420</v>
      </c>
      <c r="G61" s="226">
        <v>0</v>
      </c>
      <c r="H61" s="226">
        <v>1</v>
      </c>
      <c r="I61" s="226" t="s">
        <v>483</v>
      </c>
      <c r="J61" s="226" t="s">
        <v>482</v>
      </c>
      <c r="K61" s="226" t="s">
        <v>421</v>
      </c>
      <c r="L61" s="226" t="s">
        <v>422</v>
      </c>
      <c r="M61" s="226" t="s">
        <v>421</v>
      </c>
      <c r="N61" s="226" t="s">
        <v>423</v>
      </c>
      <c r="O61" s="226" t="s">
        <v>171</v>
      </c>
      <c r="P61" s="227">
        <v>-262675.64</v>
      </c>
      <c r="Q61" s="227">
        <v>0</v>
      </c>
      <c r="R61" s="227">
        <v>0</v>
      </c>
      <c r="S61" s="227">
        <v>1263483.6200000001</v>
      </c>
      <c r="T61" s="227">
        <v>0</v>
      </c>
      <c r="U61" s="227">
        <v>115460.71</v>
      </c>
      <c r="V61" s="227">
        <v>0</v>
      </c>
      <c r="W61" s="227">
        <v>63230</v>
      </c>
      <c r="X61" s="227">
        <v>32607.5</v>
      </c>
      <c r="Y61" s="227">
        <v>73286.789999999994</v>
      </c>
      <c r="Z61" s="227">
        <v>7111.36</v>
      </c>
      <c r="AA61" s="227">
        <v>8863.08</v>
      </c>
      <c r="AB61" s="227">
        <v>3765.11</v>
      </c>
      <c r="AC61" s="227">
        <v>0</v>
      </c>
      <c r="AD61" s="227">
        <v>0</v>
      </c>
      <c r="AE61" s="227">
        <v>30028.83</v>
      </c>
      <c r="AF61" s="227">
        <v>27030.39</v>
      </c>
      <c r="AG61" s="227">
        <v>0</v>
      </c>
      <c r="AH61" s="227">
        <v>0</v>
      </c>
      <c r="AI61" s="227">
        <v>0</v>
      </c>
      <c r="AJ61" s="227">
        <v>840671.61</v>
      </c>
      <c r="AK61" s="227">
        <v>0</v>
      </c>
      <c r="AL61" s="227">
        <v>251668.63</v>
      </c>
      <c r="AM61" s="227">
        <v>83962.54</v>
      </c>
      <c r="AN61" s="227">
        <v>71856.13</v>
      </c>
      <c r="AO61" s="227">
        <v>0</v>
      </c>
      <c r="AP61" s="227">
        <v>30531.5</v>
      </c>
      <c r="AQ61" s="227">
        <v>1015.5</v>
      </c>
      <c r="AR61" s="227">
        <v>3593.23</v>
      </c>
      <c r="AS61" s="227">
        <v>314.64</v>
      </c>
      <c r="AT61" s="227">
        <v>0</v>
      </c>
      <c r="AU61" s="227">
        <v>20529.080000000002</v>
      </c>
      <c r="AV61" s="227">
        <v>0</v>
      </c>
      <c r="AW61" s="227">
        <v>8278.5499999999993</v>
      </c>
      <c r="AX61" s="227">
        <v>3502.06</v>
      </c>
      <c r="AY61" s="227">
        <v>36525.99</v>
      </c>
      <c r="AZ61" s="227">
        <v>4619.79</v>
      </c>
      <c r="BA61" s="227">
        <v>17427.28</v>
      </c>
      <c r="BB61" s="227">
        <v>40979.43</v>
      </c>
      <c r="BC61" s="227">
        <v>12194.89</v>
      </c>
      <c r="BD61" s="227">
        <v>0</v>
      </c>
      <c r="BE61" s="227">
        <v>1220.3499999999999</v>
      </c>
      <c r="BF61" s="227">
        <v>16287.11</v>
      </c>
      <c r="BG61" s="227">
        <v>376.02</v>
      </c>
      <c r="BH61" s="227">
        <v>0</v>
      </c>
      <c r="BI61" s="227">
        <v>6261.55</v>
      </c>
      <c r="BJ61" s="227">
        <v>0</v>
      </c>
      <c r="BK61" s="227">
        <v>16030.73</v>
      </c>
      <c r="BL61" s="227">
        <v>8665.65</v>
      </c>
      <c r="BM61" s="227">
        <v>2152.86</v>
      </c>
      <c r="BN61" s="227">
        <v>78010.289999999994</v>
      </c>
      <c r="BO61" s="227">
        <v>31314.240000000002</v>
      </c>
      <c r="BP61" s="227">
        <v>246531.62</v>
      </c>
      <c r="BQ61" s="227">
        <v>36197.480000000003</v>
      </c>
      <c r="BR61" s="227">
        <v>0</v>
      </c>
      <c r="BS61" s="227">
        <v>0</v>
      </c>
      <c r="BT61" s="227">
        <v>0</v>
      </c>
      <c r="BU61" s="227">
        <v>0</v>
      </c>
      <c r="BV61" s="227">
        <v>0</v>
      </c>
      <c r="BW61" s="334">
        <v>0</v>
      </c>
      <c r="BX61" s="335"/>
      <c r="BY61" s="227">
        <v>0</v>
      </c>
      <c r="BZ61" s="227">
        <v>0</v>
      </c>
      <c r="CA61" s="227">
        <v>6000</v>
      </c>
      <c r="CB61" s="227">
        <v>0</v>
      </c>
      <c r="CC61" s="227">
        <v>0</v>
      </c>
      <c r="CD61" s="227">
        <v>0</v>
      </c>
      <c r="CE61" s="227">
        <v>0</v>
      </c>
      <c r="CF61" s="227">
        <v>0</v>
      </c>
      <c r="CG61" s="227">
        <v>0</v>
      </c>
      <c r="CH61" s="227">
        <v>0</v>
      </c>
      <c r="CI61" s="227">
        <v>0</v>
      </c>
      <c r="CJ61" s="227">
        <v>0</v>
      </c>
      <c r="CK61" s="227">
        <v>-508527</v>
      </c>
      <c r="CL61" s="227">
        <v>0</v>
      </c>
      <c r="CM61" s="227">
        <v>0</v>
      </c>
      <c r="CN61" s="227">
        <v>0</v>
      </c>
      <c r="CO61" s="227">
        <v>0</v>
      </c>
      <c r="CQ61" s="229">
        <f t="shared" si="0"/>
        <v>-508527</v>
      </c>
    </row>
    <row r="62" spans="1:95" ht="15">
      <c r="A62" s="226">
        <v>302</v>
      </c>
      <c r="B62" s="226">
        <v>3502</v>
      </c>
      <c r="C62" s="226" t="s">
        <v>426</v>
      </c>
      <c r="D62" s="226" t="s">
        <v>424</v>
      </c>
      <c r="E62" s="226"/>
      <c r="F62" s="226" t="s">
        <v>420</v>
      </c>
      <c r="G62" s="226">
        <v>0</v>
      </c>
      <c r="H62" s="226">
        <v>0</v>
      </c>
      <c r="I62" s="226" t="s">
        <v>483</v>
      </c>
      <c r="J62" s="226" t="s">
        <v>482</v>
      </c>
      <c r="K62" s="226" t="s">
        <v>421</v>
      </c>
      <c r="L62" s="226" t="s">
        <v>422</v>
      </c>
      <c r="M62" s="226" t="s">
        <v>421</v>
      </c>
      <c r="N62" s="226" t="s">
        <v>423</v>
      </c>
      <c r="O62" s="226" t="s">
        <v>171</v>
      </c>
      <c r="P62" s="227">
        <v>811514</v>
      </c>
      <c r="Q62" s="227">
        <v>0</v>
      </c>
      <c r="R62" s="227">
        <v>0</v>
      </c>
      <c r="S62" s="227">
        <v>2630976.7799999998</v>
      </c>
      <c r="T62" s="227">
        <v>0</v>
      </c>
      <c r="U62" s="227">
        <v>182055.91</v>
      </c>
      <c r="V62" s="227">
        <v>0</v>
      </c>
      <c r="W62" s="227">
        <v>161925</v>
      </c>
      <c r="X62" s="227">
        <v>3544.42</v>
      </c>
      <c r="Y62" s="227">
        <v>154982.97</v>
      </c>
      <c r="Z62" s="227">
        <v>9942.2999999999993</v>
      </c>
      <c r="AA62" s="227">
        <v>32178.78</v>
      </c>
      <c r="AB62" s="227">
        <v>2004.33</v>
      </c>
      <c r="AC62" s="227">
        <v>0</v>
      </c>
      <c r="AD62" s="227">
        <v>0</v>
      </c>
      <c r="AE62" s="227">
        <v>40323.589999999997</v>
      </c>
      <c r="AF62" s="227">
        <v>13902.4</v>
      </c>
      <c r="AG62" s="227">
        <v>0</v>
      </c>
      <c r="AH62" s="227">
        <v>0</v>
      </c>
      <c r="AI62" s="227">
        <v>0</v>
      </c>
      <c r="AJ62" s="227">
        <v>1511150.9</v>
      </c>
      <c r="AK62" s="227">
        <v>0</v>
      </c>
      <c r="AL62" s="227">
        <v>839636.16</v>
      </c>
      <c r="AM62" s="227">
        <v>103777.45</v>
      </c>
      <c r="AN62" s="227">
        <v>77770.62</v>
      </c>
      <c r="AO62" s="227">
        <v>0</v>
      </c>
      <c r="AP62" s="227">
        <v>34978.36</v>
      </c>
      <c r="AQ62" s="227">
        <v>3015.13</v>
      </c>
      <c r="AR62" s="227">
        <v>8775.67</v>
      </c>
      <c r="AS62" s="227">
        <v>694.26</v>
      </c>
      <c r="AT62" s="227">
        <v>89</v>
      </c>
      <c r="AU62" s="227">
        <v>98119.07</v>
      </c>
      <c r="AV62" s="227">
        <v>1024.94</v>
      </c>
      <c r="AW62" s="227">
        <v>6408.41</v>
      </c>
      <c r="AX62" s="227">
        <v>9650.3799999999992</v>
      </c>
      <c r="AY62" s="227">
        <v>31909.21</v>
      </c>
      <c r="AZ62" s="227">
        <v>7715.93</v>
      </c>
      <c r="BA62" s="227">
        <v>11822.01</v>
      </c>
      <c r="BB62" s="227">
        <v>90389.06</v>
      </c>
      <c r="BC62" s="227">
        <v>10222.93</v>
      </c>
      <c r="BD62" s="227">
        <v>0</v>
      </c>
      <c r="BE62" s="227">
        <v>7992.98</v>
      </c>
      <c r="BF62" s="227">
        <v>2500.5500000000002</v>
      </c>
      <c r="BG62" s="227">
        <v>3398.75</v>
      </c>
      <c r="BH62" s="227">
        <v>9618.15</v>
      </c>
      <c r="BI62" s="227">
        <v>7540</v>
      </c>
      <c r="BJ62" s="227">
        <v>0</v>
      </c>
      <c r="BK62" s="227">
        <v>30404.71</v>
      </c>
      <c r="BL62" s="227">
        <v>18621.939999999999</v>
      </c>
      <c r="BM62" s="227">
        <v>10412.65</v>
      </c>
      <c r="BN62" s="227">
        <v>179974.04</v>
      </c>
      <c r="BO62" s="227">
        <v>99836.81</v>
      </c>
      <c r="BP62" s="227">
        <v>141528.23000000001</v>
      </c>
      <c r="BQ62" s="227">
        <v>0</v>
      </c>
      <c r="BR62" s="227">
        <v>54346.18</v>
      </c>
      <c r="BS62" s="227">
        <v>0</v>
      </c>
      <c r="BT62" s="227">
        <v>0</v>
      </c>
      <c r="BU62" s="227">
        <v>0</v>
      </c>
      <c r="BV62" s="227">
        <v>0</v>
      </c>
      <c r="BW62" s="334">
        <v>0</v>
      </c>
      <c r="BX62" s="335"/>
      <c r="BY62" s="227">
        <v>0</v>
      </c>
      <c r="BZ62" s="227">
        <v>0</v>
      </c>
      <c r="CA62" s="227">
        <v>6000</v>
      </c>
      <c r="CB62" s="227">
        <v>0</v>
      </c>
      <c r="CC62" s="227">
        <v>0</v>
      </c>
      <c r="CD62" s="227">
        <v>0</v>
      </c>
      <c r="CE62" s="227">
        <v>0</v>
      </c>
      <c r="CF62" s="227">
        <v>0</v>
      </c>
      <c r="CG62" s="227">
        <v>0</v>
      </c>
      <c r="CH62" s="227">
        <v>0</v>
      </c>
      <c r="CI62" s="227">
        <v>0</v>
      </c>
      <c r="CJ62" s="227">
        <v>0</v>
      </c>
      <c r="CK62" s="227">
        <v>630026</v>
      </c>
      <c r="CL62" s="227">
        <v>0</v>
      </c>
      <c r="CM62" s="227">
        <v>0</v>
      </c>
      <c r="CN62" s="227">
        <v>0</v>
      </c>
      <c r="CO62" s="227">
        <v>0</v>
      </c>
      <c r="CQ62" s="229">
        <f t="shared" si="0"/>
        <v>630026</v>
      </c>
    </row>
    <row r="63" spans="1:95" ht="15">
      <c r="A63" s="226">
        <v>302</v>
      </c>
      <c r="B63" s="226">
        <v>3504</v>
      </c>
      <c r="C63" s="226" t="s">
        <v>477</v>
      </c>
      <c r="D63" s="226" t="s">
        <v>424</v>
      </c>
      <c r="E63" s="226"/>
      <c r="F63" s="226" t="s">
        <v>420</v>
      </c>
      <c r="G63" s="226">
        <v>0</v>
      </c>
      <c r="H63" s="226">
        <v>0</v>
      </c>
      <c r="I63" s="226" t="s">
        <v>483</v>
      </c>
      <c r="J63" s="226" t="s">
        <v>482</v>
      </c>
      <c r="K63" s="226" t="s">
        <v>421</v>
      </c>
      <c r="L63" s="226" t="s">
        <v>422</v>
      </c>
      <c r="M63" s="226" t="s">
        <v>421</v>
      </c>
      <c r="N63" s="226" t="s">
        <v>423</v>
      </c>
      <c r="O63" s="226" t="s">
        <v>171</v>
      </c>
      <c r="P63" s="227">
        <v>201898</v>
      </c>
      <c r="Q63" s="227">
        <v>0</v>
      </c>
      <c r="R63" s="227">
        <v>0</v>
      </c>
      <c r="S63" s="227">
        <v>2546338.44</v>
      </c>
      <c r="T63" s="227">
        <v>0</v>
      </c>
      <c r="U63" s="227">
        <v>77698.490000000005</v>
      </c>
      <c r="V63" s="227">
        <v>0</v>
      </c>
      <c r="W63" s="227">
        <v>42119</v>
      </c>
      <c r="X63" s="227">
        <v>105332.84</v>
      </c>
      <c r="Y63" s="227">
        <v>152566.57999999999</v>
      </c>
      <c r="Z63" s="227">
        <v>356.25</v>
      </c>
      <c r="AA63" s="227">
        <v>204821.54</v>
      </c>
      <c r="AB63" s="227">
        <v>791.54</v>
      </c>
      <c r="AC63" s="227">
        <v>0</v>
      </c>
      <c r="AD63" s="227">
        <v>0</v>
      </c>
      <c r="AE63" s="227">
        <v>118748.97</v>
      </c>
      <c r="AF63" s="227">
        <v>30765.82</v>
      </c>
      <c r="AG63" s="227">
        <v>0</v>
      </c>
      <c r="AH63" s="227">
        <v>0</v>
      </c>
      <c r="AI63" s="227">
        <v>0</v>
      </c>
      <c r="AJ63" s="227">
        <v>1648850.92</v>
      </c>
      <c r="AK63" s="227">
        <v>0</v>
      </c>
      <c r="AL63" s="227">
        <v>615543.49</v>
      </c>
      <c r="AM63" s="227">
        <v>106534.87</v>
      </c>
      <c r="AN63" s="227">
        <v>149432.94</v>
      </c>
      <c r="AO63" s="227">
        <v>0</v>
      </c>
      <c r="AP63" s="227">
        <v>107793.2</v>
      </c>
      <c r="AQ63" s="227">
        <v>4617.9799999999996</v>
      </c>
      <c r="AR63" s="227">
        <v>8666.35</v>
      </c>
      <c r="AS63" s="227">
        <v>721.62</v>
      </c>
      <c r="AT63" s="227">
        <v>0</v>
      </c>
      <c r="AU63" s="227">
        <v>28027.360000000001</v>
      </c>
      <c r="AV63" s="227">
        <v>11486.6</v>
      </c>
      <c r="AW63" s="227">
        <v>8996.02</v>
      </c>
      <c r="AX63" s="227">
        <v>10608.19</v>
      </c>
      <c r="AY63" s="227">
        <v>31723.46</v>
      </c>
      <c r="AZ63" s="227">
        <v>8565.6299999999992</v>
      </c>
      <c r="BA63" s="227">
        <v>12573.8</v>
      </c>
      <c r="BB63" s="227">
        <v>69203.98</v>
      </c>
      <c r="BC63" s="227">
        <v>8578.8799999999992</v>
      </c>
      <c r="BD63" s="227">
        <v>0</v>
      </c>
      <c r="BE63" s="227">
        <v>8943.9699999999993</v>
      </c>
      <c r="BF63" s="227">
        <v>24409.93</v>
      </c>
      <c r="BG63" s="227">
        <v>13367.38</v>
      </c>
      <c r="BH63" s="227">
        <v>463.86</v>
      </c>
      <c r="BI63" s="227">
        <v>14398.25</v>
      </c>
      <c r="BJ63" s="227">
        <v>0</v>
      </c>
      <c r="BK63" s="227">
        <v>7166.69</v>
      </c>
      <c r="BL63" s="227">
        <v>19021.86</v>
      </c>
      <c r="BM63" s="227">
        <v>56739.11</v>
      </c>
      <c r="BN63" s="227">
        <v>182779.6</v>
      </c>
      <c r="BO63" s="227">
        <v>41839</v>
      </c>
      <c r="BP63" s="227">
        <v>63370.879999999997</v>
      </c>
      <c r="BQ63" s="227">
        <v>51719.48</v>
      </c>
      <c r="BR63" s="227">
        <v>0</v>
      </c>
      <c r="BS63" s="227">
        <v>0</v>
      </c>
      <c r="BT63" s="227">
        <v>8234.17</v>
      </c>
      <c r="BU63" s="227">
        <v>0</v>
      </c>
      <c r="BV63" s="227">
        <v>0</v>
      </c>
      <c r="BW63" s="334">
        <v>0</v>
      </c>
      <c r="BX63" s="335"/>
      <c r="BY63" s="227">
        <v>0</v>
      </c>
      <c r="BZ63" s="227">
        <v>0</v>
      </c>
      <c r="CA63" s="227">
        <v>6000</v>
      </c>
      <c r="CB63" s="227">
        <v>0</v>
      </c>
      <c r="CC63" s="227">
        <v>0</v>
      </c>
      <c r="CD63" s="227">
        <v>0</v>
      </c>
      <c r="CE63" s="227">
        <v>0</v>
      </c>
      <c r="CF63" s="227">
        <v>0</v>
      </c>
      <c r="CG63" s="227">
        <v>0</v>
      </c>
      <c r="CH63" s="227">
        <v>0</v>
      </c>
      <c r="CI63" s="227">
        <v>0</v>
      </c>
      <c r="CJ63" s="227">
        <v>0</v>
      </c>
      <c r="CK63" s="227">
        <v>157058</v>
      </c>
      <c r="CL63" s="227">
        <v>0</v>
      </c>
      <c r="CM63" s="227">
        <v>0</v>
      </c>
      <c r="CN63" s="227">
        <v>0</v>
      </c>
      <c r="CO63" s="227">
        <v>0</v>
      </c>
      <c r="CQ63" s="229">
        <f t="shared" si="0"/>
        <v>157058</v>
      </c>
    </row>
    <row r="64" spans="1:95" ht="15">
      <c r="A64" s="226">
        <v>302</v>
      </c>
      <c r="B64" s="226">
        <v>3506</v>
      </c>
      <c r="C64" s="226" t="s">
        <v>314</v>
      </c>
      <c r="D64" s="226" t="s">
        <v>424</v>
      </c>
      <c r="E64" s="226"/>
      <c r="F64" s="226" t="s">
        <v>420</v>
      </c>
      <c r="G64" s="226">
        <v>0</v>
      </c>
      <c r="H64" s="226">
        <v>0</v>
      </c>
      <c r="I64" s="226" t="s">
        <v>483</v>
      </c>
      <c r="J64" s="226" t="s">
        <v>482</v>
      </c>
      <c r="K64" s="226" t="s">
        <v>421</v>
      </c>
      <c r="L64" s="226" t="s">
        <v>422</v>
      </c>
      <c r="M64" s="226" t="s">
        <v>421</v>
      </c>
      <c r="N64" s="226" t="s">
        <v>423</v>
      </c>
      <c r="O64" s="226" t="s">
        <v>171</v>
      </c>
      <c r="P64" s="227">
        <v>89552</v>
      </c>
      <c r="Q64" s="227">
        <v>0</v>
      </c>
      <c r="R64" s="227">
        <v>0</v>
      </c>
      <c r="S64" s="227">
        <v>1805362</v>
      </c>
      <c r="T64" s="227">
        <v>0</v>
      </c>
      <c r="U64" s="227">
        <v>206145</v>
      </c>
      <c r="V64" s="227">
        <v>0</v>
      </c>
      <c r="W64" s="227">
        <v>61717</v>
      </c>
      <c r="X64" s="227">
        <v>71552</v>
      </c>
      <c r="Y64" s="227">
        <v>103735</v>
      </c>
      <c r="Z64" s="227">
        <v>31589</v>
      </c>
      <c r="AA64" s="227">
        <v>77761</v>
      </c>
      <c r="AB64" s="227">
        <v>163</v>
      </c>
      <c r="AC64" s="227">
        <v>0</v>
      </c>
      <c r="AD64" s="227">
        <v>0</v>
      </c>
      <c r="AE64" s="227">
        <v>63413</v>
      </c>
      <c r="AF64" s="227">
        <v>32909</v>
      </c>
      <c r="AG64" s="227">
        <v>0</v>
      </c>
      <c r="AH64" s="227">
        <v>0</v>
      </c>
      <c r="AI64" s="227">
        <v>0</v>
      </c>
      <c r="AJ64" s="227">
        <v>1060284</v>
      </c>
      <c r="AK64" s="227">
        <v>0</v>
      </c>
      <c r="AL64" s="227">
        <v>601985</v>
      </c>
      <c r="AM64" s="227">
        <v>112417</v>
      </c>
      <c r="AN64" s="227">
        <v>89668</v>
      </c>
      <c r="AO64" s="227">
        <v>0</v>
      </c>
      <c r="AP64" s="227">
        <v>14772</v>
      </c>
      <c r="AQ64" s="227">
        <v>3245</v>
      </c>
      <c r="AR64" s="227">
        <v>8818</v>
      </c>
      <c r="AS64" s="227">
        <v>470</v>
      </c>
      <c r="AT64" s="227">
        <v>0</v>
      </c>
      <c r="AU64" s="227">
        <v>29343</v>
      </c>
      <c r="AV64" s="227">
        <v>8791</v>
      </c>
      <c r="AW64" s="227">
        <v>4827</v>
      </c>
      <c r="AX64" s="227">
        <v>5531</v>
      </c>
      <c r="AY64" s="227">
        <v>23916</v>
      </c>
      <c r="AZ64" s="227">
        <v>4177</v>
      </c>
      <c r="BA64" s="227">
        <v>14635</v>
      </c>
      <c r="BB64" s="227">
        <v>59682</v>
      </c>
      <c r="BC64" s="227">
        <v>7171</v>
      </c>
      <c r="BD64" s="227">
        <v>0</v>
      </c>
      <c r="BE64" s="227">
        <v>1473</v>
      </c>
      <c r="BF64" s="227">
        <v>9359</v>
      </c>
      <c r="BG64" s="227">
        <v>4670</v>
      </c>
      <c r="BH64" s="227">
        <v>270</v>
      </c>
      <c r="BI64" s="227">
        <v>13795</v>
      </c>
      <c r="BJ64" s="227">
        <v>0</v>
      </c>
      <c r="BK64" s="227">
        <v>1293</v>
      </c>
      <c r="BL64" s="227">
        <v>12267</v>
      </c>
      <c r="BM64" s="227">
        <v>20857</v>
      </c>
      <c r="BN64" s="227">
        <v>89760</v>
      </c>
      <c r="BO64" s="227">
        <v>27652</v>
      </c>
      <c r="BP64" s="227">
        <v>73567</v>
      </c>
      <c r="BQ64" s="227">
        <v>42495</v>
      </c>
      <c r="BR64" s="227">
        <v>0</v>
      </c>
      <c r="BS64" s="227">
        <v>0</v>
      </c>
      <c r="BT64" s="227">
        <v>0</v>
      </c>
      <c r="BU64" s="227">
        <v>0</v>
      </c>
      <c r="BV64" s="227">
        <v>0</v>
      </c>
      <c r="BW64" s="334">
        <v>0</v>
      </c>
      <c r="BX64" s="335"/>
      <c r="BY64" s="227">
        <v>0</v>
      </c>
      <c r="BZ64" s="227">
        <v>0</v>
      </c>
      <c r="CA64" s="227">
        <v>6000</v>
      </c>
      <c r="CB64" s="227">
        <v>0</v>
      </c>
      <c r="CC64" s="227">
        <v>0</v>
      </c>
      <c r="CD64" s="227">
        <v>0</v>
      </c>
      <c r="CE64" s="227">
        <v>0</v>
      </c>
      <c r="CF64" s="227">
        <v>0</v>
      </c>
      <c r="CG64" s="227">
        <v>0</v>
      </c>
      <c r="CH64" s="227">
        <v>0</v>
      </c>
      <c r="CI64" s="227">
        <v>0</v>
      </c>
      <c r="CJ64" s="227">
        <v>0</v>
      </c>
      <c r="CK64" s="227">
        <v>196708</v>
      </c>
      <c r="CL64" s="227">
        <v>0</v>
      </c>
      <c r="CM64" s="227">
        <v>0</v>
      </c>
      <c r="CN64" s="227">
        <v>0</v>
      </c>
      <c r="CO64" s="227">
        <v>0</v>
      </c>
      <c r="CQ64" s="229">
        <f t="shared" si="0"/>
        <v>196708</v>
      </c>
    </row>
    <row r="65" spans="1:95" ht="15">
      <c r="A65" s="226">
        <v>302</v>
      </c>
      <c r="B65" s="226">
        <v>3507</v>
      </c>
      <c r="C65" s="226" t="s">
        <v>338</v>
      </c>
      <c r="D65" s="226" t="s">
        <v>424</v>
      </c>
      <c r="E65" s="226"/>
      <c r="F65" s="226" t="s">
        <v>420</v>
      </c>
      <c r="G65" s="226">
        <v>0</v>
      </c>
      <c r="H65" s="226">
        <v>1</v>
      </c>
      <c r="I65" s="226" t="s">
        <v>483</v>
      </c>
      <c r="J65" s="226" t="s">
        <v>482</v>
      </c>
      <c r="K65" s="226" t="s">
        <v>421</v>
      </c>
      <c r="L65" s="226" t="s">
        <v>422</v>
      </c>
      <c r="M65" s="226" t="s">
        <v>421</v>
      </c>
      <c r="N65" s="226" t="s">
        <v>423</v>
      </c>
      <c r="O65" s="226" t="s">
        <v>171</v>
      </c>
      <c r="P65" s="227">
        <v>-732637.94</v>
      </c>
      <c r="Q65" s="227">
        <v>0</v>
      </c>
      <c r="R65" s="227">
        <v>0</v>
      </c>
      <c r="S65" s="227">
        <v>1039137.94</v>
      </c>
      <c r="T65" s="227">
        <v>0</v>
      </c>
      <c r="U65" s="227">
        <v>148413.17000000001</v>
      </c>
      <c r="V65" s="227">
        <v>0</v>
      </c>
      <c r="W65" s="227">
        <v>70424</v>
      </c>
      <c r="X65" s="227">
        <v>32296.74</v>
      </c>
      <c r="Y65" s="227">
        <v>146170.98000000001</v>
      </c>
      <c r="Z65" s="227">
        <v>4284.9799999999996</v>
      </c>
      <c r="AA65" s="227">
        <v>11302.15</v>
      </c>
      <c r="AB65" s="227">
        <v>5233.04</v>
      </c>
      <c r="AC65" s="227">
        <v>0</v>
      </c>
      <c r="AD65" s="227">
        <v>0</v>
      </c>
      <c r="AE65" s="227">
        <v>16523.63</v>
      </c>
      <c r="AF65" s="227">
        <v>9783.56</v>
      </c>
      <c r="AG65" s="227">
        <v>0</v>
      </c>
      <c r="AH65" s="227">
        <v>0</v>
      </c>
      <c r="AI65" s="227">
        <v>0</v>
      </c>
      <c r="AJ65" s="227">
        <v>689337.67</v>
      </c>
      <c r="AK65" s="227">
        <v>0</v>
      </c>
      <c r="AL65" s="227">
        <v>213746.52</v>
      </c>
      <c r="AM65" s="227">
        <v>35958.1</v>
      </c>
      <c r="AN65" s="227">
        <v>59061.53</v>
      </c>
      <c r="AO65" s="227">
        <v>0</v>
      </c>
      <c r="AP65" s="227">
        <v>27616.02</v>
      </c>
      <c r="AQ65" s="227">
        <v>880.95</v>
      </c>
      <c r="AR65" s="227">
        <v>1725.55</v>
      </c>
      <c r="AS65" s="227">
        <v>271.89</v>
      </c>
      <c r="AT65" s="227">
        <v>0</v>
      </c>
      <c r="AU65" s="227">
        <v>20505.36</v>
      </c>
      <c r="AV65" s="227">
        <v>30.93</v>
      </c>
      <c r="AW65" s="227">
        <v>27911.55</v>
      </c>
      <c r="AX65" s="227">
        <v>3574.32</v>
      </c>
      <c r="AY65" s="227">
        <v>19610.400000000001</v>
      </c>
      <c r="AZ65" s="227">
        <v>4650.4799999999996</v>
      </c>
      <c r="BA65" s="227">
        <v>7021.63</v>
      </c>
      <c r="BB65" s="227">
        <v>40812.31</v>
      </c>
      <c r="BC65" s="227">
        <v>6285.06</v>
      </c>
      <c r="BD65" s="227">
        <v>0</v>
      </c>
      <c r="BE65" s="227">
        <v>2664.21</v>
      </c>
      <c r="BF65" s="227">
        <v>16323.73</v>
      </c>
      <c r="BG65" s="227">
        <v>782.6</v>
      </c>
      <c r="BH65" s="227">
        <v>0</v>
      </c>
      <c r="BI65" s="227">
        <v>10150.299999999999</v>
      </c>
      <c r="BJ65" s="227">
        <v>0</v>
      </c>
      <c r="BK65" s="227">
        <v>1277.46</v>
      </c>
      <c r="BL65" s="227">
        <v>6897.42</v>
      </c>
      <c r="BM65" s="227">
        <v>4667.87</v>
      </c>
      <c r="BN65" s="227">
        <v>65406</v>
      </c>
      <c r="BO65" s="227">
        <v>83051.42</v>
      </c>
      <c r="BP65" s="227">
        <v>242407.82</v>
      </c>
      <c r="BQ65" s="227">
        <v>23837.200000000001</v>
      </c>
      <c r="BR65" s="227">
        <v>0</v>
      </c>
      <c r="BS65" s="227">
        <v>0</v>
      </c>
      <c r="BT65" s="227">
        <v>0</v>
      </c>
      <c r="BU65" s="227">
        <v>0</v>
      </c>
      <c r="BV65" s="227">
        <v>0</v>
      </c>
      <c r="BW65" s="334">
        <v>0</v>
      </c>
      <c r="BX65" s="335"/>
      <c r="BY65" s="227">
        <v>0</v>
      </c>
      <c r="BZ65" s="227">
        <v>0</v>
      </c>
      <c r="CA65" s="227">
        <v>6000</v>
      </c>
      <c r="CB65" s="227">
        <v>0</v>
      </c>
      <c r="CC65" s="227">
        <v>0</v>
      </c>
      <c r="CD65" s="227">
        <v>0</v>
      </c>
      <c r="CE65" s="227">
        <v>0</v>
      </c>
      <c r="CF65" s="227">
        <v>0</v>
      </c>
      <c r="CG65" s="227">
        <v>0</v>
      </c>
      <c r="CH65" s="227">
        <v>0</v>
      </c>
      <c r="CI65" s="227">
        <v>0</v>
      </c>
      <c r="CJ65" s="227">
        <v>0</v>
      </c>
      <c r="CK65" s="227">
        <v>-865534.05</v>
      </c>
      <c r="CL65" s="227">
        <v>0</v>
      </c>
      <c r="CM65" s="227">
        <v>0</v>
      </c>
      <c r="CN65" s="227">
        <v>0</v>
      </c>
      <c r="CO65" s="227">
        <v>0</v>
      </c>
      <c r="CQ65" s="229">
        <f t="shared" si="0"/>
        <v>-865534.05</v>
      </c>
    </row>
    <row r="66" spans="1:95" ht="15">
      <c r="A66" s="226">
        <v>302</v>
      </c>
      <c r="B66" s="226">
        <v>3509</v>
      </c>
      <c r="C66" s="226" t="s">
        <v>326</v>
      </c>
      <c r="D66" s="226" t="s">
        <v>424</v>
      </c>
      <c r="E66" s="226"/>
      <c r="F66" s="226" t="s">
        <v>420</v>
      </c>
      <c r="G66" s="226">
        <v>0</v>
      </c>
      <c r="H66" s="226">
        <v>1</v>
      </c>
      <c r="I66" s="226" t="s">
        <v>483</v>
      </c>
      <c r="J66" s="226" t="s">
        <v>482</v>
      </c>
      <c r="K66" s="226" t="s">
        <v>421</v>
      </c>
      <c r="L66" s="226" t="s">
        <v>422</v>
      </c>
      <c r="M66" s="226" t="s">
        <v>421</v>
      </c>
      <c r="N66" s="226" t="s">
        <v>423</v>
      </c>
      <c r="O66" s="226" t="s">
        <v>171</v>
      </c>
      <c r="P66" s="227">
        <v>-624913</v>
      </c>
      <c r="Q66" s="227">
        <v>0</v>
      </c>
      <c r="R66" s="227">
        <v>0</v>
      </c>
      <c r="S66" s="227">
        <v>2840524.58</v>
      </c>
      <c r="T66" s="227">
        <v>0</v>
      </c>
      <c r="U66" s="227">
        <v>267743.3</v>
      </c>
      <c r="V66" s="227">
        <v>0</v>
      </c>
      <c r="W66" s="227">
        <v>166650</v>
      </c>
      <c r="X66" s="227">
        <v>65233.42</v>
      </c>
      <c r="Y66" s="227">
        <v>167579.69</v>
      </c>
      <c r="Z66" s="227">
        <v>27554.78</v>
      </c>
      <c r="AA66" s="227">
        <v>0</v>
      </c>
      <c r="AB66" s="227">
        <v>1856.95</v>
      </c>
      <c r="AC66" s="227">
        <v>0</v>
      </c>
      <c r="AD66" s="227">
        <v>0</v>
      </c>
      <c r="AE66" s="227">
        <v>15649.76</v>
      </c>
      <c r="AF66" s="227">
        <v>539.79999999999995</v>
      </c>
      <c r="AG66" s="227">
        <v>0</v>
      </c>
      <c r="AH66" s="227">
        <v>0</v>
      </c>
      <c r="AI66" s="227">
        <v>0</v>
      </c>
      <c r="AJ66" s="227">
        <v>1364885.53</v>
      </c>
      <c r="AK66" s="227">
        <v>0</v>
      </c>
      <c r="AL66" s="227">
        <v>691820.82</v>
      </c>
      <c r="AM66" s="227">
        <v>150163.29</v>
      </c>
      <c r="AN66" s="227">
        <v>131135.56</v>
      </c>
      <c r="AO66" s="227">
        <v>0</v>
      </c>
      <c r="AP66" s="227">
        <v>89716.98</v>
      </c>
      <c r="AQ66" s="227">
        <v>15929.51</v>
      </c>
      <c r="AR66" s="227">
        <v>2274</v>
      </c>
      <c r="AS66" s="227">
        <v>759.24</v>
      </c>
      <c r="AT66" s="227">
        <v>0</v>
      </c>
      <c r="AU66" s="227">
        <v>53110.13</v>
      </c>
      <c r="AV66" s="227">
        <v>0</v>
      </c>
      <c r="AW66" s="227">
        <v>2502.38</v>
      </c>
      <c r="AX66" s="227">
        <v>10016.879999999999</v>
      </c>
      <c r="AY66" s="227">
        <v>87001.66</v>
      </c>
      <c r="AZ66" s="227">
        <v>17273.900000000001</v>
      </c>
      <c r="BA66" s="227">
        <v>20284.669999999998</v>
      </c>
      <c r="BB66" s="227">
        <v>87034.72</v>
      </c>
      <c r="BC66" s="227">
        <v>14515.39</v>
      </c>
      <c r="BD66" s="227">
        <v>0</v>
      </c>
      <c r="BE66" s="227">
        <v>0</v>
      </c>
      <c r="BF66" s="227">
        <v>0</v>
      </c>
      <c r="BG66" s="227">
        <v>0</v>
      </c>
      <c r="BH66" s="227">
        <v>0</v>
      </c>
      <c r="BI66" s="227">
        <v>0</v>
      </c>
      <c r="BJ66" s="227">
        <v>0</v>
      </c>
      <c r="BK66" s="227">
        <v>20436.2</v>
      </c>
      <c r="BL66" s="227">
        <v>13338.18</v>
      </c>
      <c r="BM66" s="227">
        <v>11640.14</v>
      </c>
      <c r="BN66" s="227">
        <v>166540.56</v>
      </c>
      <c r="BO66" s="227">
        <v>165496.17000000001</v>
      </c>
      <c r="BP66" s="227">
        <v>276735.87</v>
      </c>
      <c r="BQ66" s="227">
        <v>46345.5</v>
      </c>
      <c r="BR66" s="227">
        <v>0</v>
      </c>
      <c r="BS66" s="227">
        <v>0</v>
      </c>
      <c r="BT66" s="227">
        <v>0</v>
      </c>
      <c r="BU66" s="227">
        <v>0</v>
      </c>
      <c r="BV66" s="227">
        <v>0</v>
      </c>
      <c r="BW66" s="334">
        <v>0</v>
      </c>
      <c r="BX66" s="335"/>
      <c r="BY66" s="227">
        <v>0</v>
      </c>
      <c r="BZ66" s="227">
        <v>0</v>
      </c>
      <c r="CA66" s="227">
        <v>6000</v>
      </c>
      <c r="CB66" s="227">
        <v>0</v>
      </c>
      <c r="CC66" s="227">
        <v>0</v>
      </c>
      <c r="CD66" s="227">
        <v>0</v>
      </c>
      <c r="CE66" s="227">
        <v>0</v>
      </c>
      <c r="CF66" s="227">
        <v>0</v>
      </c>
      <c r="CG66" s="227">
        <v>0</v>
      </c>
      <c r="CH66" s="227">
        <v>0</v>
      </c>
      <c r="CI66" s="227">
        <v>0</v>
      </c>
      <c r="CJ66" s="227">
        <v>0</v>
      </c>
      <c r="CK66" s="227">
        <v>-510538</v>
      </c>
      <c r="CL66" s="227">
        <v>0</v>
      </c>
      <c r="CM66" s="227">
        <v>0</v>
      </c>
      <c r="CN66" s="227">
        <v>0</v>
      </c>
      <c r="CO66" s="227">
        <v>0</v>
      </c>
      <c r="CQ66" s="229">
        <f t="shared" si="0"/>
        <v>-510538</v>
      </c>
    </row>
    <row r="67" spans="1:95" ht="30">
      <c r="A67" s="226">
        <v>302</v>
      </c>
      <c r="B67" s="226">
        <v>3510</v>
      </c>
      <c r="C67" s="226" t="s">
        <v>256</v>
      </c>
      <c r="D67" s="226" t="s">
        <v>424</v>
      </c>
      <c r="E67" s="226"/>
      <c r="F67" s="226" t="s">
        <v>420</v>
      </c>
      <c r="G67" s="226">
        <v>0</v>
      </c>
      <c r="H67" s="226">
        <v>2</v>
      </c>
      <c r="I67" s="226" t="s">
        <v>483</v>
      </c>
      <c r="J67" s="226" t="s">
        <v>482</v>
      </c>
      <c r="K67" s="226" t="s">
        <v>421</v>
      </c>
      <c r="L67" s="226" t="s">
        <v>422</v>
      </c>
      <c r="M67" s="226" t="s">
        <v>421</v>
      </c>
      <c r="N67" s="226" t="s">
        <v>423</v>
      </c>
      <c r="O67" s="226" t="s">
        <v>171</v>
      </c>
      <c r="P67" s="227">
        <v>196312</v>
      </c>
      <c r="Q67" s="227">
        <v>0</v>
      </c>
      <c r="R67" s="227">
        <v>0</v>
      </c>
      <c r="S67" s="227">
        <v>2211755.4900000002</v>
      </c>
      <c r="T67" s="227">
        <v>0</v>
      </c>
      <c r="U67" s="227">
        <v>95322.97</v>
      </c>
      <c r="V67" s="227">
        <v>0</v>
      </c>
      <c r="W67" s="227">
        <v>89925</v>
      </c>
      <c r="X67" s="227">
        <v>87034</v>
      </c>
      <c r="Y67" s="227">
        <v>103789.18</v>
      </c>
      <c r="Z67" s="227">
        <v>16900</v>
      </c>
      <c r="AA67" s="227">
        <v>2440.2800000000002</v>
      </c>
      <c r="AB67" s="227">
        <v>625.25</v>
      </c>
      <c r="AC67" s="227">
        <v>0</v>
      </c>
      <c r="AD67" s="227">
        <v>0</v>
      </c>
      <c r="AE67" s="227">
        <v>34711.65</v>
      </c>
      <c r="AF67" s="227">
        <v>40572.160000000003</v>
      </c>
      <c r="AG67" s="227">
        <v>0</v>
      </c>
      <c r="AH67" s="227">
        <v>0</v>
      </c>
      <c r="AI67" s="227">
        <v>0</v>
      </c>
      <c r="AJ67" s="227">
        <v>1392724.07</v>
      </c>
      <c r="AK67" s="227">
        <v>1302.4100000000001</v>
      </c>
      <c r="AL67" s="227">
        <v>444492.62</v>
      </c>
      <c r="AM67" s="227">
        <v>37453.730000000003</v>
      </c>
      <c r="AN67" s="227">
        <v>114656.2</v>
      </c>
      <c r="AO67" s="227">
        <v>0</v>
      </c>
      <c r="AP67" s="227">
        <v>0</v>
      </c>
      <c r="AQ67" s="227">
        <v>18712.419999999998</v>
      </c>
      <c r="AR67" s="227">
        <v>3389.19</v>
      </c>
      <c r="AS67" s="227">
        <v>684</v>
      </c>
      <c r="AT67" s="227">
        <v>0</v>
      </c>
      <c r="AU67" s="227">
        <v>19355.89</v>
      </c>
      <c r="AV67" s="227">
        <v>2583.19</v>
      </c>
      <c r="AW67" s="227">
        <v>39037.629999999997</v>
      </c>
      <c r="AX67" s="227">
        <v>-2283.38</v>
      </c>
      <c r="AY67" s="227">
        <v>44660.480000000003</v>
      </c>
      <c r="AZ67" s="227">
        <v>5911.73</v>
      </c>
      <c r="BA67" s="227">
        <v>11304.17</v>
      </c>
      <c r="BB67" s="227">
        <v>110640.77</v>
      </c>
      <c r="BC67" s="227">
        <v>8642.1299999999992</v>
      </c>
      <c r="BD67" s="227">
        <v>0</v>
      </c>
      <c r="BE67" s="227">
        <v>3486</v>
      </c>
      <c r="BF67" s="227">
        <v>9143.16</v>
      </c>
      <c r="BG67" s="227">
        <v>2363</v>
      </c>
      <c r="BH67" s="227">
        <v>51.04</v>
      </c>
      <c r="BI67" s="227">
        <v>5092.83</v>
      </c>
      <c r="BJ67" s="227">
        <v>0</v>
      </c>
      <c r="BK67" s="227">
        <v>20920.650000000001</v>
      </c>
      <c r="BL67" s="227">
        <v>18731.560000000001</v>
      </c>
      <c r="BM67" s="227">
        <v>7948.14</v>
      </c>
      <c r="BN67" s="227">
        <v>189531.15</v>
      </c>
      <c r="BO67" s="227">
        <v>46130.78</v>
      </c>
      <c r="BP67" s="227">
        <v>129305.59</v>
      </c>
      <c r="BQ67" s="227">
        <v>35819.83</v>
      </c>
      <c r="BR67" s="227">
        <v>0</v>
      </c>
      <c r="BS67" s="227">
        <v>0</v>
      </c>
      <c r="BT67" s="227">
        <v>0</v>
      </c>
      <c r="BU67" s="227">
        <v>0</v>
      </c>
      <c r="BV67" s="227">
        <v>0</v>
      </c>
      <c r="BW67" s="334">
        <v>0</v>
      </c>
      <c r="BX67" s="335"/>
      <c r="BY67" s="227">
        <v>0</v>
      </c>
      <c r="BZ67" s="227">
        <v>0</v>
      </c>
      <c r="CA67" s="227">
        <v>6000</v>
      </c>
      <c r="CB67" s="227">
        <v>0</v>
      </c>
      <c r="CC67" s="227">
        <v>0</v>
      </c>
      <c r="CD67" s="227">
        <v>0</v>
      </c>
      <c r="CE67" s="227">
        <v>0</v>
      </c>
      <c r="CF67" s="227">
        <v>0</v>
      </c>
      <c r="CG67" s="227">
        <v>0</v>
      </c>
      <c r="CH67" s="227">
        <v>0</v>
      </c>
      <c r="CI67" s="227">
        <v>0</v>
      </c>
      <c r="CJ67" s="227">
        <v>134916</v>
      </c>
      <c r="CK67" s="227">
        <v>22681</v>
      </c>
      <c r="CL67" s="227">
        <v>0</v>
      </c>
      <c r="CM67" s="227">
        <v>0</v>
      </c>
      <c r="CN67" s="227">
        <v>0</v>
      </c>
      <c r="CO67" s="227">
        <v>0</v>
      </c>
      <c r="CQ67" s="229">
        <f t="shared" si="0"/>
        <v>157597</v>
      </c>
    </row>
    <row r="68" spans="1:95" ht="30">
      <c r="A68" s="226">
        <v>302</v>
      </c>
      <c r="B68" s="226">
        <v>3511</v>
      </c>
      <c r="C68" s="226" t="s">
        <v>347</v>
      </c>
      <c r="D68" s="226" t="s">
        <v>424</v>
      </c>
      <c r="E68" s="226"/>
      <c r="F68" s="226" t="s">
        <v>420</v>
      </c>
      <c r="G68" s="226">
        <v>0</v>
      </c>
      <c r="H68" s="226">
        <v>1</v>
      </c>
      <c r="I68" s="226" t="s">
        <v>483</v>
      </c>
      <c r="J68" s="226" t="s">
        <v>482</v>
      </c>
      <c r="K68" s="226" t="s">
        <v>421</v>
      </c>
      <c r="L68" s="226" t="s">
        <v>422</v>
      </c>
      <c r="M68" s="226" t="s">
        <v>421</v>
      </c>
      <c r="N68" s="226" t="s">
        <v>423</v>
      </c>
      <c r="O68" s="226" t="s">
        <v>171</v>
      </c>
      <c r="P68" s="227">
        <v>272995</v>
      </c>
      <c r="Q68" s="227">
        <v>0</v>
      </c>
      <c r="R68" s="227">
        <v>0</v>
      </c>
      <c r="S68" s="227">
        <v>2720762.88</v>
      </c>
      <c r="T68" s="227">
        <v>0</v>
      </c>
      <c r="U68" s="227">
        <v>166212.98000000001</v>
      </c>
      <c r="V68" s="227">
        <v>0</v>
      </c>
      <c r="W68" s="227">
        <v>140685</v>
      </c>
      <c r="X68" s="227">
        <v>81593.42</v>
      </c>
      <c r="Y68" s="227">
        <v>102076</v>
      </c>
      <c r="Z68" s="227">
        <v>0</v>
      </c>
      <c r="AA68" s="227">
        <v>56957.17</v>
      </c>
      <c r="AB68" s="227">
        <v>1479.61</v>
      </c>
      <c r="AC68" s="227">
        <v>0</v>
      </c>
      <c r="AD68" s="227">
        <v>0</v>
      </c>
      <c r="AE68" s="227">
        <v>53813.72</v>
      </c>
      <c r="AF68" s="227">
        <v>35775.54</v>
      </c>
      <c r="AG68" s="227">
        <v>0</v>
      </c>
      <c r="AH68" s="227">
        <v>0</v>
      </c>
      <c r="AI68" s="227">
        <v>0</v>
      </c>
      <c r="AJ68" s="227">
        <v>1394122.31</v>
      </c>
      <c r="AK68" s="227">
        <v>0</v>
      </c>
      <c r="AL68" s="227">
        <v>604972.28</v>
      </c>
      <c r="AM68" s="227">
        <v>52302.98</v>
      </c>
      <c r="AN68" s="227">
        <v>183783.93</v>
      </c>
      <c r="AO68" s="227">
        <v>0</v>
      </c>
      <c r="AP68" s="227">
        <v>14871.86</v>
      </c>
      <c r="AQ68" s="227">
        <v>3024.02</v>
      </c>
      <c r="AR68" s="227">
        <v>9355.3799999999992</v>
      </c>
      <c r="AS68" s="227">
        <v>11214.8</v>
      </c>
      <c r="AT68" s="227">
        <v>0</v>
      </c>
      <c r="AU68" s="227">
        <v>26853.71</v>
      </c>
      <c r="AV68" s="227">
        <v>13471</v>
      </c>
      <c r="AW68" s="227">
        <v>68315.09</v>
      </c>
      <c r="AX68" s="227">
        <v>7928.47</v>
      </c>
      <c r="AY68" s="227">
        <v>31197.56</v>
      </c>
      <c r="AZ68" s="227">
        <v>-4887.75</v>
      </c>
      <c r="BA68" s="227">
        <v>19447.580000000002</v>
      </c>
      <c r="BB68" s="227">
        <v>95357.61</v>
      </c>
      <c r="BC68" s="227">
        <v>9981.18</v>
      </c>
      <c r="BD68" s="227">
        <v>0</v>
      </c>
      <c r="BE68" s="227">
        <v>18727.75</v>
      </c>
      <c r="BF68" s="227">
        <v>13513.2</v>
      </c>
      <c r="BG68" s="227">
        <v>860</v>
      </c>
      <c r="BH68" s="227">
        <v>3599.31</v>
      </c>
      <c r="BI68" s="227">
        <v>15764.8</v>
      </c>
      <c r="BJ68" s="227">
        <v>0</v>
      </c>
      <c r="BK68" s="227">
        <v>7593.37</v>
      </c>
      <c r="BL68" s="227">
        <v>18956.34</v>
      </c>
      <c r="BM68" s="227">
        <v>52345.24</v>
      </c>
      <c r="BN68" s="227">
        <v>172809.54</v>
      </c>
      <c r="BO68" s="227">
        <v>147552.82999999999</v>
      </c>
      <c r="BP68" s="227">
        <v>349842.72</v>
      </c>
      <c r="BQ68" s="227">
        <v>31956.71</v>
      </c>
      <c r="BR68" s="227">
        <v>0</v>
      </c>
      <c r="BS68" s="227">
        <v>0</v>
      </c>
      <c r="BT68" s="227">
        <v>23698.5</v>
      </c>
      <c r="BU68" s="227">
        <v>0</v>
      </c>
      <c r="BV68" s="227">
        <v>0</v>
      </c>
      <c r="BW68" s="334">
        <v>0</v>
      </c>
      <c r="BX68" s="335"/>
      <c r="BY68" s="227">
        <v>0</v>
      </c>
      <c r="BZ68" s="227">
        <v>23698.5</v>
      </c>
      <c r="CA68" s="227">
        <v>6000</v>
      </c>
      <c r="CB68" s="227">
        <v>0</v>
      </c>
      <c r="CC68" s="227">
        <v>0</v>
      </c>
      <c r="CD68" s="227">
        <v>0</v>
      </c>
      <c r="CE68" s="227">
        <v>0</v>
      </c>
      <c r="CF68" s="227">
        <v>0</v>
      </c>
      <c r="CG68" s="227">
        <v>0</v>
      </c>
      <c r="CH68" s="227">
        <v>23698.5</v>
      </c>
      <c r="CI68" s="227">
        <v>0</v>
      </c>
      <c r="CJ68" s="227">
        <v>41637</v>
      </c>
      <c r="CK68" s="227">
        <v>192182</v>
      </c>
      <c r="CL68" s="227">
        <v>0</v>
      </c>
      <c r="CM68" s="227">
        <v>0</v>
      </c>
      <c r="CN68" s="227">
        <v>0</v>
      </c>
      <c r="CO68" s="227">
        <v>0</v>
      </c>
      <c r="CQ68" s="229">
        <f t="shared" si="0"/>
        <v>233819</v>
      </c>
    </row>
    <row r="69" spans="1:95" ht="15">
      <c r="A69" s="226">
        <v>302</v>
      </c>
      <c r="B69" s="226">
        <v>3512</v>
      </c>
      <c r="C69" s="226" t="s">
        <v>255</v>
      </c>
      <c r="D69" s="226" t="s">
        <v>424</v>
      </c>
      <c r="E69" s="226"/>
      <c r="F69" s="226" t="s">
        <v>420</v>
      </c>
      <c r="G69" s="226">
        <v>0</v>
      </c>
      <c r="H69" s="226">
        <v>1</v>
      </c>
      <c r="I69" s="226" t="s">
        <v>483</v>
      </c>
      <c r="J69" s="226" t="s">
        <v>482</v>
      </c>
      <c r="K69" s="226" t="s">
        <v>421</v>
      </c>
      <c r="L69" s="226" t="s">
        <v>422</v>
      </c>
      <c r="M69" s="226" t="s">
        <v>421</v>
      </c>
      <c r="N69" s="226" t="s">
        <v>423</v>
      </c>
      <c r="O69" s="226" t="s">
        <v>171</v>
      </c>
      <c r="P69" s="227">
        <v>-29913.63</v>
      </c>
      <c r="Q69" s="227">
        <v>0</v>
      </c>
      <c r="R69" s="227">
        <v>0</v>
      </c>
      <c r="S69" s="227">
        <v>2025863.45</v>
      </c>
      <c r="T69" s="227">
        <v>0</v>
      </c>
      <c r="U69" s="227">
        <v>79706.679999999993</v>
      </c>
      <c r="V69" s="227">
        <v>0</v>
      </c>
      <c r="W69" s="227">
        <v>7575</v>
      </c>
      <c r="X69" s="227">
        <v>106565.55</v>
      </c>
      <c r="Y69" s="227">
        <v>157342.75</v>
      </c>
      <c r="Z69" s="227">
        <v>11375</v>
      </c>
      <c r="AA69" s="227">
        <v>60358.879999999997</v>
      </c>
      <c r="AB69" s="227">
        <v>54701.27</v>
      </c>
      <c r="AC69" s="227">
        <v>0</v>
      </c>
      <c r="AD69" s="227">
        <v>0</v>
      </c>
      <c r="AE69" s="227">
        <v>206912.7</v>
      </c>
      <c r="AF69" s="227">
        <v>421084.28</v>
      </c>
      <c r="AG69" s="227">
        <v>0</v>
      </c>
      <c r="AH69" s="227">
        <v>0</v>
      </c>
      <c r="AI69" s="227">
        <v>0</v>
      </c>
      <c r="AJ69" s="227">
        <v>1572125.11</v>
      </c>
      <c r="AK69" s="227">
        <v>35403.629999999997</v>
      </c>
      <c r="AL69" s="227">
        <v>370875.81</v>
      </c>
      <c r="AM69" s="227">
        <v>82363.13</v>
      </c>
      <c r="AN69" s="227">
        <v>205388.13</v>
      </c>
      <c r="AO69" s="227">
        <v>0</v>
      </c>
      <c r="AP69" s="227">
        <v>48099.43</v>
      </c>
      <c r="AQ69" s="227">
        <v>4458.51</v>
      </c>
      <c r="AR69" s="227">
        <v>6153.92</v>
      </c>
      <c r="AS69" s="227">
        <v>2364.8200000000002</v>
      </c>
      <c r="AT69" s="227">
        <v>0</v>
      </c>
      <c r="AU69" s="227">
        <v>28909.43</v>
      </c>
      <c r="AV69" s="227">
        <v>137.65</v>
      </c>
      <c r="AW69" s="227">
        <v>61479.79</v>
      </c>
      <c r="AX69" s="227">
        <v>4403.57</v>
      </c>
      <c r="AY69" s="227">
        <v>68908.160000000003</v>
      </c>
      <c r="AZ69" s="227">
        <v>15431.38</v>
      </c>
      <c r="BA69" s="227">
        <v>98542.83</v>
      </c>
      <c r="BB69" s="227">
        <v>95669.28</v>
      </c>
      <c r="BC69" s="227">
        <v>7748.48</v>
      </c>
      <c r="BD69" s="227">
        <v>0</v>
      </c>
      <c r="BE69" s="227">
        <v>4584</v>
      </c>
      <c r="BF69" s="227">
        <v>12088.94</v>
      </c>
      <c r="BG69" s="227">
        <v>4135.7700000000004</v>
      </c>
      <c r="BH69" s="227">
        <v>521.53</v>
      </c>
      <c r="BI69" s="227">
        <v>15680</v>
      </c>
      <c r="BJ69" s="227">
        <v>0</v>
      </c>
      <c r="BK69" s="227">
        <v>11819.03</v>
      </c>
      <c r="BL69" s="227">
        <v>18188.419999999998</v>
      </c>
      <c r="BM69" s="227">
        <v>16289.11</v>
      </c>
      <c r="BN69" s="227">
        <v>228742.68</v>
      </c>
      <c r="BO69" s="227">
        <v>7948</v>
      </c>
      <c r="BP69" s="227">
        <v>290487.78999999998</v>
      </c>
      <c r="BQ69" s="227">
        <v>23356.6</v>
      </c>
      <c r="BR69" s="227">
        <v>0</v>
      </c>
      <c r="BS69" s="227">
        <v>0</v>
      </c>
      <c r="BT69" s="227">
        <v>6750</v>
      </c>
      <c r="BU69" s="227">
        <v>0</v>
      </c>
      <c r="BV69" s="227">
        <v>0</v>
      </c>
      <c r="BW69" s="334">
        <v>0</v>
      </c>
      <c r="BX69" s="335"/>
      <c r="BY69" s="227">
        <v>0</v>
      </c>
      <c r="BZ69" s="227">
        <v>6750</v>
      </c>
      <c r="CA69" s="227">
        <v>6000</v>
      </c>
      <c r="CB69" s="227">
        <v>0</v>
      </c>
      <c r="CC69" s="227">
        <v>0</v>
      </c>
      <c r="CD69" s="227">
        <v>0</v>
      </c>
      <c r="CE69" s="227">
        <v>0</v>
      </c>
      <c r="CF69" s="227">
        <v>0</v>
      </c>
      <c r="CG69" s="227">
        <v>0</v>
      </c>
      <c r="CH69" s="227">
        <v>6750</v>
      </c>
      <c r="CI69" s="227">
        <v>0</v>
      </c>
      <c r="CJ69" s="227">
        <v>23356</v>
      </c>
      <c r="CK69" s="227">
        <v>-270839</v>
      </c>
      <c r="CL69" s="227">
        <v>0</v>
      </c>
      <c r="CM69" s="227">
        <v>0</v>
      </c>
      <c r="CN69" s="227">
        <v>0</v>
      </c>
      <c r="CO69" s="227">
        <v>0</v>
      </c>
      <c r="CQ69" s="229">
        <f t="shared" ref="CQ69:CQ88" si="1">CJ69+CK69+CN69</f>
        <v>-247483</v>
      </c>
    </row>
    <row r="70" spans="1:95" ht="15">
      <c r="A70" s="226">
        <v>302</v>
      </c>
      <c r="B70" s="226">
        <v>3513</v>
      </c>
      <c r="C70" s="226" t="s">
        <v>455</v>
      </c>
      <c r="D70" s="226" t="s">
        <v>418</v>
      </c>
      <c r="E70" s="226" t="s">
        <v>456</v>
      </c>
      <c r="F70" s="226" t="s">
        <v>420</v>
      </c>
      <c r="G70" s="226">
        <v>0</v>
      </c>
      <c r="H70" s="226">
        <v>1</v>
      </c>
      <c r="I70" s="226" t="s">
        <v>483</v>
      </c>
      <c r="J70" s="226" t="s">
        <v>482</v>
      </c>
      <c r="K70" s="226" t="s">
        <v>421</v>
      </c>
      <c r="L70" s="226" t="s">
        <v>422</v>
      </c>
      <c r="M70" s="226" t="s">
        <v>421</v>
      </c>
      <c r="N70" s="226" t="s">
        <v>423</v>
      </c>
      <c r="O70" s="226" t="s">
        <v>171</v>
      </c>
      <c r="P70" s="227">
        <v>-103080</v>
      </c>
      <c r="Q70" s="227">
        <v>0</v>
      </c>
      <c r="R70" s="227">
        <v>0</v>
      </c>
      <c r="S70" s="227">
        <v>2313039.58</v>
      </c>
      <c r="T70" s="227">
        <v>0</v>
      </c>
      <c r="U70" s="227">
        <v>82214.44</v>
      </c>
      <c r="V70" s="227">
        <v>0</v>
      </c>
      <c r="W70" s="227">
        <v>6060</v>
      </c>
      <c r="X70" s="227">
        <v>190568.2</v>
      </c>
      <c r="Y70" s="227">
        <v>159990.51</v>
      </c>
      <c r="Z70" s="227">
        <v>0</v>
      </c>
      <c r="AA70" s="227">
        <v>2102.1799999999998</v>
      </c>
      <c r="AB70" s="227">
        <v>42067.86</v>
      </c>
      <c r="AC70" s="227">
        <v>0</v>
      </c>
      <c r="AD70" s="227">
        <v>0</v>
      </c>
      <c r="AE70" s="227">
        <v>42862.86</v>
      </c>
      <c r="AF70" s="227">
        <v>240806.39999999999</v>
      </c>
      <c r="AG70" s="227">
        <v>0</v>
      </c>
      <c r="AH70" s="227">
        <v>0</v>
      </c>
      <c r="AI70" s="227">
        <v>0</v>
      </c>
      <c r="AJ70" s="227">
        <v>1592518.57</v>
      </c>
      <c r="AK70" s="227">
        <v>0</v>
      </c>
      <c r="AL70" s="227">
        <v>247203.49</v>
      </c>
      <c r="AM70" s="227">
        <v>42672.13</v>
      </c>
      <c r="AN70" s="227">
        <v>99098.3</v>
      </c>
      <c r="AO70" s="227">
        <v>0</v>
      </c>
      <c r="AP70" s="227">
        <v>80578.559999999998</v>
      </c>
      <c r="AQ70" s="227">
        <v>2630.1</v>
      </c>
      <c r="AR70" s="227">
        <v>7150</v>
      </c>
      <c r="AS70" s="227">
        <v>636.12</v>
      </c>
      <c r="AT70" s="227">
        <v>0</v>
      </c>
      <c r="AU70" s="227">
        <v>3824.78</v>
      </c>
      <c r="AV70" s="227">
        <v>65</v>
      </c>
      <c r="AW70" s="227">
        <v>33491</v>
      </c>
      <c r="AX70" s="227">
        <v>19479.37</v>
      </c>
      <c r="AY70" s="227">
        <v>52823.74</v>
      </c>
      <c r="AZ70" s="227">
        <v>5899.25</v>
      </c>
      <c r="BA70" s="227">
        <v>130025.87</v>
      </c>
      <c r="BB70" s="227">
        <v>130491.97</v>
      </c>
      <c r="BC70" s="227">
        <v>10740.71</v>
      </c>
      <c r="BD70" s="227">
        <v>8.9</v>
      </c>
      <c r="BE70" s="227">
        <v>6048</v>
      </c>
      <c r="BF70" s="227">
        <v>12236.61</v>
      </c>
      <c r="BG70" s="227">
        <v>1134.96</v>
      </c>
      <c r="BH70" s="227">
        <v>677.66</v>
      </c>
      <c r="BI70" s="227">
        <v>14157.08</v>
      </c>
      <c r="BJ70" s="227">
        <v>0</v>
      </c>
      <c r="BK70" s="227">
        <v>4498.4399999999996</v>
      </c>
      <c r="BL70" s="227">
        <v>17541.36</v>
      </c>
      <c r="BM70" s="227">
        <v>83791.98</v>
      </c>
      <c r="BN70" s="227">
        <v>192138.6</v>
      </c>
      <c r="BO70" s="227">
        <v>990.83</v>
      </c>
      <c r="BP70" s="227">
        <v>549085.99</v>
      </c>
      <c r="BQ70" s="227">
        <v>16556.16</v>
      </c>
      <c r="BR70" s="227">
        <v>69.5</v>
      </c>
      <c r="BS70" s="227">
        <v>0</v>
      </c>
      <c r="BT70" s="227">
        <v>0</v>
      </c>
      <c r="BU70" s="227">
        <v>0</v>
      </c>
      <c r="BV70" s="227">
        <v>0</v>
      </c>
      <c r="BW70" s="334">
        <v>0</v>
      </c>
      <c r="BX70" s="335"/>
      <c r="BY70" s="227">
        <v>0</v>
      </c>
      <c r="BZ70" s="227">
        <v>0</v>
      </c>
      <c r="CA70" s="227">
        <v>6000</v>
      </c>
      <c r="CB70" s="227">
        <v>0</v>
      </c>
      <c r="CC70" s="227">
        <v>0</v>
      </c>
      <c r="CD70" s="227">
        <v>0</v>
      </c>
      <c r="CE70" s="227">
        <v>0</v>
      </c>
      <c r="CF70" s="227">
        <v>0</v>
      </c>
      <c r="CG70" s="227">
        <v>0</v>
      </c>
      <c r="CH70" s="227">
        <v>0</v>
      </c>
      <c r="CI70" s="227">
        <v>0</v>
      </c>
      <c r="CJ70" s="227">
        <v>0</v>
      </c>
      <c r="CK70" s="227">
        <v>-381633</v>
      </c>
      <c r="CL70" s="227">
        <v>0</v>
      </c>
      <c r="CM70" s="227">
        <v>0</v>
      </c>
      <c r="CN70" s="227">
        <v>0</v>
      </c>
      <c r="CO70" s="227">
        <v>0</v>
      </c>
      <c r="CQ70" s="229">
        <f t="shared" si="1"/>
        <v>-381633</v>
      </c>
    </row>
    <row r="71" spans="1:95" ht="15">
      <c r="A71" s="226">
        <v>302</v>
      </c>
      <c r="B71" s="226">
        <v>3514</v>
      </c>
      <c r="C71" s="226" t="s">
        <v>261</v>
      </c>
      <c r="D71" s="226" t="s">
        <v>424</v>
      </c>
      <c r="E71" s="226"/>
      <c r="F71" s="226" t="s">
        <v>420</v>
      </c>
      <c r="G71" s="226">
        <v>0</v>
      </c>
      <c r="H71" s="226">
        <v>1</v>
      </c>
      <c r="I71" s="226" t="s">
        <v>483</v>
      </c>
      <c r="J71" s="226" t="s">
        <v>482</v>
      </c>
      <c r="K71" s="226" t="s">
        <v>421</v>
      </c>
      <c r="L71" s="226" t="s">
        <v>422</v>
      </c>
      <c r="M71" s="226" t="s">
        <v>421</v>
      </c>
      <c r="N71" s="226" t="s">
        <v>423</v>
      </c>
      <c r="O71" s="226" t="s">
        <v>171</v>
      </c>
      <c r="P71" s="227">
        <v>-57555</v>
      </c>
      <c r="Q71" s="227">
        <v>0</v>
      </c>
      <c r="R71" s="227">
        <v>0</v>
      </c>
      <c r="S71" s="227">
        <v>1195084.43</v>
      </c>
      <c r="T71" s="227">
        <v>0</v>
      </c>
      <c r="U71" s="227">
        <v>74836.08</v>
      </c>
      <c r="V71" s="227">
        <v>0</v>
      </c>
      <c r="W71" s="227">
        <v>67010</v>
      </c>
      <c r="X71" s="227">
        <v>19126.61</v>
      </c>
      <c r="Y71" s="227">
        <v>71270.8</v>
      </c>
      <c r="Z71" s="227">
        <v>0</v>
      </c>
      <c r="AA71" s="227">
        <v>21384.34</v>
      </c>
      <c r="AB71" s="227">
        <v>26.67</v>
      </c>
      <c r="AC71" s="227">
        <v>0</v>
      </c>
      <c r="AD71" s="227">
        <v>0</v>
      </c>
      <c r="AE71" s="227">
        <v>9646.8799999999992</v>
      </c>
      <c r="AF71" s="227">
        <v>4257.8900000000003</v>
      </c>
      <c r="AG71" s="227">
        <v>0</v>
      </c>
      <c r="AH71" s="227">
        <v>0</v>
      </c>
      <c r="AI71" s="227">
        <v>0</v>
      </c>
      <c r="AJ71" s="227">
        <v>679611.45</v>
      </c>
      <c r="AK71" s="227">
        <v>0</v>
      </c>
      <c r="AL71" s="227">
        <v>157891.67000000001</v>
      </c>
      <c r="AM71" s="227">
        <v>18934.5</v>
      </c>
      <c r="AN71" s="227">
        <v>63674</v>
      </c>
      <c r="AO71" s="227">
        <v>0</v>
      </c>
      <c r="AP71" s="227">
        <v>2101.87</v>
      </c>
      <c r="AQ71" s="227">
        <v>4642.6400000000003</v>
      </c>
      <c r="AR71" s="227">
        <v>2886.31</v>
      </c>
      <c r="AS71" s="227">
        <v>295.83</v>
      </c>
      <c r="AT71" s="227">
        <v>0</v>
      </c>
      <c r="AU71" s="227">
        <v>2656.13</v>
      </c>
      <c r="AV71" s="227">
        <v>3231.6</v>
      </c>
      <c r="AW71" s="227">
        <v>10517.31</v>
      </c>
      <c r="AX71" s="227">
        <v>4688.47</v>
      </c>
      <c r="AY71" s="227">
        <v>25715.83</v>
      </c>
      <c r="AZ71" s="227">
        <v>5405.4</v>
      </c>
      <c r="BA71" s="227">
        <v>7320.15</v>
      </c>
      <c r="BB71" s="227">
        <v>26841.11</v>
      </c>
      <c r="BC71" s="227">
        <v>5726.86</v>
      </c>
      <c r="BD71" s="227">
        <v>0</v>
      </c>
      <c r="BE71" s="227">
        <v>6994</v>
      </c>
      <c r="BF71" s="227">
        <v>14024.51</v>
      </c>
      <c r="BG71" s="227">
        <v>1240.75</v>
      </c>
      <c r="BH71" s="227">
        <v>1353</v>
      </c>
      <c r="BI71" s="227">
        <v>5219</v>
      </c>
      <c r="BJ71" s="227">
        <v>0</v>
      </c>
      <c r="BK71" s="227">
        <v>1221.02</v>
      </c>
      <c r="BL71" s="227">
        <v>7504.74</v>
      </c>
      <c r="BM71" s="227">
        <v>11874.85</v>
      </c>
      <c r="BN71" s="227">
        <v>81872.03</v>
      </c>
      <c r="BO71" s="227">
        <v>121065.16</v>
      </c>
      <c r="BP71" s="227">
        <v>149665.42000000001</v>
      </c>
      <c r="BQ71" s="227">
        <v>23011</v>
      </c>
      <c r="BR71" s="227">
        <v>0</v>
      </c>
      <c r="BS71" s="227">
        <v>0</v>
      </c>
      <c r="BT71" s="227">
        <v>2336.09</v>
      </c>
      <c r="BU71" s="227">
        <v>0</v>
      </c>
      <c r="BV71" s="227">
        <v>0</v>
      </c>
      <c r="BW71" s="334">
        <v>0</v>
      </c>
      <c r="BX71" s="335"/>
      <c r="BY71" s="227">
        <v>0</v>
      </c>
      <c r="BZ71" s="227">
        <v>0</v>
      </c>
      <c r="CA71" s="227">
        <v>6000</v>
      </c>
      <c r="CB71" s="227">
        <v>0</v>
      </c>
      <c r="CC71" s="227">
        <v>0</v>
      </c>
      <c r="CD71" s="227">
        <v>0</v>
      </c>
      <c r="CE71" s="227">
        <v>0</v>
      </c>
      <c r="CF71" s="227">
        <v>0</v>
      </c>
      <c r="CG71" s="227">
        <v>0</v>
      </c>
      <c r="CH71" s="227">
        <v>0</v>
      </c>
      <c r="CI71" s="227">
        <v>0</v>
      </c>
      <c r="CJ71" s="227">
        <v>0</v>
      </c>
      <c r="CK71" s="227">
        <v>-44434</v>
      </c>
      <c r="CL71" s="227">
        <v>0</v>
      </c>
      <c r="CM71" s="227">
        <v>0</v>
      </c>
      <c r="CN71" s="227">
        <v>0</v>
      </c>
      <c r="CO71" s="227">
        <v>0</v>
      </c>
      <c r="CQ71" s="229">
        <f t="shared" si="1"/>
        <v>-44434</v>
      </c>
    </row>
    <row r="72" spans="1:95" ht="15">
      <c r="A72" s="226">
        <v>302</v>
      </c>
      <c r="B72" s="226">
        <v>3516</v>
      </c>
      <c r="C72" s="226" t="s">
        <v>61</v>
      </c>
      <c r="D72" s="226" t="s">
        <v>424</v>
      </c>
      <c r="E72" s="226"/>
      <c r="F72" s="226" t="s">
        <v>420</v>
      </c>
      <c r="G72" s="226">
        <v>0</v>
      </c>
      <c r="H72" s="226">
        <v>1</v>
      </c>
      <c r="I72" s="226" t="s">
        <v>483</v>
      </c>
      <c r="J72" s="226" t="s">
        <v>482</v>
      </c>
      <c r="K72" s="226" t="s">
        <v>421</v>
      </c>
      <c r="L72" s="226" t="s">
        <v>422</v>
      </c>
      <c r="M72" s="226" t="s">
        <v>421</v>
      </c>
      <c r="N72" s="226" t="s">
        <v>423</v>
      </c>
      <c r="O72" s="226" t="s">
        <v>171</v>
      </c>
      <c r="P72" s="227">
        <v>-79220</v>
      </c>
      <c r="Q72" s="227">
        <v>0</v>
      </c>
      <c r="R72" s="227">
        <v>0</v>
      </c>
      <c r="S72" s="227">
        <v>1217555.55</v>
      </c>
      <c r="T72" s="227">
        <v>0</v>
      </c>
      <c r="U72" s="227">
        <v>188044.02</v>
      </c>
      <c r="V72" s="227">
        <v>0</v>
      </c>
      <c r="W72" s="227">
        <v>56955</v>
      </c>
      <c r="X72" s="227">
        <v>93602.19</v>
      </c>
      <c r="Y72" s="227">
        <v>73584.539999999994</v>
      </c>
      <c r="Z72" s="227">
        <v>0</v>
      </c>
      <c r="AA72" s="227">
        <v>6729</v>
      </c>
      <c r="AB72" s="227">
        <v>12557</v>
      </c>
      <c r="AC72" s="227">
        <v>6920</v>
      </c>
      <c r="AD72" s="227">
        <v>0</v>
      </c>
      <c r="AE72" s="227">
        <v>20440.43</v>
      </c>
      <c r="AF72" s="227">
        <v>124500</v>
      </c>
      <c r="AG72" s="227">
        <v>0</v>
      </c>
      <c r="AH72" s="227">
        <v>0</v>
      </c>
      <c r="AI72" s="227">
        <v>0</v>
      </c>
      <c r="AJ72" s="227">
        <v>931321.67</v>
      </c>
      <c r="AK72" s="227">
        <v>0</v>
      </c>
      <c r="AL72" s="227">
        <v>384171.99</v>
      </c>
      <c r="AM72" s="227">
        <v>75576.45</v>
      </c>
      <c r="AN72" s="227">
        <v>130195.35</v>
      </c>
      <c r="AO72" s="227">
        <v>0</v>
      </c>
      <c r="AP72" s="227">
        <v>28491.38</v>
      </c>
      <c r="AQ72" s="227">
        <v>680.89</v>
      </c>
      <c r="AR72" s="227">
        <v>3687.78</v>
      </c>
      <c r="AS72" s="227">
        <v>11838.86</v>
      </c>
      <c r="AT72" s="227">
        <v>955</v>
      </c>
      <c r="AU72" s="227">
        <v>7061.41</v>
      </c>
      <c r="AV72" s="227">
        <v>3118.4</v>
      </c>
      <c r="AW72" s="227">
        <v>873.77</v>
      </c>
      <c r="AX72" s="227">
        <v>3302.29</v>
      </c>
      <c r="AY72" s="227">
        <v>24539.02</v>
      </c>
      <c r="AZ72" s="227">
        <v>8998.2900000000009</v>
      </c>
      <c r="BA72" s="227">
        <v>76195.58</v>
      </c>
      <c r="BB72" s="227">
        <v>59129.83</v>
      </c>
      <c r="BC72" s="227">
        <v>4453.76</v>
      </c>
      <c r="BD72" s="227">
        <v>0</v>
      </c>
      <c r="BE72" s="227">
        <v>6111</v>
      </c>
      <c r="BF72" s="227">
        <v>7057.85</v>
      </c>
      <c r="BG72" s="227">
        <v>0</v>
      </c>
      <c r="BH72" s="227">
        <v>2222.73</v>
      </c>
      <c r="BI72" s="227">
        <v>5741.92</v>
      </c>
      <c r="BJ72" s="227">
        <v>0</v>
      </c>
      <c r="BK72" s="227">
        <v>3504.53</v>
      </c>
      <c r="BL72" s="227">
        <v>8113</v>
      </c>
      <c r="BM72" s="227">
        <v>500</v>
      </c>
      <c r="BN72" s="227">
        <v>50865.85</v>
      </c>
      <c r="BO72" s="227">
        <v>13552.3</v>
      </c>
      <c r="BP72" s="227">
        <v>24544.66</v>
      </c>
      <c r="BQ72" s="227">
        <v>13446.02</v>
      </c>
      <c r="BR72" s="227">
        <v>0</v>
      </c>
      <c r="BS72" s="227">
        <v>0</v>
      </c>
      <c r="BT72" s="227">
        <v>0</v>
      </c>
      <c r="BU72" s="227">
        <v>0</v>
      </c>
      <c r="BV72" s="227">
        <v>0</v>
      </c>
      <c r="BW72" s="334">
        <v>0</v>
      </c>
      <c r="BX72" s="335"/>
      <c r="BY72" s="227">
        <v>0</v>
      </c>
      <c r="BZ72" s="227">
        <v>0</v>
      </c>
      <c r="CA72" s="227">
        <v>6000</v>
      </c>
      <c r="CB72" s="227">
        <v>0</v>
      </c>
      <c r="CC72" s="227">
        <v>0</v>
      </c>
      <c r="CD72" s="227">
        <v>0</v>
      </c>
      <c r="CE72" s="227">
        <v>0</v>
      </c>
      <c r="CF72" s="227">
        <v>0</v>
      </c>
      <c r="CG72" s="227">
        <v>0</v>
      </c>
      <c r="CH72" s="227">
        <v>0</v>
      </c>
      <c r="CI72" s="227">
        <v>0</v>
      </c>
      <c r="CJ72" s="227">
        <v>0</v>
      </c>
      <c r="CK72" s="227">
        <v>-168583.85</v>
      </c>
      <c r="CL72" s="227">
        <v>0</v>
      </c>
      <c r="CM72" s="227">
        <v>0</v>
      </c>
      <c r="CN72" s="227">
        <v>0</v>
      </c>
      <c r="CO72" s="227">
        <v>0</v>
      </c>
      <c r="CQ72" s="229">
        <f t="shared" si="1"/>
        <v>-168583.85</v>
      </c>
    </row>
    <row r="73" spans="1:95" ht="15">
      <c r="A73" s="226">
        <v>302</v>
      </c>
      <c r="B73" s="226">
        <v>3518</v>
      </c>
      <c r="C73" s="226" t="s">
        <v>100</v>
      </c>
      <c r="D73" s="226" t="s">
        <v>424</v>
      </c>
      <c r="E73" s="226"/>
      <c r="F73" s="226" t="s">
        <v>420</v>
      </c>
      <c r="G73" s="226">
        <v>0</v>
      </c>
      <c r="H73" s="226">
        <v>1</v>
      </c>
      <c r="I73" s="226" t="s">
        <v>483</v>
      </c>
      <c r="J73" s="226" t="s">
        <v>482</v>
      </c>
      <c r="K73" s="226" t="s">
        <v>421</v>
      </c>
      <c r="L73" s="226" t="s">
        <v>422</v>
      </c>
      <c r="M73" s="226" t="s">
        <v>421</v>
      </c>
      <c r="N73" s="226" t="s">
        <v>423</v>
      </c>
      <c r="O73" s="226" t="s">
        <v>171</v>
      </c>
      <c r="P73" s="227">
        <v>-324676</v>
      </c>
      <c r="Q73" s="227">
        <v>0</v>
      </c>
      <c r="R73" s="227">
        <v>29634</v>
      </c>
      <c r="S73" s="227">
        <v>2655311.48</v>
      </c>
      <c r="T73" s="227">
        <v>0</v>
      </c>
      <c r="U73" s="227">
        <v>227480.26</v>
      </c>
      <c r="V73" s="227">
        <v>0</v>
      </c>
      <c r="W73" s="227">
        <v>199809</v>
      </c>
      <c r="X73" s="227">
        <v>52260.5</v>
      </c>
      <c r="Y73" s="227">
        <v>89877.14</v>
      </c>
      <c r="Z73" s="227">
        <v>13200</v>
      </c>
      <c r="AA73" s="227">
        <v>22806.85</v>
      </c>
      <c r="AB73" s="227">
        <v>2120.29</v>
      </c>
      <c r="AC73" s="227">
        <v>0</v>
      </c>
      <c r="AD73" s="227">
        <v>0</v>
      </c>
      <c r="AE73" s="227">
        <v>18542.5</v>
      </c>
      <c r="AF73" s="227">
        <v>763</v>
      </c>
      <c r="AG73" s="227">
        <v>0</v>
      </c>
      <c r="AH73" s="227">
        <v>0</v>
      </c>
      <c r="AI73" s="227">
        <v>0</v>
      </c>
      <c r="AJ73" s="227">
        <v>1513874.99</v>
      </c>
      <c r="AK73" s="227">
        <v>9483.92</v>
      </c>
      <c r="AL73" s="227">
        <v>816166.82</v>
      </c>
      <c r="AM73" s="227">
        <v>20610.72</v>
      </c>
      <c r="AN73" s="227">
        <v>63123.56</v>
      </c>
      <c r="AO73" s="227">
        <v>0</v>
      </c>
      <c r="AP73" s="227">
        <v>226481.23</v>
      </c>
      <c r="AQ73" s="227">
        <v>15695.39</v>
      </c>
      <c r="AR73" s="227">
        <v>2153.23</v>
      </c>
      <c r="AS73" s="227">
        <v>649.79999999999995</v>
      </c>
      <c r="AT73" s="227">
        <v>0</v>
      </c>
      <c r="AU73" s="227">
        <v>46325.59</v>
      </c>
      <c r="AV73" s="227">
        <v>5640.19</v>
      </c>
      <c r="AW73" s="227">
        <v>75105.86</v>
      </c>
      <c r="AX73" s="227">
        <v>2208.54</v>
      </c>
      <c r="AY73" s="227">
        <v>57407.71</v>
      </c>
      <c r="AZ73" s="227">
        <v>45339.49</v>
      </c>
      <c r="BA73" s="227">
        <v>11122.41</v>
      </c>
      <c r="BB73" s="227">
        <v>32491.62</v>
      </c>
      <c r="BC73" s="227">
        <v>11099.43</v>
      </c>
      <c r="BD73" s="227">
        <v>0</v>
      </c>
      <c r="BE73" s="227">
        <v>7335.8</v>
      </c>
      <c r="BF73" s="227">
        <v>7201.62</v>
      </c>
      <c r="BG73" s="227">
        <v>0</v>
      </c>
      <c r="BH73" s="227">
        <v>1878.36</v>
      </c>
      <c r="BI73" s="227">
        <v>18045</v>
      </c>
      <c r="BJ73" s="227">
        <v>0</v>
      </c>
      <c r="BK73" s="227">
        <v>12412.96</v>
      </c>
      <c r="BL73" s="227">
        <v>17744.400000000001</v>
      </c>
      <c r="BM73" s="227">
        <v>21189.91</v>
      </c>
      <c r="BN73" s="227">
        <v>154663.01</v>
      </c>
      <c r="BO73" s="227">
        <v>88838.83</v>
      </c>
      <c r="BP73" s="227">
        <v>209655.3</v>
      </c>
      <c r="BQ73" s="227">
        <v>53252.04</v>
      </c>
      <c r="BR73" s="227">
        <v>0</v>
      </c>
      <c r="BS73" s="227">
        <v>0</v>
      </c>
      <c r="BT73" s="227">
        <v>0</v>
      </c>
      <c r="BU73" s="227">
        <v>0</v>
      </c>
      <c r="BV73" s="227">
        <v>0</v>
      </c>
      <c r="BW73" s="334">
        <v>8719.3799999999992</v>
      </c>
      <c r="BX73" s="335"/>
      <c r="BY73" s="227">
        <v>0</v>
      </c>
      <c r="BZ73" s="227">
        <v>0</v>
      </c>
      <c r="CA73" s="227">
        <v>6000</v>
      </c>
      <c r="CB73" s="227">
        <v>0</v>
      </c>
      <c r="CC73" s="227">
        <v>13594.38</v>
      </c>
      <c r="CD73" s="227">
        <v>0</v>
      </c>
      <c r="CE73" s="227">
        <v>0</v>
      </c>
      <c r="CF73" s="227">
        <v>0</v>
      </c>
      <c r="CG73" s="227">
        <v>0</v>
      </c>
      <c r="CH73" s="227">
        <v>0</v>
      </c>
      <c r="CI73" s="227">
        <v>0</v>
      </c>
      <c r="CJ73" s="227">
        <v>0</v>
      </c>
      <c r="CK73" s="227">
        <v>-589702.71</v>
      </c>
      <c r="CL73" s="227">
        <v>24759</v>
      </c>
      <c r="CM73" s="227">
        <v>0</v>
      </c>
      <c r="CN73" s="227">
        <v>0</v>
      </c>
      <c r="CO73" s="227">
        <v>0</v>
      </c>
      <c r="CQ73" s="229">
        <f t="shared" si="1"/>
        <v>-589702.71</v>
      </c>
    </row>
    <row r="74" spans="1:95" ht="15">
      <c r="A74" s="226">
        <v>302</v>
      </c>
      <c r="B74" s="226">
        <v>3520</v>
      </c>
      <c r="C74" s="226" t="s">
        <v>229</v>
      </c>
      <c r="D74" s="226" t="s">
        <v>424</v>
      </c>
      <c r="E74" s="226"/>
      <c r="F74" s="226" t="s">
        <v>420</v>
      </c>
      <c r="G74" s="226">
        <v>0</v>
      </c>
      <c r="H74" s="226">
        <v>1</v>
      </c>
      <c r="I74" s="226" t="s">
        <v>483</v>
      </c>
      <c r="J74" s="226" t="s">
        <v>482</v>
      </c>
      <c r="K74" s="226" t="s">
        <v>421</v>
      </c>
      <c r="L74" s="226" t="s">
        <v>422</v>
      </c>
      <c r="M74" s="226" t="s">
        <v>421</v>
      </c>
      <c r="N74" s="226" t="s">
        <v>423</v>
      </c>
      <c r="O74" s="226" t="s">
        <v>171</v>
      </c>
      <c r="P74" s="227">
        <v>325702</v>
      </c>
      <c r="Q74" s="227">
        <v>0</v>
      </c>
      <c r="R74" s="227">
        <v>0</v>
      </c>
      <c r="S74" s="227">
        <v>2150959.06</v>
      </c>
      <c r="T74" s="227">
        <v>0</v>
      </c>
      <c r="U74" s="227">
        <v>138861.26</v>
      </c>
      <c r="V74" s="227">
        <v>0</v>
      </c>
      <c r="W74" s="227">
        <v>3030</v>
      </c>
      <c r="X74" s="227">
        <v>141979.21</v>
      </c>
      <c r="Y74" s="227">
        <v>173810.96</v>
      </c>
      <c r="Z74" s="227">
        <v>33364.99</v>
      </c>
      <c r="AA74" s="227">
        <v>-4611.42</v>
      </c>
      <c r="AB74" s="227">
        <v>3745.33</v>
      </c>
      <c r="AC74" s="227">
        <v>0</v>
      </c>
      <c r="AD74" s="227">
        <v>0</v>
      </c>
      <c r="AE74" s="227">
        <v>121326.5</v>
      </c>
      <c r="AF74" s="227">
        <v>531033.13</v>
      </c>
      <c r="AG74" s="227">
        <v>0</v>
      </c>
      <c r="AH74" s="227">
        <v>0</v>
      </c>
      <c r="AI74" s="227">
        <v>0</v>
      </c>
      <c r="AJ74" s="227">
        <v>1459842.11</v>
      </c>
      <c r="AK74" s="227">
        <v>3981.64</v>
      </c>
      <c r="AL74" s="227">
        <v>613036.22</v>
      </c>
      <c r="AM74" s="227">
        <v>34141.910000000003</v>
      </c>
      <c r="AN74" s="227">
        <v>152401.85</v>
      </c>
      <c r="AO74" s="227">
        <v>0</v>
      </c>
      <c r="AP74" s="227">
        <v>31254.99</v>
      </c>
      <c r="AQ74" s="227">
        <v>3879.48</v>
      </c>
      <c r="AR74" s="227">
        <v>2528.9</v>
      </c>
      <c r="AS74" s="227">
        <v>716.44</v>
      </c>
      <c r="AT74" s="227">
        <v>0</v>
      </c>
      <c r="AU74" s="227">
        <v>66900.25</v>
      </c>
      <c r="AV74" s="227">
        <v>477.5</v>
      </c>
      <c r="AW74" s="227">
        <v>53792.38</v>
      </c>
      <c r="AX74" s="227">
        <v>17172.509999999998</v>
      </c>
      <c r="AY74" s="227">
        <v>41259.78</v>
      </c>
      <c r="AZ74" s="227">
        <v>17370.080000000002</v>
      </c>
      <c r="BA74" s="227">
        <v>141066.73000000001</v>
      </c>
      <c r="BB74" s="227">
        <v>180037.32</v>
      </c>
      <c r="BC74" s="227">
        <v>7648.76</v>
      </c>
      <c r="BD74" s="227">
        <v>0</v>
      </c>
      <c r="BE74" s="227">
        <v>3041.49</v>
      </c>
      <c r="BF74" s="227">
        <v>10720.78</v>
      </c>
      <c r="BG74" s="227">
        <v>6568.94</v>
      </c>
      <c r="BH74" s="227">
        <v>413.85</v>
      </c>
      <c r="BI74" s="227">
        <v>19645</v>
      </c>
      <c r="BJ74" s="227">
        <v>0</v>
      </c>
      <c r="BK74" s="227">
        <v>4964.99</v>
      </c>
      <c r="BL74" s="227">
        <v>18176.22</v>
      </c>
      <c r="BM74" s="227">
        <v>3908.67</v>
      </c>
      <c r="BN74" s="227">
        <v>204402.24</v>
      </c>
      <c r="BO74" s="227">
        <v>62122.080000000002</v>
      </c>
      <c r="BP74" s="227">
        <v>185944.49</v>
      </c>
      <c r="BQ74" s="227">
        <v>39272.42</v>
      </c>
      <c r="BR74" s="227">
        <v>0</v>
      </c>
      <c r="BS74" s="227">
        <v>0</v>
      </c>
      <c r="BT74" s="227">
        <v>9300</v>
      </c>
      <c r="BU74" s="227">
        <v>0</v>
      </c>
      <c r="BV74" s="227">
        <v>0</v>
      </c>
      <c r="BW74" s="334">
        <v>0</v>
      </c>
      <c r="BX74" s="335"/>
      <c r="BY74" s="227">
        <v>0</v>
      </c>
      <c r="BZ74" s="227">
        <v>9300</v>
      </c>
      <c r="CA74" s="227">
        <v>6000</v>
      </c>
      <c r="CB74" s="227">
        <v>0</v>
      </c>
      <c r="CC74" s="227">
        <v>0</v>
      </c>
      <c r="CD74" s="227">
        <v>0</v>
      </c>
      <c r="CE74" s="227">
        <v>0</v>
      </c>
      <c r="CF74" s="227">
        <v>0</v>
      </c>
      <c r="CG74" s="227">
        <v>0</v>
      </c>
      <c r="CH74" s="227">
        <v>9300</v>
      </c>
      <c r="CI74" s="227">
        <v>0</v>
      </c>
      <c r="CJ74" s="227">
        <v>0</v>
      </c>
      <c r="CK74" s="227">
        <v>223211</v>
      </c>
      <c r="CL74" s="227">
        <v>0</v>
      </c>
      <c r="CM74" s="227">
        <v>0</v>
      </c>
      <c r="CN74" s="227">
        <v>0</v>
      </c>
      <c r="CO74" s="227">
        <v>0</v>
      </c>
      <c r="CQ74" s="229">
        <f t="shared" si="1"/>
        <v>223211</v>
      </c>
    </row>
    <row r="75" spans="1:95" ht="15">
      <c r="A75" s="226">
        <v>302</v>
      </c>
      <c r="B75" s="226">
        <v>3521</v>
      </c>
      <c r="C75" s="226" t="s">
        <v>348</v>
      </c>
      <c r="D75" s="226" t="s">
        <v>424</v>
      </c>
      <c r="E75" s="226"/>
      <c r="F75" s="226" t="s">
        <v>420</v>
      </c>
      <c r="G75" s="226">
        <v>0</v>
      </c>
      <c r="H75" s="226">
        <v>3</v>
      </c>
      <c r="I75" s="226" t="s">
        <v>483</v>
      </c>
      <c r="J75" s="226" t="s">
        <v>482</v>
      </c>
      <c r="K75" s="226" t="s">
        <v>421</v>
      </c>
      <c r="L75" s="226" t="s">
        <v>422</v>
      </c>
      <c r="M75" s="226" t="s">
        <v>171</v>
      </c>
      <c r="N75" s="226" t="s">
        <v>423</v>
      </c>
      <c r="O75" s="226" t="s">
        <v>171</v>
      </c>
      <c r="P75" s="227">
        <v>1469998</v>
      </c>
      <c r="Q75" s="227">
        <v>0</v>
      </c>
      <c r="R75" s="227">
        <v>0</v>
      </c>
      <c r="S75" s="227">
        <v>4378240.97</v>
      </c>
      <c r="T75" s="227">
        <v>438194.51</v>
      </c>
      <c r="U75" s="227">
        <v>234348.27</v>
      </c>
      <c r="V75" s="227">
        <v>0</v>
      </c>
      <c r="W75" s="227">
        <v>207693.33</v>
      </c>
      <c r="X75" s="227">
        <v>-8603</v>
      </c>
      <c r="Y75" s="227">
        <v>36887.5</v>
      </c>
      <c r="Z75" s="227">
        <v>33604.980000000003</v>
      </c>
      <c r="AA75" s="227">
        <v>41090.870000000003</v>
      </c>
      <c r="AB75" s="227">
        <v>64921.7</v>
      </c>
      <c r="AC75" s="227">
        <v>0</v>
      </c>
      <c r="AD75" s="227">
        <v>12434.69</v>
      </c>
      <c r="AE75" s="227">
        <v>97771.41</v>
      </c>
      <c r="AF75" s="227">
        <v>904.01</v>
      </c>
      <c r="AG75" s="227">
        <v>0</v>
      </c>
      <c r="AH75" s="227">
        <v>0</v>
      </c>
      <c r="AI75" s="227">
        <v>0</v>
      </c>
      <c r="AJ75" s="227">
        <v>3048421.29</v>
      </c>
      <c r="AK75" s="227">
        <v>0</v>
      </c>
      <c r="AL75" s="227">
        <v>635328.14</v>
      </c>
      <c r="AM75" s="227">
        <v>121421.96</v>
      </c>
      <c r="AN75" s="227">
        <v>419612.55</v>
      </c>
      <c r="AO75" s="227">
        <v>0</v>
      </c>
      <c r="AP75" s="227">
        <v>56717.62</v>
      </c>
      <c r="AQ75" s="227">
        <v>14128.67</v>
      </c>
      <c r="AR75" s="227">
        <v>2211</v>
      </c>
      <c r="AS75" s="227">
        <v>0</v>
      </c>
      <c r="AT75" s="227">
        <v>150.93</v>
      </c>
      <c r="AU75" s="227">
        <v>104084.15</v>
      </c>
      <c r="AV75" s="227">
        <v>3556</v>
      </c>
      <c r="AW75" s="227">
        <v>74916.28</v>
      </c>
      <c r="AX75" s="227">
        <v>29760.82</v>
      </c>
      <c r="AY75" s="227">
        <v>64819.73</v>
      </c>
      <c r="AZ75" s="227">
        <v>108309.12</v>
      </c>
      <c r="BA75" s="227">
        <v>44704.88</v>
      </c>
      <c r="BB75" s="227">
        <v>273211.73</v>
      </c>
      <c r="BC75" s="227">
        <v>23717.62</v>
      </c>
      <c r="BD75" s="227">
        <v>0</v>
      </c>
      <c r="BE75" s="227">
        <v>0</v>
      </c>
      <c r="BF75" s="227">
        <v>0</v>
      </c>
      <c r="BG75" s="227">
        <v>0</v>
      </c>
      <c r="BH75" s="227">
        <v>0</v>
      </c>
      <c r="BI75" s="227">
        <v>0</v>
      </c>
      <c r="BJ75" s="227">
        <v>115158.07</v>
      </c>
      <c r="BK75" s="227">
        <v>87496.23</v>
      </c>
      <c r="BL75" s="227">
        <v>19432.240000000002</v>
      </c>
      <c r="BM75" s="227">
        <v>2953.96</v>
      </c>
      <c r="BN75" s="227">
        <v>201045.31</v>
      </c>
      <c r="BO75" s="227">
        <v>40912.28</v>
      </c>
      <c r="BP75" s="227">
        <v>288433.58</v>
      </c>
      <c r="BQ75" s="227">
        <v>110213.08</v>
      </c>
      <c r="BR75" s="227">
        <v>0</v>
      </c>
      <c r="BS75" s="227">
        <v>0</v>
      </c>
      <c r="BT75" s="227">
        <v>0</v>
      </c>
      <c r="BU75" s="227">
        <v>0</v>
      </c>
      <c r="BV75" s="227">
        <v>0</v>
      </c>
      <c r="BW75" s="334">
        <v>0</v>
      </c>
      <c r="BX75" s="335"/>
      <c r="BY75" s="227">
        <v>0</v>
      </c>
      <c r="BZ75" s="227">
        <v>0</v>
      </c>
      <c r="CA75" s="227">
        <v>6000</v>
      </c>
      <c r="CB75" s="227">
        <v>0</v>
      </c>
      <c r="CC75" s="227">
        <v>0</v>
      </c>
      <c r="CD75" s="227">
        <v>0</v>
      </c>
      <c r="CE75" s="227">
        <v>0</v>
      </c>
      <c r="CF75" s="227">
        <v>0</v>
      </c>
      <c r="CG75" s="227">
        <v>0</v>
      </c>
      <c r="CH75" s="227">
        <v>0</v>
      </c>
      <c r="CI75" s="227">
        <v>0</v>
      </c>
      <c r="CJ75" s="227">
        <v>0</v>
      </c>
      <c r="CK75" s="227">
        <v>1116770</v>
      </c>
      <c r="CL75" s="227">
        <v>0</v>
      </c>
      <c r="CM75" s="227">
        <v>0</v>
      </c>
      <c r="CN75" s="227">
        <v>0</v>
      </c>
      <c r="CO75" s="227">
        <v>0</v>
      </c>
      <c r="CQ75" s="229">
        <f t="shared" si="1"/>
        <v>1116770</v>
      </c>
    </row>
    <row r="76" spans="1:95" ht="15">
      <c r="A76" s="226">
        <v>302</v>
      </c>
      <c r="B76" s="226">
        <v>3523</v>
      </c>
      <c r="C76" s="226" t="s">
        <v>247</v>
      </c>
      <c r="D76" s="226" t="s">
        <v>424</v>
      </c>
      <c r="E76" s="226"/>
      <c r="F76" s="226" t="s">
        <v>420</v>
      </c>
      <c r="G76" s="226">
        <v>0</v>
      </c>
      <c r="H76" s="226">
        <v>0</v>
      </c>
      <c r="I76" s="226" t="s">
        <v>483</v>
      </c>
      <c r="J76" s="226" t="s">
        <v>482</v>
      </c>
      <c r="K76" s="226" t="s">
        <v>421</v>
      </c>
      <c r="L76" s="226" t="s">
        <v>422</v>
      </c>
      <c r="M76" s="226" t="s">
        <v>421</v>
      </c>
      <c r="N76" s="226" t="s">
        <v>423</v>
      </c>
      <c r="O76" s="226" t="s">
        <v>171</v>
      </c>
      <c r="P76" s="227">
        <v>452834</v>
      </c>
      <c r="Q76" s="227">
        <v>0</v>
      </c>
      <c r="R76" s="227">
        <v>20460</v>
      </c>
      <c r="S76" s="227">
        <v>3999338.87</v>
      </c>
      <c r="T76" s="227">
        <v>0</v>
      </c>
      <c r="U76" s="227">
        <v>256495.48</v>
      </c>
      <c r="V76" s="227">
        <v>0</v>
      </c>
      <c r="W76" s="227">
        <v>297255</v>
      </c>
      <c r="X76" s="227">
        <v>107504</v>
      </c>
      <c r="Y76" s="227">
        <v>123699.02</v>
      </c>
      <c r="Z76" s="227">
        <v>122118.99</v>
      </c>
      <c r="AA76" s="227">
        <v>21749.8</v>
      </c>
      <c r="AB76" s="227">
        <v>11364.33</v>
      </c>
      <c r="AC76" s="227">
        <v>10300</v>
      </c>
      <c r="AD76" s="227">
        <v>0</v>
      </c>
      <c r="AE76" s="227">
        <v>150056.75</v>
      </c>
      <c r="AF76" s="227">
        <v>15416.2</v>
      </c>
      <c r="AG76" s="227">
        <v>0</v>
      </c>
      <c r="AH76" s="227">
        <v>0</v>
      </c>
      <c r="AI76" s="227">
        <v>0</v>
      </c>
      <c r="AJ76" s="227">
        <v>2240018.69</v>
      </c>
      <c r="AK76" s="227">
        <v>0</v>
      </c>
      <c r="AL76" s="227">
        <v>1041940.09</v>
      </c>
      <c r="AM76" s="227">
        <v>235490.78</v>
      </c>
      <c r="AN76" s="227">
        <v>204968.97</v>
      </c>
      <c r="AO76" s="227">
        <v>0</v>
      </c>
      <c r="AP76" s="227">
        <v>151898.26999999999</v>
      </c>
      <c r="AQ76" s="227">
        <v>22338.74</v>
      </c>
      <c r="AR76" s="227">
        <v>2393</v>
      </c>
      <c r="AS76" s="227">
        <v>1037.97</v>
      </c>
      <c r="AT76" s="227">
        <v>14724.77</v>
      </c>
      <c r="AU76" s="227">
        <v>26515.8</v>
      </c>
      <c r="AV76" s="227">
        <v>500</v>
      </c>
      <c r="AW76" s="227">
        <v>9370.5400000000009</v>
      </c>
      <c r="AX76" s="227">
        <v>10261.85</v>
      </c>
      <c r="AY76" s="227">
        <v>35377.89</v>
      </c>
      <c r="AZ76" s="227">
        <v>79545.27</v>
      </c>
      <c r="BA76" s="227">
        <v>20535.5</v>
      </c>
      <c r="BB76" s="227">
        <v>99735.88</v>
      </c>
      <c r="BC76" s="227">
        <v>6995</v>
      </c>
      <c r="BD76" s="227">
        <v>263.58999999999997</v>
      </c>
      <c r="BE76" s="227">
        <v>5928.48</v>
      </c>
      <c r="BF76" s="227">
        <v>10359.950000000001</v>
      </c>
      <c r="BG76" s="227">
        <v>699</v>
      </c>
      <c r="BH76" s="227">
        <v>6831.41</v>
      </c>
      <c r="BI76" s="227">
        <v>0</v>
      </c>
      <c r="BJ76" s="227">
        <v>0</v>
      </c>
      <c r="BK76" s="227">
        <v>9574.35</v>
      </c>
      <c r="BL76" s="227">
        <v>27276.66</v>
      </c>
      <c r="BM76" s="227">
        <v>840.69</v>
      </c>
      <c r="BN76" s="227">
        <v>244454.59</v>
      </c>
      <c r="BO76" s="227">
        <v>37296.31</v>
      </c>
      <c r="BP76" s="227">
        <v>428749.47</v>
      </c>
      <c r="BQ76" s="227">
        <v>31012.93</v>
      </c>
      <c r="BR76" s="227">
        <v>0</v>
      </c>
      <c r="BS76" s="227">
        <v>0</v>
      </c>
      <c r="BT76" s="227">
        <v>0</v>
      </c>
      <c r="BU76" s="227">
        <v>0</v>
      </c>
      <c r="BV76" s="227">
        <v>0</v>
      </c>
      <c r="BW76" s="334">
        <v>11627.5</v>
      </c>
      <c r="BX76" s="335"/>
      <c r="BY76" s="227">
        <v>5000</v>
      </c>
      <c r="BZ76" s="227">
        <v>0</v>
      </c>
      <c r="CA76" s="227">
        <v>6000</v>
      </c>
      <c r="CB76" s="227">
        <v>0</v>
      </c>
      <c r="CC76" s="227">
        <v>8660</v>
      </c>
      <c r="CD76" s="227">
        <v>0</v>
      </c>
      <c r="CE76" s="227">
        <v>0</v>
      </c>
      <c r="CF76" s="227">
        <v>0</v>
      </c>
      <c r="CG76" s="227">
        <v>0</v>
      </c>
      <c r="CH76" s="227">
        <v>0</v>
      </c>
      <c r="CI76" s="227">
        <v>19178.5</v>
      </c>
      <c r="CJ76" s="227">
        <v>8119</v>
      </c>
      <c r="CK76" s="227">
        <v>553077</v>
      </c>
      <c r="CL76" s="227">
        <v>9249</v>
      </c>
      <c r="CM76" s="227">
        <v>0</v>
      </c>
      <c r="CN76" s="227">
        <v>0</v>
      </c>
      <c r="CO76" s="227">
        <v>0</v>
      </c>
      <c r="CQ76" s="229">
        <f t="shared" si="1"/>
        <v>561196</v>
      </c>
    </row>
    <row r="77" spans="1:95" ht="15">
      <c r="A77" s="226">
        <v>302</v>
      </c>
      <c r="B77" s="226">
        <v>3524</v>
      </c>
      <c r="C77" s="226" t="s">
        <v>316</v>
      </c>
      <c r="D77" s="226" t="s">
        <v>424</v>
      </c>
      <c r="E77" s="226"/>
      <c r="F77" s="226" t="s">
        <v>420</v>
      </c>
      <c r="G77" s="226">
        <v>0</v>
      </c>
      <c r="H77" s="226">
        <v>0</v>
      </c>
      <c r="I77" s="226" t="s">
        <v>483</v>
      </c>
      <c r="J77" s="226" t="s">
        <v>482</v>
      </c>
      <c r="K77" s="226" t="s">
        <v>421</v>
      </c>
      <c r="L77" s="226" t="s">
        <v>422</v>
      </c>
      <c r="M77" s="226" t="s">
        <v>421</v>
      </c>
      <c r="N77" s="226" t="s">
        <v>423</v>
      </c>
      <c r="O77" s="226" t="s">
        <v>171</v>
      </c>
      <c r="P77" s="227">
        <v>88765</v>
      </c>
      <c r="Q77" s="227">
        <v>0</v>
      </c>
      <c r="R77" s="227">
        <v>0</v>
      </c>
      <c r="S77" s="227">
        <v>1350343.94</v>
      </c>
      <c r="T77" s="227">
        <v>0</v>
      </c>
      <c r="U77" s="227">
        <v>139468.79</v>
      </c>
      <c r="V77" s="227">
        <v>0</v>
      </c>
      <c r="W77" s="227">
        <v>15150</v>
      </c>
      <c r="X77" s="227">
        <v>108743.54</v>
      </c>
      <c r="Y77" s="227">
        <v>83215.490000000005</v>
      </c>
      <c r="Z77" s="227">
        <v>0</v>
      </c>
      <c r="AA77" s="227">
        <v>16763.939999999999</v>
      </c>
      <c r="AB77" s="227">
        <v>88158.97</v>
      </c>
      <c r="AC77" s="227">
        <v>0</v>
      </c>
      <c r="AD77" s="227">
        <v>0</v>
      </c>
      <c r="AE77" s="227">
        <v>100001.25</v>
      </c>
      <c r="AF77" s="227">
        <v>453271.03999999998</v>
      </c>
      <c r="AG77" s="227">
        <v>0</v>
      </c>
      <c r="AH77" s="227">
        <v>0</v>
      </c>
      <c r="AI77" s="227">
        <v>0</v>
      </c>
      <c r="AJ77" s="227">
        <v>1183943.8799999999</v>
      </c>
      <c r="AK77" s="227">
        <v>0</v>
      </c>
      <c r="AL77" s="227">
        <v>407271.94</v>
      </c>
      <c r="AM77" s="227">
        <v>42050.7</v>
      </c>
      <c r="AN77" s="227">
        <v>134670.16</v>
      </c>
      <c r="AO77" s="227">
        <v>0</v>
      </c>
      <c r="AP77" s="227">
        <v>3536.63</v>
      </c>
      <c r="AQ77" s="227">
        <v>6316.22</v>
      </c>
      <c r="AR77" s="227">
        <v>4188.82</v>
      </c>
      <c r="AS77" s="227">
        <v>348.84</v>
      </c>
      <c r="AT77" s="227">
        <v>0</v>
      </c>
      <c r="AU77" s="227">
        <v>53152.14</v>
      </c>
      <c r="AV77" s="227">
        <v>7516.58</v>
      </c>
      <c r="AW77" s="227">
        <v>45767.29</v>
      </c>
      <c r="AX77" s="227">
        <v>7586.19</v>
      </c>
      <c r="AY77" s="227">
        <v>32203.95</v>
      </c>
      <c r="AZ77" s="227">
        <v>10762.76</v>
      </c>
      <c r="BA77" s="227">
        <v>73567.820000000007</v>
      </c>
      <c r="BB77" s="227">
        <v>89671.039999999994</v>
      </c>
      <c r="BC77" s="227">
        <v>28003.26</v>
      </c>
      <c r="BD77" s="227">
        <v>0</v>
      </c>
      <c r="BE77" s="227">
        <v>0</v>
      </c>
      <c r="BF77" s="227">
        <v>0</v>
      </c>
      <c r="BG77" s="227">
        <v>0</v>
      </c>
      <c r="BH77" s="227">
        <v>0</v>
      </c>
      <c r="BI77" s="227">
        <v>0</v>
      </c>
      <c r="BJ77" s="227">
        <v>0</v>
      </c>
      <c r="BK77" s="227">
        <v>25198.06</v>
      </c>
      <c r="BL77" s="227">
        <v>10003.120000000001</v>
      </c>
      <c r="BM77" s="227">
        <v>0</v>
      </c>
      <c r="BN77" s="227">
        <v>187856.93</v>
      </c>
      <c r="BO77" s="227">
        <v>5495</v>
      </c>
      <c r="BP77" s="227">
        <v>44686.92</v>
      </c>
      <c r="BQ77" s="227">
        <v>21750.26</v>
      </c>
      <c r="BR77" s="227">
        <v>14955.1</v>
      </c>
      <c r="BS77" s="227">
        <v>0</v>
      </c>
      <c r="BT77" s="227">
        <v>0</v>
      </c>
      <c r="BU77" s="227">
        <v>0</v>
      </c>
      <c r="BV77" s="227">
        <v>0</v>
      </c>
      <c r="BW77" s="334">
        <v>0</v>
      </c>
      <c r="BX77" s="335"/>
      <c r="BY77" s="227">
        <v>0</v>
      </c>
      <c r="BZ77" s="227">
        <v>0</v>
      </c>
      <c r="CA77" s="227">
        <v>6000</v>
      </c>
      <c r="CB77" s="227">
        <v>0</v>
      </c>
      <c r="CC77" s="227">
        <v>0</v>
      </c>
      <c r="CD77" s="227">
        <v>0</v>
      </c>
      <c r="CE77" s="227">
        <v>0</v>
      </c>
      <c r="CF77" s="227">
        <v>0</v>
      </c>
      <c r="CG77" s="227">
        <v>0</v>
      </c>
      <c r="CH77" s="227">
        <v>0</v>
      </c>
      <c r="CI77" s="227">
        <v>0</v>
      </c>
      <c r="CJ77" s="227">
        <v>0</v>
      </c>
      <c r="CK77" s="227">
        <v>3378.35</v>
      </c>
      <c r="CL77" s="227">
        <v>0</v>
      </c>
      <c r="CM77" s="227">
        <v>0</v>
      </c>
      <c r="CN77" s="227">
        <v>0</v>
      </c>
      <c r="CO77" s="227">
        <v>0</v>
      </c>
      <c r="CQ77" s="229">
        <f t="shared" si="1"/>
        <v>3378.35</v>
      </c>
    </row>
    <row r="78" spans="1:95" ht="15">
      <c r="A78" s="226">
        <v>302</v>
      </c>
      <c r="B78" s="226">
        <v>4003</v>
      </c>
      <c r="C78" s="226" t="s">
        <v>103</v>
      </c>
      <c r="D78" s="226" t="s">
        <v>424</v>
      </c>
      <c r="E78" s="226"/>
      <c r="F78" s="226" t="s">
        <v>420</v>
      </c>
      <c r="G78" s="226">
        <v>0</v>
      </c>
      <c r="H78" s="226">
        <v>2</v>
      </c>
      <c r="I78" s="226" t="s">
        <v>483</v>
      </c>
      <c r="J78" s="226" t="s">
        <v>482</v>
      </c>
      <c r="K78" s="226" t="s">
        <v>421</v>
      </c>
      <c r="L78" s="226" t="s">
        <v>422</v>
      </c>
      <c r="M78" s="226" t="s">
        <v>421</v>
      </c>
      <c r="N78" s="226" t="s">
        <v>423</v>
      </c>
      <c r="O78" s="226" t="s">
        <v>171</v>
      </c>
      <c r="P78" s="227">
        <v>403713.84</v>
      </c>
      <c r="Q78" s="227">
        <v>0</v>
      </c>
      <c r="R78" s="227">
        <v>18334</v>
      </c>
      <c r="S78" s="227">
        <v>5861071.8499999996</v>
      </c>
      <c r="T78" s="227">
        <v>0</v>
      </c>
      <c r="U78" s="227">
        <v>635861.93000000005</v>
      </c>
      <c r="V78" s="227">
        <v>0</v>
      </c>
      <c r="W78" s="227">
        <v>291575</v>
      </c>
      <c r="X78" s="227">
        <v>25136.81</v>
      </c>
      <c r="Y78" s="227">
        <v>8801.94</v>
      </c>
      <c r="Z78" s="227">
        <v>2734.61</v>
      </c>
      <c r="AA78" s="227">
        <v>5111.24</v>
      </c>
      <c r="AB78" s="227">
        <v>113469.81</v>
      </c>
      <c r="AC78" s="227">
        <v>0</v>
      </c>
      <c r="AD78" s="227">
        <v>0</v>
      </c>
      <c r="AE78" s="227">
        <v>26920.38</v>
      </c>
      <c r="AF78" s="227">
        <v>0</v>
      </c>
      <c r="AG78" s="227">
        <v>0</v>
      </c>
      <c r="AH78" s="227">
        <v>0</v>
      </c>
      <c r="AI78" s="227">
        <v>0</v>
      </c>
      <c r="AJ78" s="227">
        <v>4345902.3099999996</v>
      </c>
      <c r="AK78" s="227">
        <v>124492.53</v>
      </c>
      <c r="AL78" s="227">
        <v>1096374.45</v>
      </c>
      <c r="AM78" s="227">
        <v>94579.48</v>
      </c>
      <c r="AN78" s="227">
        <v>537994.28</v>
      </c>
      <c r="AO78" s="227">
        <v>0</v>
      </c>
      <c r="AP78" s="227">
        <v>47487.64</v>
      </c>
      <c r="AQ78" s="227">
        <v>31197.07</v>
      </c>
      <c r="AR78" s="227">
        <v>8702.68</v>
      </c>
      <c r="AS78" s="227">
        <v>947.56</v>
      </c>
      <c r="AT78" s="227">
        <v>0</v>
      </c>
      <c r="AU78" s="227">
        <v>61133.49</v>
      </c>
      <c r="AV78" s="227">
        <v>9452.5400000000009</v>
      </c>
      <c r="AW78" s="227">
        <v>89683.16</v>
      </c>
      <c r="AX78" s="227">
        <v>801.72</v>
      </c>
      <c r="AY78" s="227">
        <v>123039.02</v>
      </c>
      <c r="AZ78" s="227">
        <v>84317.35</v>
      </c>
      <c r="BA78" s="227">
        <v>45245.16</v>
      </c>
      <c r="BB78" s="227">
        <v>133436.12</v>
      </c>
      <c r="BC78" s="227">
        <v>44220.81</v>
      </c>
      <c r="BD78" s="227">
        <v>0</v>
      </c>
      <c r="BE78" s="227">
        <v>20035.39</v>
      </c>
      <c r="BF78" s="227">
        <v>61595.360000000001</v>
      </c>
      <c r="BG78" s="227">
        <v>6167.2</v>
      </c>
      <c r="BH78" s="227">
        <v>3966.66</v>
      </c>
      <c r="BI78" s="227">
        <v>3593</v>
      </c>
      <c r="BJ78" s="227">
        <v>138091.99</v>
      </c>
      <c r="BK78" s="227">
        <v>17311.64</v>
      </c>
      <c r="BL78" s="227">
        <v>31194.49</v>
      </c>
      <c r="BM78" s="227">
        <v>3680.06</v>
      </c>
      <c r="BN78" s="227">
        <v>194326.3</v>
      </c>
      <c r="BO78" s="227">
        <v>64095.54</v>
      </c>
      <c r="BP78" s="227">
        <v>51362.29</v>
      </c>
      <c r="BQ78" s="227">
        <v>23055.119999999999</v>
      </c>
      <c r="BR78" s="227">
        <v>0</v>
      </c>
      <c r="BS78" s="227">
        <v>0</v>
      </c>
      <c r="BT78" s="227">
        <v>0</v>
      </c>
      <c r="BU78" s="227">
        <v>0</v>
      </c>
      <c r="BV78" s="227">
        <v>0</v>
      </c>
      <c r="BW78" s="334">
        <v>16096.56</v>
      </c>
      <c r="BX78" s="335"/>
      <c r="BY78" s="227">
        <v>0</v>
      </c>
      <c r="BZ78" s="227">
        <v>0</v>
      </c>
      <c r="CA78" s="227">
        <v>6000</v>
      </c>
      <c r="CB78" s="227">
        <v>0</v>
      </c>
      <c r="CC78" s="227">
        <v>0</v>
      </c>
      <c r="CD78" s="227">
        <v>0</v>
      </c>
      <c r="CE78" s="227">
        <v>-4110.57</v>
      </c>
      <c r="CF78" s="227">
        <v>0</v>
      </c>
      <c r="CG78" s="227">
        <v>0</v>
      </c>
      <c r="CH78" s="227">
        <v>24835.13</v>
      </c>
      <c r="CI78" s="227">
        <v>0</v>
      </c>
      <c r="CJ78" s="227">
        <v>0</v>
      </c>
      <c r="CK78" s="227">
        <v>-123085</v>
      </c>
      <c r="CL78" s="227">
        <v>13706</v>
      </c>
      <c r="CM78" s="227">
        <v>0</v>
      </c>
      <c r="CN78" s="227">
        <v>0</v>
      </c>
      <c r="CO78" s="227">
        <v>0</v>
      </c>
      <c r="CQ78" s="229">
        <f t="shared" si="1"/>
        <v>-123085</v>
      </c>
    </row>
    <row r="79" spans="1:95" ht="15">
      <c r="A79" s="226">
        <v>302</v>
      </c>
      <c r="B79" s="226">
        <v>4004</v>
      </c>
      <c r="C79" s="226" t="s">
        <v>356</v>
      </c>
      <c r="D79" s="226" t="s">
        <v>424</v>
      </c>
      <c r="E79" s="226"/>
      <c r="F79" s="226" t="s">
        <v>420</v>
      </c>
      <c r="G79" s="226">
        <v>0</v>
      </c>
      <c r="H79" s="226">
        <v>0</v>
      </c>
      <c r="I79" s="226" t="s">
        <v>483</v>
      </c>
      <c r="J79" s="226" t="s">
        <v>482</v>
      </c>
      <c r="K79" s="226" t="s">
        <v>421</v>
      </c>
      <c r="L79" s="226" t="s">
        <v>422</v>
      </c>
      <c r="M79" s="226" t="s">
        <v>421</v>
      </c>
      <c r="N79" s="226" t="s">
        <v>423</v>
      </c>
      <c r="O79" s="226" t="s">
        <v>171</v>
      </c>
      <c r="P79" s="227">
        <v>-41314</v>
      </c>
      <c r="Q79" s="227">
        <v>0</v>
      </c>
      <c r="R79" s="227">
        <v>0</v>
      </c>
      <c r="S79" s="227">
        <v>2261513.4700000002</v>
      </c>
      <c r="T79" s="227">
        <v>498255.76</v>
      </c>
      <c r="U79" s="227">
        <v>130574.3</v>
      </c>
      <c r="V79" s="227">
        <v>0</v>
      </c>
      <c r="W79" s="227">
        <v>12900</v>
      </c>
      <c r="X79" s="227">
        <v>71579.789999999994</v>
      </c>
      <c r="Y79" s="227">
        <v>0</v>
      </c>
      <c r="Z79" s="227">
        <v>0</v>
      </c>
      <c r="AA79" s="227">
        <v>0</v>
      </c>
      <c r="AB79" s="227">
        <v>0</v>
      </c>
      <c r="AC79" s="227">
        <v>0</v>
      </c>
      <c r="AD79" s="227">
        <v>0</v>
      </c>
      <c r="AE79" s="227">
        <v>0</v>
      </c>
      <c r="AF79" s="227">
        <v>1016000</v>
      </c>
      <c r="AG79" s="227">
        <v>0</v>
      </c>
      <c r="AH79" s="227">
        <v>0</v>
      </c>
      <c r="AI79" s="227">
        <v>0</v>
      </c>
      <c r="AJ79" s="227">
        <v>2630696.87</v>
      </c>
      <c r="AK79" s="227">
        <v>2311.5700000000002</v>
      </c>
      <c r="AL79" s="227">
        <v>264780.37</v>
      </c>
      <c r="AM79" s="227">
        <v>47866.46</v>
      </c>
      <c r="AN79" s="227">
        <v>185881.27</v>
      </c>
      <c r="AO79" s="227">
        <v>0</v>
      </c>
      <c r="AP79" s="227">
        <v>0</v>
      </c>
      <c r="AQ79" s="227">
        <v>7711.68</v>
      </c>
      <c r="AR79" s="227">
        <v>18318.18</v>
      </c>
      <c r="AS79" s="227">
        <v>443.84</v>
      </c>
      <c r="AT79" s="227">
        <v>0</v>
      </c>
      <c r="AU79" s="227">
        <v>70208.67</v>
      </c>
      <c r="AV79" s="227">
        <v>0</v>
      </c>
      <c r="AW79" s="227">
        <v>65671.44</v>
      </c>
      <c r="AX79" s="227">
        <v>660.46</v>
      </c>
      <c r="AY79" s="227">
        <v>15944.06</v>
      </c>
      <c r="AZ79" s="227">
        <v>8754.08</v>
      </c>
      <c r="BA79" s="227">
        <v>103780.79</v>
      </c>
      <c r="BB79" s="227">
        <v>39093.29</v>
      </c>
      <c r="BC79" s="227">
        <v>6103.45</v>
      </c>
      <c r="BD79" s="227">
        <v>0</v>
      </c>
      <c r="BE79" s="227">
        <v>8471.9500000000007</v>
      </c>
      <c r="BF79" s="227">
        <v>24677.45</v>
      </c>
      <c r="BG79" s="227">
        <v>2546.16</v>
      </c>
      <c r="BH79" s="227">
        <v>7139.87</v>
      </c>
      <c r="BI79" s="227">
        <v>42141.87</v>
      </c>
      <c r="BJ79" s="227">
        <v>42319.26</v>
      </c>
      <c r="BK79" s="227">
        <v>19341.23</v>
      </c>
      <c r="BL79" s="227">
        <v>15395.4</v>
      </c>
      <c r="BM79" s="227">
        <v>0</v>
      </c>
      <c r="BN79" s="227">
        <v>6471.3</v>
      </c>
      <c r="BO79" s="227">
        <v>0</v>
      </c>
      <c r="BP79" s="227">
        <v>32854.54</v>
      </c>
      <c r="BQ79" s="227">
        <v>27296.81</v>
      </c>
      <c r="BR79" s="227">
        <v>2374</v>
      </c>
      <c r="BS79" s="227">
        <v>0</v>
      </c>
      <c r="BT79" s="227">
        <v>24101</v>
      </c>
      <c r="BU79" s="227">
        <v>0</v>
      </c>
      <c r="BV79" s="227">
        <v>0</v>
      </c>
      <c r="BW79" s="334">
        <v>24101</v>
      </c>
      <c r="BX79" s="335"/>
      <c r="BY79" s="227">
        <v>0</v>
      </c>
      <c r="BZ79" s="227">
        <v>0</v>
      </c>
      <c r="CA79" s="227">
        <v>6000</v>
      </c>
      <c r="CB79" s="227">
        <v>0</v>
      </c>
      <c r="CC79" s="227">
        <v>0</v>
      </c>
      <c r="CD79" s="227">
        <v>0</v>
      </c>
      <c r="CE79" s="227">
        <v>0</v>
      </c>
      <c r="CF79" s="227">
        <v>0</v>
      </c>
      <c r="CG79" s="227">
        <v>0</v>
      </c>
      <c r="CH79" s="227">
        <v>24101</v>
      </c>
      <c r="CI79" s="227">
        <v>0</v>
      </c>
      <c r="CJ79" s="227">
        <v>0</v>
      </c>
      <c r="CK79" s="227">
        <v>226152</v>
      </c>
      <c r="CL79" s="227">
        <v>0</v>
      </c>
      <c r="CM79" s="227">
        <v>0</v>
      </c>
      <c r="CN79" s="227">
        <v>0</v>
      </c>
      <c r="CO79" s="227">
        <v>0</v>
      </c>
      <c r="CQ79" s="229">
        <f t="shared" si="1"/>
        <v>226152</v>
      </c>
    </row>
    <row r="80" spans="1:95" ht="30">
      <c r="A80" s="226">
        <v>302</v>
      </c>
      <c r="B80" s="226">
        <v>5404</v>
      </c>
      <c r="C80" s="226" t="s">
        <v>271</v>
      </c>
      <c r="D80" s="226" t="s">
        <v>424</v>
      </c>
      <c r="E80" s="226"/>
      <c r="F80" s="226" t="s">
        <v>420</v>
      </c>
      <c r="G80" s="226">
        <v>0</v>
      </c>
      <c r="H80" s="226">
        <v>1</v>
      </c>
      <c r="I80" s="226" t="s">
        <v>483</v>
      </c>
      <c r="J80" s="226" t="s">
        <v>482</v>
      </c>
      <c r="K80" s="226" t="s">
        <v>421</v>
      </c>
      <c r="L80" s="226" t="s">
        <v>422</v>
      </c>
      <c r="M80" s="226" t="s">
        <v>421</v>
      </c>
      <c r="N80" s="226" t="s">
        <v>423</v>
      </c>
      <c r="O80" s="226" t="s">
        <v>171</v>
      </c>
      <c r="P80" s="227">
        <v>200</v>
      </c>
      <c r="Q80" s="227">
        <v>0</v>
      </c>
      <c r="R80" s="227">
        <v>0</v>
      </c>
      <c r="S80" s="227">
        <v>4555001.6399999997</v>
      </c>
      <c r="T80" s="227">
        <v>1792292.14</v>
      </c>
      <c r="U80" s="227">
        <v>35399.49</v>
      </c>
      <c r="V80" s="227">
        <v>0</v>
      </c>
      <c r="W80" s="227">
        <v>81725</v>
      </c>
      <c r="X80" s="227">
        <v>14128.92</v>
      </c>
      <c r="Y80" s="227">
        <v>0</v>
      </c>
      <c r="Z80" s="227">
        <v>50</v>
      </c>
      <c r="AA80" s="227">
        <v>30261.79</v>
      </c>
      <c r="AB80" s="227">
        <v>256226.47</v>
      </c>
      <c r="AC80" s="227">
        <v>0</v>
      </c>
      <c r="AD80" s="227">
        <v>0</v>
      </c>
      <c r="AE80" s="227">
        <v>48032.42</v>
      </c>
      <c r="AF80" s="227">
        <v>295216.71999999997</v>
      </c>
      <c r="AG80" s="227">
        <v>0</v>
      </c>
      <c r="AH80" s="227">
        <v>0</v>
      </c>
      <c r="AI80" s="227">
        <v>0</v>
      </c>
      <c r="AJ80" s="227">
        <v>4838037.2</v>
      </c>
      <c r="AK80" s="227">
        <v>0</v>
      </c>
      <c r="AL80" s="227">
        <v>494189</v>
      </c>
      <c r="AM80" s="227">
        <v>115675.6</v>
      </c>
      <c r="AN80" s="227">
        <v>509735.88</v>
      </c>
      <c r="AO80" s="227">
        <v>99519.03</v>
      </c>
      <c r="AP80" s="227">
        <v>2248.44</v>
      </c>
      <c r="AQ80" s="227">
        <v>23159.52</v>
      </c>
      <c r="AR80" s="227">
        <v>15885.81</v>
      </c>
      <c r="AS80" s="227">
        <v>0</v>
      </c>
      <c r="AT80" s="227">
        <v>0</v>
      </c>
      <c r="AU80" s="227">
        <v>105318.16</v>
      </c>
      <c r="AV80" s="227">
        <v>12625.08</v>
      </c>
      <c r="AW80" s="227">
        <v>136642.04</v>
      </c>
      <c r="AX80" s="227">
        <v>20088.63</v>
      </c>
      <c r="AY80" s="227">
        <v>190467.06</v>
      </c>
      <c r="AZ80" s="227">
        <v>3517.53</v>
      </c>
      <c r="BA80" s="227">
        <v>29720.41</v>
      </c>
      <c r="BB80" s="227">
        <v>106541.59</v>
      </c>
      <c r="BC80" s="227">
        <v>0</v>
      </c>
      <c r="BD80" s="227">
        <v>0</v>
      </c>
      <c r="BE80" s="227">
        <v>53847.44</v>
      </c>
      <c r="BF80" s="227">
        <v>0</v>
      </c>
      <c r="BG80" s="227">
        <v>0</v>
      </c>
      <c r="BH80" s="227">
        <v>0</v>
      </c>
      <c r="BI80" s="227">
        <v>0</v>
      </c>
      <c r="BJ80" s="227">
        <v>121674.56</v>
      </c>
      <c r="BK80" s="227">
        <v>97805.39</v>
      </c>
      <c r="BL80" s="227">
        <v>27381.58</v>
      </c>
      <c r="BM80" s="227">
        <v>6103.4</v>
      </c>
      <c r="BN80" s="227">
        <v>202468.15</v>
      </c>
      <c r="BO80" s="227">
        <v>66292</v>
      </c>
      <c r="BP80" s="227">
        <v>96858.39</v>
      </c>
      <c r="BQ80" s="227">
        <v>136593.70000000001</v>
      </c>
      <c r="BR80" s="227">
        <v>0</v>
      </c>
      <c r="BS80" s="227">
        <v>0</v>
      </c>
      <c r="BT80" s="227">
        <v>0</v>
      </c>
      <c r="BU80" s="227">
        <v>0</v>
      </c>
      <c r="BV80" s="227">
        <v>0</v>
      </c>
      <c r="BW80" s="334">
        <v>0</v>
      </c>
      <c r="BX80" s="335"/>
      <c r="BY80" s="227">
        <v>0</v>
      </c>
      <c r="BZ80" s="227">
        <v>0</v>
      </c>
      <c r="CA80" s="227">
        <v>6000</v>
      </c>
      <c r="CB80" s="227">
        <v>0</v>
      </c>
      <c r="CC80" s="227">
        <v>0</v>
      </c>
      <c r="CD80" s="227">
        <v>0</v>
      </c>
      <c r="CE80" s="227">
        <v>0</v>
      </c>
      <c r="CF80" s="227">
        <v>0</v>
      </c>
      <c r="CG80" s="227">
        <v>0</v>
      </c>
      <c r="CH80" s="227">
        <v>0</v>
      </c>
      <c r="CI80" s="227">
        <v>0</v>
      </c>
      <c r="CJ80" s="227">
        <v>0</v>
      </c>
      <c r="CK80" s="227">
        <v>-403861</v>
      </c>
      <c r="CL80" s="227">
        <v>0</v>
      </c>
      <c r="CM80" s="227">
        <v>0</v>
      </c>
      <c r="CN80" s="227">
        <v>0</v>
      </c>
      <c r="CO80" s="227">
        <v>0</v>
      </c>
      <c r="CQ80" s="229">
        <f t="shared" si="1"/>
        <v>-403861</v>
      </c>
    </row>
    <row r="81" spans="1:95" ht="15">
      <c r="A81" s="226">
        <v>302</v>
      </c>
      <c r="B81" s="226">
        <v>5405</v>
      </c>
      <c r="C81" s="226" t="s">
        <v>102</v>
      </c>
      <c r="D81" s="226" t="s">
        <v>424</v>
      </c>
      <c r="E81" s="226"/>
      <c r="F81" s="226" t="s">
        <v>420</v>
      </c>
      <c r="G81" s="226">
        <v>0</v>
      </c>
      <c r="H81" s="226">
        <v>0</v>
      </c>
      <c r="I81" s="226" t="s">
        <v>483</v>
      </c>
      <c r="J81" s="226" t="s">
        <v>482</v>
      </c>
      <c r="K81" s="226" t="s">
        <v>421</v>
      </c>
      <c r="L81" s="226" t="s">
        <v>422</v>
      </c>
      <c r="M81" s="226" t="s">
        <v>421</v>
      </c>
      <c r="N81" s="226" t="s">
        <v>423</v>
      </c>
      <c r="O81" s="226" t="s">
        <v>171</v>
      </c>
      <c r="P81" s="227">
        <v>1078321</v>
      </c>
      <c r="Q81" s="227">
        <v>-4590</v>
      </c>
      <c r="R81" s="227">
        <v>0</v>
      </c>
      <c r="S81" s="227">
        <v>6613597.0199999996</v>
      </c>
      <c r="T81" s="227">
        <v>2033259.91</v>
      </c>
      <c r="U81" s="227">
        <v>310505.59999999998</v>
      </c>
      <c r="V81" s="227">
        <v>0</v>
      </c>
      <c r="W81" s="227">
        <v>172045</v>
      </c>
      <c r="X81" s="227">
        <v>14937.49</v>
      </c>
      <c r="Y81" s="227">
        <v>31600</v>
      </c>
      <c r="Z81" s="227">
        <v>14623.75</v>
      </c>
      <c r="AA81" s="227">
        <v>70732.59</v>
      </c>
      <c r="AB81" s="227">
        <v>446501.38</v>
      </c>
      <c r="AC81" s="227">
        <v>0</v>
      </c>
      <c r="AD81" s="227">
        <v>4315.8</v>
      </c>
      <c r="AE81" s="227">
        <v>91221.34</v>
      </c>
      <c r="AF81" s="227">
        <v>1113.03</v>
      </c>
      <c r="AG81" s="227">
        <v>0</v>
      </c>
      <c r="AH81" s="227">
        <v>0</v>
      </c>
      <c r="AI81" s="227">
        <v>0</v>
      </c>
      <c r="AJ81" s="227">
        <v>5941005.5700000003</v>
      </c>
      <c r="AK81" s="227">
        <v>0</v>
      </c>
      <c r="AL81" s="227">
        <v>815870.97</v>
      </c>
      <c r="AM81" s="227">
        <v>136787.35999999999</v>
      </c>
      <c r="AN81" s="227">
        <v>784976.94</v>
      </c>
      <c r="AO81" s="227">
        <v>184980.52</v>
      </c>
      <c r="AP81" s="227">
        <v>0</v>
      </c>
      <c r="AQ81" s="227">
        <v>89997.98</v>
      </c>
      <c r="AR81" s="227">
        <v>8411.83</v>
      </c>
      <c r="AS81" s="227">
        <v>1284.8</v>
      </c>
      <c r="AT81" s="227">
        <v>0</v>
      </c>
      <c r="AU81" s="227">
        <v>100153.02</v>
      </c>
      <c r="AV81" s="227">
        <v>34629.480000000003</v>
      </c>
      <c r="AW81" s="227">
        <v>171254.98</v>
      </c>
      <c r="AX81" s="227">
        <v>14168.77</v>
      </c>
      <c r="AY81" s="227">
        <v>213041.99</v>
      </c>
      <c r="AZ81" s="227">
        <v>35010.57</v>
      </c>
      <c r="BA81" s="227">
        <v>47896.31</v>
      </c>
      <c r="BB81" s="227">
        <v>226491.41</v>
      </c>
      <c r="BC81" s="227">
        <v>9855</v>
      </c>
      <c r="BD81" s="227">
        <v>0</v>
      </c>
      <c r="BE81" s="227">
        <v>11851.34</v>
      </c>
      <c r="BF81" s="227">
        <v>76106.289999999994</v>
      </c>
      <c r="BG81" s="227">
        <v>17522.37</v>
      </c>
      <c r="BH81" s="227">
        <v>27526.82</v>
      </c>
      <c r="BI81" s="227">
        <v>11634.96</v>
      </c>
      <c r="BJ81" s="227">
        <v>154841.93</v>
      </c>
      <c r="BK81" s="227">
        <v>23105.73</v>
      </c>
      <c r="BL81" s="227">
        <v>48292.73</v>
      </c>
      <c r="BM81" s="227">
        <v>0</v>
      </c>
      <c r="BN81" s="227">
        <v>297409.86</v>
      </c>
      <c r="BO81" s="227">
        <v>139644.46</v>
      </c>
      <c r="BP81" s="227">
        <v>191838.62</v>
      </c>
      <c r="BQ81" s="227">
        <v>52686.3</v>
      </c>
      <c r="BR81" s="227">
        <v>0</v>
      </c>
      <c r="BS81" s="227">
        <v>0</v>
      </c>
      <c r="BT81" s="227">
        <v>0</v>
      </c>
      <c r="BU81" s="227">
        <v>0</v>
      </c>
      <c r="BV81" s="227">
        <v>0</v>
      </c>
      <c r="BW81" s="334">
        <v>0</v>
      </c>
      <c r="BX81" s="335"/>
      <c r="BY81" s="227">
        <v>104964.4</v>
      </c>
      <c r="BZ81" s="227">
        <v>0</v>
      </c>
      <c r="CA81" s="227">
        <v>6000</v>
      </c>
      <c r="CB81" s="227">
        <v>0</v>
      </c>
      <c r="CC81" s="227">
        <v>0</v>
      </c>
      <c r="CD81" s="227">
        <v>0</v>
      </c>
      <c r="CE81" s="227">
        <v>0</v>
      </c>
      <c r="CF81" s="227">
        <v>0</v>
      </c>
      <c r="CG81" s="227">
        <v>0</v>
      </c>
      <c r="CH81" s="227">
        <v>104964.4</v>
      </c>
      <c r="CI81" s="227">
        <v>0</v>
      </c>
      <c r="CJ81" s="227">
        <v>0</v>
      </c>
      <c r="CK81" s="227">
        <v>1014495</v>
      </c>
      <c r="CL81" s="227">
        <v>0</v>
      </c>
      <c r="CM81" s="227">
        <v>0</v>
      </c>
      <c r="CN81" s="227">
        <v>-4590</v>
      </c>
      <c r="CO81" s="227">
        <v>0</v>
      </c>
      <c r="CQ81" s="229">
        <f t="shared" si="1"/>
        <v>1009905</v>
      </c>
    </row>
    <row r="82" spans="1:95" ht="15">
      <c r="A82" s="226">
        <v>302</v>
      </c>
      <c r="B82" s="226">
        <v>5407</v>
      </c>
      <c r="C82" s="226" t="s">
        <v>107</v>
      </c>
      <c r="D82" s="226" t="s">
        <v>424</v>
      </c>
      <c r="E82" s="226"/>
      <c r="F82" s="226" t="s">
        <v>420</v>
      </c>
      <c r="G82" s="226">
        <v>0</v>
      </c>
      <c r="H82" s="226">
        <v>1</v>
      </c>
      <c r="I82" s="226" t="s">
        <v>483</v>
      </c>
      <c r="J82" s="226" t="s">
        <v>482</v>
      </c>
      <c r="K82" s="226" t="s">
        <v>421</v>
      </c>
      <c r="L82" s="226" t="s">
        <v>422</v>
      </c>
      <c r="M82" s="226" t="s">
        <v>421</v>
      </c>
      <c r="N82" s="226" t="s">
        <v>423</v>
      </c>
      <c r="O82" s="226" t="s">
        <v>171</v>
      </c>
      <c r="P82" s="227">
        <v>377974</v>
      </c>
      <c r="Q82" s="227">
        <v>0</v>
      </c>
      <c r="R82" s="227">
        <v>0</v>
      </c>
      <c r="S82" s="227">
        <v>8665903.2899999991</v>
      </c>
      <c r="T82" s="227">
        <v>1354299.94</v>
      </c>
      <c r="U82" s="227">
        <v>308264.76</v>
      </c>
      <c r="V82" s="227">
        <v>0</v>
      </c>
      <c r="W82" s="227">
        <v>371719</v>
      </c>
      <c r="X82" s="227">
        <v>4918.1499999999996</v>
      </c>
      <c r="Y82" s="227">
        <v>10909.16</v>
      </c>
      <c r="Z82" s="227">
        <v>0</v>
      </c>
      <c r="AA82" s="227">
        <v>37525.040000000001</v>
      </c>
      <c r="AB82" s="227">
        <v>0</v>
      </c>
      <c r="AC82" s="227">
        <v>0</v>
      </c>
      <c r="AD82" s="227">
        <v>0</v>
      </c>
      <c r="AE82" s="227">
        <v>68936.62</v>
      </c>
      <c r="AF82" s="227">
        <v>38527.480000000003</v>
      </c>
      <c r="AG82" s="227">
        <v>0</v>
      </c>
      <c r="AH82" s="227">
        <v>0</v>
      </c>
      <c r="AI82" s="227">
        <v>0</v>
      </c>
      <c r="AJ82" s="227">
        <v>6124784.4500000002</v>
      </c>
      <c r="AK82" s="227">
        <v>0</v>
      </c>
      <c r="AL82" s="227">
        <v>1546810.78</v>
      </c>
      <c r="AM82" s="227">
        <v>162288.01</v>
      </c>
      <c r="AN82" s="227">
        <v>486981.49</v>
      </c>
      <c r="AO82" s="227">
        <v>0</v>
      </c>
      <c r="AP82" s="227">
        <v>56619.199999999997</v>
      </c>
      <c r="AQ82" s="227">
        <v>92626.34</v>
      </c>
      <c r="AR82" s="227">
        <v>14285.15</v>
      </c>
      <c r="AS82" s="227">
        <v>1543.23</v>
      </c>
      <c r="AT82" s="227">
        <v>0</v>
      </c>
      <c r="AU82" s="227">
        <v>73120.179999999993</v>
      </c>
      <c r="AV82" s="227">
        <v>14218.85</v>
      </c>
      <c r="AW82" s="227">
        <v>223227.31</v>
      </c>
      <c r="AX82" s="227">
        <v>26991.85</v>
      </c>
      <c r="AY82" s="227">
        <v>217478.57</v>
      </c>
      <c r="AZ82" s="227">
        <v>45386.36</v>
      </c>
      <c r="BA82" s="227">
        <v>75160.570000000007</v>
      </c>
      <c r="BB82" s="227">
        <v>256633.46</v>
      </c>
      <c r="BC82" s="227">
        <v>22432.58</v>
      </c>
      <c r="BD82" s="227">
        <v>1317.69</v>
      </c>
      <c r="BE82" s="227">
        <v>23549.52</v>
      </c>
      <c r="BF82" s="227">
        <v>60522.32</v>
      </c>
      <c r="BG82" s="227">
        <v>12633.98</v>
      </c>
      <c r="BH82" s="227">
        <v>27614.02</v>
      </c>
      <c r="BI82" s="227">
        <v>8189</v>
      </c>
      <c r="BJ82" s="227">
        <v>172840.66</v>
      </c>
      <c r="BK82" s="227">
        <v>94300.55</v>
      </c>
      <c r="BL82" s="227">
        <v>54051.37</v>
      </c>
      <c r="BM82" s="227">
        <v>8756.58</v>
      </c>
      <c r="BN82" s="227">
        <v>95904.320000000007</v>
      </c>
      <c r="BO82" s="227">
        <v>381050.37</v>
      </c>
      <c r="BP82" s="227">
        <v>308409.78999999998</v>
      </c>
      <c r="BQ82" s="227">
        <v>104387.3</v>
      </c>
      <c r="BR82" s="227">
        <v>0</v>
      </c>
      <c r="BS82" s="227">
        <v>0</v>
      </c>
      <c r="BT82" s="227">
        <v>0</v>
      </c>
      <c r="BU82" s="227">
        <v>0</v>
      </c>
      <c r="BV82" s="227">
        <v>0</v>
      </c>
      <c r="BW82" s="334">
        <v>0</v>
      </c>
      <c r="BX82" s="335"/>
      <c r="BY82" s="227">
        <v>0</v>
      </c>
      <c r="BZ82" s="227">
        <v>0</v>
      </c>
      <c r="CA82" s="227">
        <v>6000</v>
      </c>
      <c r="CB82" s="227">
        <v>0</v>
      </c>
      <c r="CC82" s="227">
        <v>0</v>
      </c>
      <c r="CD82" s="227">
        <v>0</v>
      </c>
      <c r="CE82" s="227">
        <v>0</v>
      </c>
      <c r="CF82" s="227">
        <v>0</v>
      </c>
      <c r="CG82" s="227">
        <v>0</v>
      </c>
      <c r="CH82" s="227">
        <v>0</v>
      </c>
      <c r="CI82" s="227">
        <v>0</v>
      </c>
      <c r="CJ82" s="227">
        <v>444861.59</v>
      </c>
      <c r="CK82" s="227">
        <v>0</v>
      </c>
      <c r="CL82" s="227">
        <v>0</v>
      </c>
      <c r="CM82" s="227">
        <v>0</v>
      </c>
      <c r="CN82" s="227">
        <v>0</v>
      </c>
      <c r="CO82" s="227">
        <v>0</v>
      </c>
      <c r="CQ82" s="229">
        <f t="shared" si="1"/>
        <v>444861.59</v>
      </c>
    </row>
    <row r="83" spans="1:95" ht="15">
      <c r="A83" s="226">
        <v>302</v>
      </c>
      <c r="B83" s="226">
        <v>5427</v>
      </c>
      <c r="C83" s="226" t="s">
        <v>281</v>
      </c>
      <c r="D83" s="226" t="s">
        <v>424</v>
      </c>
      <c r="E83" s="226"/>
      <c r="F83" s="226" t="s">
        <v>420</v>
      </c>
      <c r="G83" s="226">
        <v>0</v>
      </c>
      <c r="H83" s="226">
        <v>3</v>
      </c>
      <c r="I83" s="226" t="s">
        <v>483</v>
      </c>
      <c r="J83" s="226" t="s">
        <v>482</v>
      </c>
      <c r="K83" s="226" t="s">
        <v>421</v>
      </c>
      <c r="L83" s="226" t="s">
        <v>422</v>
      </c>
      <c r="M83" s="226" t="s">
        <v>421</v>
      </c>
      <c r="N83" s="226" t="s">
        <v>423</v>
      </c>
      <c r="O83" s="226" t="s">
        <v>171</v>
      </c>
      <c r="P83" s="227">
        <v>62352</v>
      </c>
      <c r="Q83" s="227">
        <v>0</v>
      </c>
      <c r="R83" s="227">
        <v>0</v>
      </c>
      <c r="S83" s="227">
        <v>8183680.5899999999</v>
      </c>
      <c r="T83" s="227">
        <v>2325559.17</v>
      </c>
      <c r="U83" s="227">
        <v>1791204.88</v>
      </c>
      <c r="V83" s="227">
        <v>0</v>
      </c>
      <c r="W83" s="227">
        <v>64155</v>
      </c>
      <c r="X83" s="227">
        <v>193069.44</v>
      </c>
      <c r="Y83" s="227">
        <v>0</v>
      </c>
      <c r="Z83" s="227">
        <v>41444.74</v>
      </c>
      <c r="AA83" s="227">
        <v>0</v>
      </c>
      <c r="AB83" s="227">
        <v>41320</v>
      </c>
      <c r="AC83" s="227">
        <v>0</v>
      </c>
      <c r="AD83" s="227">
        <v>0</v>
      </c>
      <c r="AE83" s="227">
        <v>2120154.1</v>
      </c>
      <c r="AF83" s="227">
        <v>1949436.84</v>
      </c>
      <c r="AG83" s="227">
        <v>0</v>
      </c>
      <c r="AH83" s="227">
        <v>0</v>
      </c>
      <c r="AI83" s="227">
        <v>0</v>
      </c>
      <c r="AJ83" s="227">
        <v>8543661.8599999994</v>
      </c>
      <c r="AK83" s="227">
        <v>20218.810000000001</v>
      </c>
      <c r="AL83" s="227">
        <v>2096953.16</v>
      </c>
      <c r="AM83" s="227">
        <v>217405.66</v>
      </c>
      <c r="AN83" s="227">
        <v>1033585.24</v>
      </c>
      <c r="AO83" s="227">
        <v>0</v>
      </c>
      <c r="AP83" s="227">
        <v>184402.7</v>
      </c>
      <c r="AQ83" s="227">
        <v>95605.81</v>
      </c>
      <c r="AR83" s="227">
        <v>23960.32</v>
      </c>
      <c r="AS83" s="227">
        <v>1462.92</v>
      </c>
      <c r="AT83" s="227">
        <v>0</v>
      </c>
      <c r="AU83" s="227">
        <v>250306.28</v>
      </c>
      <c r="AV83" s="227">
        <v>29819.45</v>
      </c>
      <c r="AW83" s="227">
        <v>230007.58</v>
      </c>
      <c r="AX83" s="227">
        <v>19286.88</v>
      </c>
      <c r="AY83" s="227">
        <v>266055.12</v>
      </c>
      <c r="AZ83" s="227">
        <v>76954.11</v>
      </c>
      <c r="BA83" s="227">
        <v>204554.11</v>
      </c>
      <c r="BB83" s="227">
        <v>1038508.04</v>
      </c>
      <c r="BC83" s="227">
        <v>0</v>
      </c>
      <c r="BD83" s="227">
        <v>0</v>
      </c>
      <c r="BE83" s="227">
        <v>172976.29</v>
      </c>
      <c r="BF83" s="227">
        <v>0</v>
      </c>
      <c r="BG83" s="227">
        <v>0</v>
      </c>
      <c r="BH83" s="227">
        <v>0</v>
      </c>
      <c r="BI83" s="227">
        <v>0</v>
      </c>
      <c r="BJ83" s="227">
        <v>261672.84</v>
      </c>
      <c r="BK83" s="227">
        <v>56789.31</v>
      </c>
      <c r="BL83" s="227">
        <v>58200.26</v>
      </c>
      <c r="BM83" s="227">
        <v>0</v>
      </c>
      <c r="BN83" s="227">
        <v>28799.07</v>
      </c>
      <c r="BO83" s="227">
        <v>151691.62</v>
      </c>
      <c r="BP83" s="227">
        <v>422335.74</v>
      </c>
      <c r="BQ83" s="227">
        <v>1173160.1599999999</v>
      </c>
      <c r="BR83" s="227">
        <v>0</v>
      </c>
      <c r="BS83" s="227">
        <v>0</v>
      </c>
      <c r="BT83" s="227">
        <v>1702.56</v>
      </c>
      <c r="BU83" s="227">
        <v>0</v>
      </c>
      <c r="BV83" s="227">
        <v>0</v>
      </c>
      <c r="BW83" s="334">
        <v>0</v>
      </c>
      <c r="BX83" s="335"/>
      <c r="BY83" s="227">
        <v>214647.12</v>
      </c>
      <c r="BZ83" s="227">
        <v>1702.56</v>
      </c>
      <c r="CA83" s="227">
        <v>6000</v>
      </c>
      <c r="CB83" s="227">
        <v>0</v>
      </c>
      <c r="CC83" s="227">
        <v>116801.75</v>
      </c>
      <c r="CD83" s="227">
        <v>0</v>
      </c>
      <c r="CE83" s="227">
        <v>99547.93</v>
      </c>
      <c r="CF83" s="227">
        <v>0</v>
      </c>
      <c r="CG83" s="227">
        <v>0</v>
      </c>
      <c r="CH83" s="227">
        <v>0</v>
      </c>
      <c r="CI83" s="227">
        <v>0</v>
      </c>
      <c r="CJ83" s="227">
        <v>0</v>
      </c>
      <c r="CK83" s="227">
        <v>112300.86</v>
      </c>
      <c r="CL83" s="227">
        <v>0</v>
      </c>
      <c r="CM83" s="227">
        <v>0</v>
      </c>
      <c r="CN83" s="227">
        <v>0</v>
      </c>
      <c r="CO83" s="227">
        <v>0</v>
      </c>
      <c r="CQ83" s="229">
        <f t="shared" si="1"/>
        <v>112300.86</v>
      </c>
    </row>
    <row r="84" spans="1:95" ht="30">
      <c r="A84" s="226">
        <v>302</v>
      </c>
      <c r="B84" s="226">
        <v>5948</v>
      </c>
      <c r="C84" s="226" t="s">
        <v>248</v>
      </c>
      <c r="D84" s="226" t="s">
        <v>424</v>
      </c>
      <c r="E84" s="226"/>
      <c r="F84" s="226" t="s">
        <v>420</v>
      </c>
      <c r="G84" s="226">
        <v>0</v>
      </c>
      <c r="H84" s="226">
        <v>0</v>
      </c>
      <c r="I84" s="226" t="s">
        <v>483</v>
      </c>
      <c r="J84" s="226" t="s">
        <v>482</v>
      </c>
      <c r="K84" s="226" t="s">
        <v>421</v>
      </c>
      <c r="L84" s="226" t="s">
        <v>422</v>
      </c>
      <c r="M84" s="226" t="s">
        <v>421</v>
      </c>
      <c r="N84" s="226" t="s">
        <v>423</v>
      </c>
      <c r="O84" s="226" t="s">
        <v>171</v>
      </c>
      <c r="P84" s="227">
        <v>88378.26</v>
      </c>
      <c r="Q84" s="227">
        <v>0</v>
      </c>
      <c r="R84" s="227">
        <v>0</v>
      </c>
      <c r="S84" s="227">
        <v>1219173.83</v>
      </c>
      <c r="T84" s="227">
        <v>0</v>
      </c>
      <c r="U84" s="227">
        <v>83905.600000000006</v>
      </c>
      <c r="V84" s="227">
        <v>0</v>
      </c>
      <c r="W84" s="227">
        <v>6060</v>
      </c>
      <c r="X84" s="227">
        <v>126629.14</v>
      </c>
      <c r="Y84" s="227">
        <v>102269.18</v>
      </c>
      <c r="Z84" s="227">
        <v>0</v>
      </c>
      <c r="AA84" s="227">
        <v>155718.56</v>
      </c>
      <c r="AB84" s="227">
        <v>0</v>
      </c>
      <c r="AC84" s="227">
        <v>6578</v>
      </c>
      <c r="AD84" s="227">
        <v>800</v>
      </c>
      <c r="AE84" s="227">
        <v>46467.46</v>
      </c>
      <c r="AF84" s="227">
        <v>366109.34</v>
      </c>
      <c r="AG84" s="227">
        <v>0</v>
      </c>
      <c r="AH84" s="227">
        <v>0</v>
      </c>
      <c r="AI84" s="227">
        <v>0</v>
      </c>
      <c r="AJ84" s="227">
        <v>960337.66</v>
      </c>
      <c r="AK84" s="227">
        <v>3319.4</v>
      </c>
      <c r="AL84" s="227">
        <v>378351.5</v>
      </c>
      <c r="AM84" s="227">
        <v>0</v>
      </c>
      <c r="AN84" s="227">
        <v>95236.31</v>
      </c>
      <c r="AO84" s="227">
        <v>0</v>
      </c>
      <c r="AP84" s="227">
        <v>24568.66</v>
      </c>
      <c r="AQ84" s="227">
        <v>1450.5</v>
      </c>
      <c r="AR84" s="227">
        <v>7344.52</v>
      </c>
      <c r="AS84" s="227">
        <v>0</v>
      </c>
      <c r="AT84" s="227">
        <v>0</v>
      </c>
      <c r="AU84" s="227">
        <v>79672.97</v>
      </c>
      <c r="AV84" s="227">
        <v>0</v>
      </c>
      <c r="AW84" s="227">
        <v>75702.710000000006</v>
      </c>
      <c r="AX84" s="227">
        <v>8883.17</v>
      </c>
      <c r="AY84" s="227">
        <v>24154.32</v>
      </c>
      <c r="AZ84" s="227">
        <v>19062.23</v>
      </c>
      <c r="BA84" s="227">
        <v>77974.95</v>
      </c>
      <c r="BB84" s="227">
        <v>97050.82</v>
      </c>
      <c r="BC84" s="227">
        <v>0</v>
      </c>
      <c r="BD84" s="227">
        <v>0</v>
      </c>
      <c r="BE84" s="227">
        <v>15540.26</v>
      </c>
      <c r="BF84" s="227">
        <v>0</v>
      </c>
      <c r="BG84" s="227">
        <v>0</v>
      </c>
      <c r="BH84" s="227">
        <v>0</v>
      </c>
      <c r="BI84" s="227">
        <v>0</v>
      </c>
      <c r="BJ84" s="227">
        <v>0</v>
      </c>
      <c r="BK84" s="227">
        <v>19243.96</v>
      </c>
      <c r="BL84" s="227">
        <v>8993.34</v>
      </c>
      <c r="BM84" s="227">
        <v>1830.44</v>
      </c>
      <c r="BN84" s="227">
        <v>113771.58</v>
      </c>
      <c r="BO84" s="227">
        <v>0</v>
      </c>
      <c r="BP84" s="227">
        <v>25686.55</v>
      </c>
      <c r="BQ84" s="227">
        <v>41020.519999999997</v>
      </c>
      <c r="BR84" s="227">
        <v>0</v>
      </c>
      <c r="BS84" s="227">
        <v>0</v>
      </c>
      <c r="BT84" s="227">
        <v>0</v>
      </c>
      <c r="BU84" s="227">
        <v>0</v>
      </c>
      <c r="BV84" s="227">
        <v>0</v>
      </c>
      <c r="BW84" s="334">
        <v>0</v>
      </c>
      <c r="BX84" s="335"/>
      <c r="BY84" s="227">
        <v>0</v>
      </c>
      <c r="BZ84" s="227">
        <v>0</v>
      </c>
      <c r="CA84" s="227">
        <v>6000</v>
      </c>
      <c r="CB84" s="227">
        <v>0</v>
      </c>
      <c r="CC84" s="227">
        <v>0</v>
      </c>
      <c r="CD84" s="227">
        <v>0</v>
      </c>
      <c r="CE84" s="227">
        <v>0</v>
      </c>
      <c r="CF84" s="227">
        <v>0</v>
      </c>
      <c r="CG84" s="227">
        <v>0</v>
      </c>
      <c r="CH84" s="227">
        <v>0</v>
      </c>
      <c r="CI84" s="227">
        <v>0</v>
      </c>
      <c r="CJ84" s="227">
        <v>0</v>
      </c>
      <c r="CK84" s="227">
        <v>122893</v>
      </c>
      <c r="CL84" s="227">
        <v>0</v>
      </c>
      <c r="CM84" s="227">
        <v>0</v>
      </c>
      <c r="CN84" s="227">
        <v>0</v>
      </c>
      <c r="CO84" s="227">
        <v>0</v>
      </c>
      <c r="CQ84" s="229">
        <f t="shared" si="1"/>
        <v>122893</v>
      </c>
    </row>
    <row r="85" spans="1:95" ht="15">
      <c r="A85" s="226">
        <v>302</v>
      </c>
      <c r="B85" s="226">
        <v>5949</v>
      </c>
      <c r="C85" s="226" t="s">
        <v>69</v>
      </c>
      <c r="D85" s="226" t="s">
        <v>424</v>
      </c>
      <c r="E85" s="226"/>
      <c r="F85" s="226" t="s">
        <v>420</v>
      </c>
      <c r="G85" s="226">
        <v>0</v>
      </c>
      <c r="H85" s="226">
        <v>0</v>
      </c>
      <c r="I85" s="226" t="s">
        <v>483</v>
      </c>
      <c r="J85" s="226" t="s">
        <v>482</v>
      </c>
      <c r="K85" s="226" t="s">
        <v>421</v>
      </c>
      <c r="L85" s="226" t="s">
        <v>422</v>
      </c>
      <c r="M85" s="226" t="s">
        <v>421</v>
      </c>
      <c r="N85" s="226" t="s">
        <v>423</v>
      </c>
      <c r="O85" s="226" t="s">
        <v>171</v>
      </c>
      <c r="P85" s="227">
        <v>-19620.28</v>
      </c>
      <c r="Q85" s="227">
        <v>0</v>
      </c>
      <c r="R85" s="227">
        <v>0</v>
      </c>
      <c r="S85" s="227">
        <v>1749710.33</v>
      </c>
      <c r="T85" s="227">
        <v>0</v>
      </c>
      <c r="U85" s="227">
        <v>99984.94</v>
      </c>
      <c r="V85" s="227">
        <v>0</v>
      </c>
      <c r="W85" s="227">
        <v>16665</v>
      </c>
      <c r="X85" s="227">
        <v>127191</v>
      </c>
      <c r="Y85" s="227">
        <v>130004.78</v>
      </c>
      <c r="Z85" s="227">
        <v>0</v>
      </c>
      <c r="AA85" s="227">
        <v>2457.7199999999998</v>
      </c>
      <c r="AB85" s="227">
        <v>265</v>
      </c>
      <c r="AC85" s="227">
        <v>0</v>
      </c>
      <c r="AD85" s="227">
        <v>19890</v>
      </c>
      <c r="AE85" s="227">
        <v>23506.87</v>
      </c>
      <c r="AF85" s="227">
        <v>987360</v>
      </c>
      <c r="AG85" s="227">
        <v>0</v>
      </c>
      <c r="AH85" s="227">
        <v>0</v>
      </c>
      <c r="AI85" s="227">
        <v>0</v>
      </c>
      <c r="AJ85" s="227">
        <v>1083123.8700000001</v>
      </c>
      <c r="AK85" s="227">
        <v>0</v>
      </c>
      <c r="AL85" s="227">
        <v>977032.26</v>
      </c>
      <c r="AM85" s="227">
        <v>43161.27</v>
      </c>
      <c r="AN85" s="227">
        <v>102600.19</v>
      </c>
      <c r="AO85" s="227">
        <v>0</v>
      </c>
      <c r="AP85" s="227">
        <v>4304.3999999999996</v>
      </c>
      <c r="AQ85" s="227">
        <v>18876.650000000001</v>
      </c>
      <c r="AR85" s="227">
        <v>18118.11</v>
      </c>
      <c r="AS85" s="227">
        <v>494.14</v>
      </c>
      <c r="AT85" s="227">
        <v>0</v>
      </c>
      <c r="AU85" s="227">
        <v>66534.14</v>
      </c>
      <c r="AV85" s="227">
        <v>0</v>
      </c>
      <c r="AW85" s="227">
        <v>90749.1</v>
      </c>
      <c r="AX85" s="227">
        <v>4141.8100000000004</v>
      </c>
      <c r="AY85" s="227">
        <v>26666.65</v>
      </c>
      <c r="AZ85" s="227">
        <v>43116.97</v>
      </c>
      <c r="BA85" s="227">
        <v>13914.94</v>
      </c>
      <c r="BB85" s="227">
        <v>155728.15</v>
      </c>
      <c r="BC85" s="227">
        <v>10296.75</v>
      </c>
      <c r="BD85" s="227">
        <v>0</v>
      </c>
      <c r="BE85" s="227">
        <v>3137.86</v>
      </c>
      <c r="BF85" s="227">
        <v>16886.400000000001</v>
      </c>
      <c r="BG85" s="227">
        <v>8392.74</v>
      </c>
      <c r="BH85" s="227">
        <v>5752.29</v>
      </c>
      <c r="BI85" s="227">
        <v>8838.75</v>
      </c>
      <c r="BJ85" s="227">
        <v>0</v>
      </c>
      <c r="BK85" s="227">
        <v>3216.16</v>
      </c>
      <c r="BL85" s="227">
        <v>19750.86</v>
      </c>
      <c r="BM85" s="227">
        <v>1218.93</v>
      </c>
      <c r="BN85" s="227">
        <v>29387.48</v>
      </c>
      <c r="BO85" s="227">
        <v>169254.83</v>
      </c>
      <c r="BP85" s="227">
        <v>46178.98</v>
      </c>
      <c r="BQ85" s="227">
        <v>155637.68</v>
      </c>
      <c r="BR85" s="227">
        <v>0</v>
      </c>
      <c r="BS85" s="227">
        <v>0</v>
      </c>
      <c r="BT85" s="227">
        <v>0</v>
      </c>
      <c r="BU85" s="227">
        <v>0</v>
      </c>
      <c r="BV85" s="227">
        <v>0</v>
      </c>
      <c r="BW85" s="334">
        <v>0</v>
      </c>
      <c r="BX85" s="335"/>
      <c r="BY85" s="227">
        <v>0</v>
      </c>
      <c r="BZ85" s="227">
        <v>0</v>
      </c>
      <c r="CA85" s="227">
        <v>6000</v>
      </c>
      <c r="CB85" s="227">
        <v>0</v>
      </c>
      <c r="CC85" s="227">
        <v>0</v>
      </c>
      <c r="CD85" s="227">
        <v>0</v>
      </c>
      <c r="CE85" s="227">
        <v>0</v>
      </c>
      <c r="CF85" s="227">
        <v>0</v>
      </c>
      <c r="CG85" s="227">
        <v>0</v>
      </c>
      <c r="CH85" s="227">
        <v>0</v>
      </c>
      <c r="CI85" s="227">
        <v>0</v>
      </c>
      <c r="CJ85" s="227">
        <v>0</v>
      </c>
      <c r="CK85" s="227">
        <v>10903</v>
      </c>
      <c r="CL85" s="227">
        <v>0</v>
      </c>
      <c r="CM85" s="227">
        <v>0</v>
      </c>
      <c r="CN85" s="227">
        <v>0</v>
      </c>
      <c r="CO85" s="227">
        <v>0</v>
      </c>
      <c r="CQ85" s="229">
        <f t="shared" si="1"/>
        <v>10903</v>
      </c>
    </row>
    <row r="86" spans="1:95" ht="15">
      <c r="A86" s="226">
        <v>302</v>
      </c>
      <c r="B86" s="226">
        <v>7005</v>
      </c>
      <c r="C86" s="226" t="s">
        <v>111</v>
      </c>
      <c r="D86" s="226" t="s">
        <v>424</v>
      </c>
      <c r="E86" s="226"/>
      <c r="F86" s="226" t="s">
        <v>420</v>
      </c>
      <c r="G86" s="226">
        <v>0</v>
      </c>
      <c r="H86" s="226">
        <v>1</v>
      </c>
      <c r="I86" s="226" t="s">
        <v>483</v>
      </c>
      <c r="J86" s="226" t="s">
        <v>482</v>
      </c>
      <c r="K86" s="226" t="s">
        <v>421</v>
      </c>
      <c r="L86" s="226" t="s">
        <v>422</v>
      </c>
      <c r="M86" s="226" t="s">
        <v>421</v>
      </c>
      <c r="N86" s="226" t="s">
        <v>423</v>
      </c>
      <c r="O86" s="226" t="s">
        <v>171</v>
      </c>
      <c r="P86" s="227">
        <v>111363.55</v>
      </c>
      <c r="Q86" s="227">
        <v>0</v>
      </c>
      <c r="R86" s="227">
        <v>10506</v>
      </c>
      <c r="S86" s="227">
        <v>2619929.1800000002</v>
      </c>
      <c r="T86" s="227">
        <v>0</v>
      </c>
      <c r="U86" s="227">
        <v>2999232.1</v>
      </c>
      <c r="V86" s="227">
        <v>0</v>
      </c>
      <c r="W86" s="227">
        <v>100135</v>
      </c>
      <c r="X86" s="227">
        <v>1148.5</v>
      </c>
      <c r="Y86" s="227">
        <v>22037.75</v>
      </c>
      <c r="Z86" s="227">
        <v>29700</v>
      </c>
      <c r="AA86" s="227">
        <v>30780.63</v>
      </c>
      <c r="AB86" s="227">
        <v>80.88</v>
      </c>
      <c r="AC86" s="227">
        <v>0</v>
      </c>
      <c r="AD86" s="227">
        <v>0</v>
      </c>
      <c r="AE86" s="227">
        <v>989.17</v>
      </c>
      <c r="AF86" s="227">
        <v>10300</v>
      </c>
      <c r="AG86" s="227">
        <v>0</v>
      </c>
      <c r="AH86" s="227">
        <v>0</v>
      </c>
      <c r="AI86" s="227">
        <v>0</v>
      </c>
      <c r="AJ86" s="227">
        <v>1733646.57</v>
      </c>
      <c r="AK86" s="227">
        <v>0</v>
      </c>
      <c r="AL86" s="227">
        <v>2206644.9900000002</v>
      </c>
      <c r="AM86" s="227">
        <v>65178.42</v>
      </c>
      <c r="AN86" s="227">
        <v>261083.12</v>
      </c>
      <c r="AO86" s="227">
        <v>0</v>
      </c>
      <c r="AP86" s="227">
        <v>15642.36</v>
      </c>
      <c r="AQ86" s="227">
        <v>25470.87</v>
      </c>
      <c r="AR86" s="227">
        <v>11553.31</v>
      </c>
      <c r="AS86" s="227">
        <v>0</v>
      </c>
      <c r="AT86" s="227">
        <v>0</v>
      </c>
      <c r="AU86" s="227">
        <v>74003.759999999995</v>
      </c>
      <c r="AV86" s="227">
        <v>44990.81</v>
      </c>
      <c r="AW86" s="227">
        <v>81557.570000000007</v>
      </c>
      <c r="AX86" s="227">
        <v>11461.9</v>
      </c>
      <c r="AY86" s="227">
        <v>60168.6</v>
      </c>
      <c r="AZ86" s="227">
        <v>0</v>
      </c>
      <c r="BA86" s="227">
        <v>44391.98</v>
      </c>
      <c r="BB86" s="227">
        <v>51832.41</v>
      </c>
      <c r="BC86" s="227">
        <v>23641.919999999998</v>
      </c>
      <c r="BD86" s="227">
        <v>0</v>
      </c>
      <c r="BE86" s="227">
        <v>6988.57</v>
      </c>
      <c r="BF86" s="227">
        <v>14358.8</v>
      </c>
      <c r="BG86" s="227">
        <v>13670.63</v>
      </c>
      <c r="BH86" s="227">
        <v>15484.83</v>
      </c>
      <c r="BI86" s="227">
        <v>21897.27</v>
      </c>
      <c r="BJ86" s="227">
        <v>0</v>
      </c>
      <c r="BK86" s="227">
        <v>3776.05</v>
      </c>
      <c r="BL86" s="227">
        <v>8850.76</v>
      </c>
      <c r="BM86" s="227">
        <v>5495.01</v>
      </c>
      <c r="BN86" s="227">
        <v>75071.02</v>
      </c>
      <c r="BO86" s="227">
        <v>113551.56</v>
      </c>
      <c r="BP86" s="227">
        <v>830123.99</v>
      </c>
      <c r="BQ86" s="227">
        <v>42553.68</v>
      </c>
      <c r="BR86" s="227">
        <v>0</v>
      </c>
      <c r="BS86" s="227">
        <v>0</v>
      </c>
      <c r="BT86" s="227">
        <v>18590</v>
      </c>
      <c r="BU86" s="227">
        <v>0</v>
      </c>
      <c r="BV86" s="227">
        <v>0</v>
      </c>
      <c r="BW86" s="334">
        <v>70059.75</v>
      </c>
      <c r="BX86" s="335"/>
      <c r="BY86" s="227">
        <v>103479.3</v>
      </c>
      <c r="BZ86" s="227">
        <v>18590</v>
      </c>
      <c r="CA86" s="227">
        <v>6000</v>
      </c>
      <c r="CB86" s="227">
        <v>0</v>
      </c>
      <c r="CC86" s="227">
        <v>63535.24</v>
      </c>
      <c r="CD86" s="227">
        <v>91613.29</v>
      </c>
      <c r="CE86" s="227">
        <v>13058.88</v>
      </c>
      <c r="CF86" s="227">
        <v>0</v>
      </c>
      <c r="CG86" s="227">
        <v>0</v>
      </c>
      <c r="CH86" s="227">
        <v>34083</v>
      </c>
      <c r="CI86" s="227">
        <v>344.64</v>
      </c>
      <c r="CJ86" s="227">
        <v>34529</v>
      </c>
      <c r="CK86" s="227">
        <v>9487</v>
      </c>
      <c r="CL86" s="227">
        <v>0</v>
      </c>
      <c r="CM86" s="227">
        <v>0</v>
      </c>
      <c r="CN86" s="227">
        <v>0</v>
      </c>
      <c r="CO86" s="227">
        <v>0</v>
      </c>
      <c r="CQ86" s="229">
        <f t="shared" si="1"/>
        <v>44016</v>
      </c>
    </row>
    <row r="87" spans="1:95" ht="30">
      <c r="A87" s="226">
        <v>302</v>
      </c>
      <c r="B87" s="226">
        <v>7009</v>
      </c>
      <c r="C87" s="226" t="s">
        <v>339</v>
      </c>
      <c r="D87" s="226" t="s">
        <v>424</v>
      </c>
      <c r="E87" s="226"/>
      <c r="F87" s="226" t="s">
        <v>420</v>
      </c>
      <c r="G87" s="226">
        <v>0</v>
      </c>
      <c r="H87" s="226">
        <v>1</v>
      </c>
      <c r="I87" s="226" t="s">
        <v>483</v>
      </c>
      <c r="J87" s="226" t="s">
        <v>482</v>
      </c>
      <c r="K87" s="226" t="s">
        <v>421</v>
      </c>
      <c r="L87" s="226" t="s">
        <v>422</v>
      </c>
      <c r="M87" s="226" t="s">
        <v>421</v>
      </c>
      <c r="N87" s="226" t="s">
        <v>423</v>
      </c>
      <c r="O87" s="226" t="s">
        <v>171</v>
      </c>
      <c r="P87" s="227">
        <v>102747</v>
      </c>
      <c r="Q87" s="227">
        <v>0</v>
      </c>
      <c r="R87" s="227">
        <v>7796</v>
      </c>
      <c r="S87" s="227">
        <v>1956330.61</v>
      </c>
      <c r="T87" s="227">
        <v>0</v>
      </c>
      <c r="U87" s="227">
        <v>3605256.61</v>
      </c>
      <c r="V87" s="227">
        <v>0</v>
      </c>
      <c r="W87" s="227">
        <v>105796.58</v>
      </c>
      <c r="X87" s="227">
        <v>4821.5</v>
      </c>
      <c r="Y87" s="227">
        <v>47826.64</v>
      </c>
      <c r="Z87" s="227">
        <v>5480.61</v>
      </c>
      <c r="AA87" s="227">
        <v>717170.75</v>
      </c>
      <c r="AB87" s="227">
        <v>11.98</v>
      </c>
      <c r="AC87" s="227">
        <v>0</v>
      </c>
      <c r="AD87" s="227">
        <v>0</v>
      </c>
      <c r="AE87" s="227">
        <v>665.3</v>
      </c>
      <c r="AF87" s="227">
        <v>5976.82</v>
      </c>
      <c r="AG87" s="227">
        <v>0</v>
      </c>
      <c r="AH87" s="227">
        <v>0</v>
      </c>
      <c r="AI87" s="227">
        <v>0</v>
      </c>
      <c r="AJ87" s="227">
        <v>2259727.7599999998</v>
      </c>
      <c r="AK87" s="227">
        <v>4058.54</v>
      </c>
      <c r="AL87" s="227">
        <v>2244396.34</v>
      </c>
      <c r="AM87" s="227">
        <v>46110.76</v>
      </c>
      <c r="AN87" s="227">
        <v>129254.99</v>
      </c>
      <c r="AO87" s="227">
        <v>0</v>
      </c>
      <c r="AP87" s="227">
        <v>141542.71</v>
      </c>
      <c r="AQ87" s="227">
        <v>30192.17</v>
      </c>
      <c r="AR87" s="227">
        <v>13747.35</v>
      </c>
      <c r="AS87" s="227">
        <v>0</v>
      </c>
      <c r="AT87" s="227">
        <v>0</v>
      </c>
      <c r="AU87" s="227">
        <v>50347.63</v>
      </c>
      <c r="AV87" s="227">
        <v>500</v>
      </c>
      <c r="AW87" s="227">
        <v>40091.67</v>
      </c>
      <c r="AX87" s="227">
        <v>11026.63</v>
      </c>
      <c r="AY87" s="227">
        <v>38899.870000000003</v>
      </c>
      <c r="AZ87" s="227">
        <v>0</v>
      </c>
      <c r="BA87" s="227">
        <v>28566.95</v>
      </c>
      <c r="BB87" s="227">
        <v>89507.22</v>
      </c>
      <c r="BC87" s="227">
        <v>4729.79</v>
      </c>
      <c r="BD87" s="227">
        <v>0</v>
      </c>
      <c r="BE87" s="227">
        <v>1974.92</v>
      </c>
      <c r="BF87" s="227">
        <v>8884.09</v>
      </c>
      <c r="BG87" s="227">
        <v>7373.83</v>
      </c>
      <c r="BH87" s="227">
        <v>4744.4799999999996</v>
      </c>
      <c r="BI87" s="227">
        <v>12979.34</v>
      </c>
      <c r="BJ87" s="227">
        <v>0</v>
      </c>
      <c r="BK87" s="227">
        <v>20171.580000000002</v>
      </c>
      <c r="BL87" s="227">
        <v>7521</v>
      </c>
      <c r="BM87" s="227">
        <v>77690.399999999994</v>
      </c>
      <c r="BN87" s="227">
        <v>34888.51</v>
      </c>
      <c r="BO87" s="227">
        <v>45369.51</v>
      </c>
      <c r="BP87" s="227">
        <v>798538.33</v>
      </c>
      <c r="BQ87" s="227">
        <v>57580.46</v>
      </c>
      <c r="BR87" s="227">
        <v>0</v>
      </c>
      <c r="BS87" s="227">
        <v>0</v>
      </c>
      <c r="BT87" s="227">
        <v>3988.66</v>
      </c>
      <c r="BU87" s="227">
        <v>0</v>
      </c>
      <c r="BV87" s="227">
        <v>0</v>
      </c>
      <c r="BW87" s="334">
        <v>11857</v>
      </c>
      <c r="BX87" s="335"/>
      <c r="BY87" s="227">
        <v>139386</v>
      </c>
      <c r="BZ87" s="227">
        <v>3988.66</v>
      </c>
      <c r="CA87" s="227">
        <v>6000</v>
      </c>
      <c r="CB87" s="227">
        <v>0</v>
      </c>
      <c r="CC87" s="227">
        <v>3836</v>
      </c>
      <c r="CD87" s="227">
        <v>141166.66</v>
      </c>
      <c r="CE87" s="227">
        <v>0</v>
      </c>
      <c r="CF87" s="227">
        <v>0</v>
      </c>
      <c r="CG87" s="227">
        <v>0</v>
      </c>
      <c r="CH87" s="227">
        <v>18025</v>
      </c>
      <c r="CI87" s="227">
        <v>0</v>
      </c>
      <c r="CJ87" s="227">
        <v>39346</v>
      </c>
      <c r="CK87" s="227">
        <v>298332.90999999997</v>
      </c>
      <c r="CL87" s="227">
        <v>0</v>
      </c>
      <c r="CM87" s="227">
        <v>0</v>
      </c>
      <c r="CN87" s="227">
        <v>0</v>
      </c>
      <c r="CO87" s="227">
        <v>0</v>
      </c>
      <c r="CQ87" s="229">
        <f t="shared" si="1"/>
        <v>337678.91</v>
      </c>
    </row>
    <row r="88" spans="1:95" ht="15">
      <c r="A88" s="226">
        <v>302</v>
      </c>
      <c r="B88" s="226">
        <v>7010</v>
      </c>
      <c r="C88" s="226" t="s">
        <v>110</v>
      </c>
      <c r="D88" s="226" t="s">
        <v>424</v>
      </c>
      <c r="E88" s="226"/>
      <c r="F88" s="226" t="s">
        <v>420</v>
      </c>
      <c r="G88" s="226">
        <v>0</v>
      </c>
      <c r="H88" s="226">
        <v>1</v>
      </c>
      <c r="I88" s="226" t="s">
        <v>483</v>
      </c>
      <c r="J88" s="226" t="s">
        <v>482</v>
      </c>
      <c r="K88" s="226" t="s">
        <v>421</v>
      </c>
      <c r="L88" s="226" t="s">
        <v>422</v>
      </c>
      <c r="M88" s="226" t="s">
        <v>421</v>
      </c>
      <c r="N88" s="226" t="s">
        <v>423</v>
      </c>
      <c r="O88" s="226" t="s">
        <v>171</v>
      </c>
      <c r="P88" s="227">
        <v>376909</v>
      </c>
      <c r="Q88" s="227">
        <v>0</v>
      </c>
      <c r="R88" s="227">
        <v>35864</v>
      </c>
      <c r="S88" s="227">
        <v>1688155.43</v>
      </c>
      <c r="T88" s="227">
        <v>4081.8</v>
      </c>
      <c r="U88" s="227">
        <v>3002990.65</v>
      </c>
      <c r="V88" s="227">
        <v>0</v>
      </c>
      <c r="W88" s="227">
        <v>38702</v>
      </c>
      <c r="X88" s="227">
        <v>83321.56</v>
      </c>
      <c r="Y88" s="227">
        <v>28554.240000000002</v>
      </c>
      <c r="Z88" s="227">
        <v>717.2</v>
      </c>
      <c r="AA88" s="227">
        <v>14.99</v>
      </c>
      <c r="AB88" s="227">
        <v>13844.79</v>
      </c>
      <c r="AC88" s="227">
        <v>0</v>
      </c>
      <c r="AD88" s="227">
        <v>0</v>
      </c>
      <c r="AE88" s="227">
        <v>2184.1799999999998</v>
      </c>
      <c r="AF88" s="227">
        <v>14598.44</v>
      </c>
      <c r="AG88" s="227">
        <v>0</v>
      </c>
      <c r="AH88" s="227">
        <v>0</v>
      </c>
      <c r="AI88" s="227">
        <v>0</v>
      </c>
      <c r="AJ88" s="227">
        <v>1649221.93</v>
      </c>
      <c r="AK88" s="227">
        <v>0</v>
      </c>
      <c r="AL88" s="227">
        <v>2119213.61</v>
      </c>
      <c r="AM88" s="227">
        <v>125121.32</v>
      </c>
      <c r="AN88" s="227">
        <v>178666.75</v>
      </c>
      <c r="AO88" s="227">
        <v>0</v>
      </c>
      <c r="AP88" s="227">
        <v>68234.5</v>
      </c>
      <c r="AQ88" s="227">
        <v>22417.18</v>
      </c>
      <c r="AR88" s="227">
        <v>9752.08</v>
      </c>
      <c r="AS88" s="227">
        <v>0</v>
      </c>
      <c r="AT88" s="227">
        <v>0</v>
      </c>
      <c r="AU88" s="227">
        <v>73088.13</v>
      </c>
      <c r="AV88" s="227">
        <v>19007.3</v>
      </c>
      <c r="AW88" s="227">
        <v>6662.01</v>
      </c>
      <c r="AX88" s="227">
        <v>5901.42</v>
      </c>
      <c r="AY88" s="227">
        <v>39149.199999999997</v>
      </c>
      <c r="AZ88" s="227">
        <v>0</v>
      </c>
      <c r="BA88" s="227">
        <v>18163.580000000002</v>
      </c>
      <c r="BB88" s="227">
        <v>65283.53</v>
      </c>
      <c r="BC88" s="227">
        <v>6580</v>
      </c>
      <c r="BD88" s="227">
        <v>0</v>
      </c>
      <c r="BE88" s="227">
        <v>7064.33</v>
      </c>
      <c r="BF88" s="227">
        <v>8823.56</v>
      </c>
      <c r="BG88" s="227">
        <v>714.97</v>
      </c>
      <c r="BH88" s="227">
        <v>1818.81</v>
      </c>
      <c r="BI88" s="227">
        <v>1348.5</v>
      </c>
      <c r="BJ88" s="227">
        <v>1720.95</v>
      </c>
      <c r="BK88" s="227">
        <v>7384.9</v>
      </c>
      <c r="BL88" s="227">
        <v>11743.76</v>
      </c>
      <c r="BM88" s="227">
        <v>88445.56</v>
      </c>
      <c r="BN88" s="227">
        <v>36343.22</v>
      </c>
      <c r="BO88" s="227">
        <v>9800</v>
      </c>
      <c r="BP88" s="227">
        <v>288524.03999999998</v>
      </c>
      <c r="BQ88" s="227">
        <v>52680.17</v>
      </c>
      <c r="BR88" s="227">
        <v>0</v>
      </c>
      <c r="BS88" s="227">
        <v>0</v>
      </c>
      <c r="BT88" s="227">
        <v>0</v>
      </c>
      <c r="BU88" s="227">
        <v>0</v>
      </c>
      <c r="BV88" s="227">
        <v>0</v>
      </c>
      <c r="BW88" s="334">
        <v>9771.25</v>
      </c>
      <c r="BX88" s="335"/>
      <c r="BY88" s="227">
        <v>0</v>
      </c>
      <c r="BZ88" s="227">
        <v>0</v>
      </c>
      <c r="CA88" s="227">
        <v>6000</v>
      </c>
      <c r="CB88" s="227">
        <v>0</v>
      </c>
      <c r="CC88" s="227">
        <v>40785</v>
      </c>
      <c r="CD88" s="227">
        <v>0</v>
      </c>
      <c r="CE88" s="227">
        <v>0</v>
      </c>
      <c r="CF88" s="227">
        <v>0</v>
      </c>
      <c r="CG88" s="227">
        <v>0</v>
      </c>
      <c r="CH88" s="227">
        <v>0</v>
      </c>
      <c r="CI88" s="227">
        <v>0</v>
      </c>
      <c r="CJ88" s="227">
        <v>0</v>
      </c>
      <c r="CK88" s="227">
        <v>331198.96999999997</v>
      </c>
      <c r="CL88" s="227">
        <v>4850.25</v>
      </c>
      <c r="CM88" s="227">
        <v>0</v>
      </c>
      <c r="CN88" s="227">
        <v>0</v>
      </c>
      <c r="CO88" s="227">
        <v>0</v>
      </c>
      <c r="CQ88" s="229">
        <f t="shared" si="1"/>
        <v>331198.96999999997</v>
      </c>
    </row>
    <row r="89" spans="1:95" ht="0" hidden="1" customHeight="1"/>
    <row r="90" spans="1:95">
      <c r="P90" s="228">
        <f t="shared" ref="P90:R90" si="2">SUM(P4:P88)</f>
        <v>4632540.6099999994</v>
      </c>
      <c r="Q90" s="228">
        <f t="shared" si="2"/>
        <v>282892.32</v>
      </c>
      <c r="R90" s="228">
        <f t="shared" si="2"/>
        <v>703543.50000000012</v>
      </c>
      <c r="S90" s="228">
        <f>SUM(S4:S88)</f>
        <v>195306164.18000007</v>
      </c>
      <c r="T90" s="228">
        <f t="shared" ref="T90:CE90" si="3">SUM(T4:T88)</f>
        <v>8445943.2300000004</v>
      </c>
      <c r="U90" s="228">
        <f t="shared" si="3"/>
        <v>27954979.580000006</v>
      </c>
      <c r="V90" s="228">
        <f t="shared" si="3"/>
        <v>0</v>
      </c>
      <c r="W90" s="228">
        <f t="shared" si="3"/>
        <v>8451267.9900000002</v>
      </c>
      <c r="X90" s="228">
        <f t="shared" si="3"/>
        <v>5550428.7999999998</v>
      </c>
      <c r="Y90" s="228">
        <f t="shared" si="3"/>
        <v>6615441.7999999998</v>
      </c>
      <c r="Z90" s="228">
        <f t="shared" si="3"/>
        <v>1972141.9400000006</v>
      </c>
      <c r="AA90" s="228">
        <f t="shared" si="3"/>
        <v>5002074.9499999983</v>
      </c>
      <c r="AB90" s="228">
        <f t="shared" si="3"/>
        <v>1418333.44</v>
      </c>
      <c r="AC90" s="228">
        <f t="shared" si="3"/>
        <v>79281.100000000006</v>
      </c>
      <c r="AD90" s="228">
        <f t="shared" si="3"/>
        <v>387358.69</v>
      </c>
      <c r="AE90" s="228">
        <f t="shared" si="3"/>
        <v>6679560.4699999979</v>
      </c>
      <c r="AF90" s="228">
        <f t="shared" si="3"/>
        <v>9140204.6199999992</v>
      </c>
      <c r="AG90" s="228">
        <f t="shared" si="3"/>
        <v>0</v>
      </c>
      <c r="AH90" s="228">
        <f t="shared" si="3"/>
        <v>828391.51</v>
      </c>
      <c r="AI90" s="228">
        <f t="shared" si="3"/>
        <v>0</v>
      </c>
      <c r="AJ90" s="228">
        <f t="shared" si="3"/>
        <v>128239178.31999998</v>
      </c>
      <c r="AK90" s="228">
        <f t="shared" si="3"/>
        <v>473325.24000000005</v>
      </c>
      <c r="AL90" s="228">
        <f t="shared" si="3"/>
        <v>56245033.980000004</v>
      </c>
      <c r="AM90" s="228">
        <f t="shared" si="3"/>
        <v>5829223.0700000003</v>
      </c>
      <c r="AN90" s="228">
        <f t="shared" si="3"/>
        <v>12723994.369999999</v>
      </c>
      <c r="AO90" s="228">
        <f t="shared" si="3"/>
        <v>573008.30000000005</v>
      </c>
      <c r="AP90" s="228">
        <f t="shared" si="3"/>
        <v>5307659.5200000014</v>
      </c>
      <c r="AQ90" s="228">
        <f t="shared" si="3"/>
        <v>1375675.2700000003</v>
      </c>
      <c r="AR90" s="228">
        <f t="shared" si="3"/>
        <v>501259.33999999997</v>
      </c>
      <c r="AS90" s="228">
        <f t="shared" si="3"/>
        <v>136751.50000000003</v>
      </c>
      <c r="AT90" s="228">
        <f t="shared" si="3"/>
        <v>32733.54</v>
      </c>
      <c r="AU90" s="228">
        <f t="shared" si="3"/>
        <v>3533609.5800000005</v>
      </c>
      <c r="AV90" s="228">
        <f t="shared" si="3"/>
        <v>483806.24999999988</v>
      </c>
      <c r="AW90" s="228">
        <f t="shared" si="3"/>
        <v>3765519.5799999991</v>
      </c>
      <c r="AX90" s="228">
        <f t="shared" si="3"/>
        <v>704816.60999999975</v>
      </c>
      <c r="AY90" s="228">
        <f t="shared" si="3"/>
        <v>4183276.5200000005</v>
      </c>
      <c r="AZ90" s="228">
        <f t="shared" si="3"/>
        <v>2392539.1599999988</v>
      </c>
      <c r="BA90" s="228">
        <f t="shared" si="3"/>
        <v>2795394.7</v>
      </c>
      <c r="BB90" s="228">
        <f t="shared" si="3"/>
        <v>7684986.7400000021</v>
      </c>
      <c r="BC90" s="228">
        <f t="shared" si="3"/>
        <v>780085.59000000008</v>
      </c>
      <c r="BD90" s="228">
        <f t="shared" si="3"/>
        <v>31860.430000000004</v>
      </c>
      <c r="BE90" s="228">
        <f t="shared" si="3"/>
        <v>684192.67999999993</v>
      </c>
      <c r="BF90" s="228">
        <f t="shared" si="3"/>
        <v>921516.63</v>
      </c>
      <c r="BG90" s="228">
        <f t="shared" si="3"/>
        <v>185369.56000000003</v>
      </c>
      <c r="BH90" s="228">
        <f t="shared" si="3"/>
        <v>165670.97</v>
      </c>
      <c r="BI90" s="228">
        <f t="shared" si="3"/>
        <v>662674.28</v>
      </c>
      <c r="BJ90" s="228">
        <f t="shared" si="3"/>
        <v>1022414.5399999999</v>
      </c>
      <c r="BK90" s="228">
        <f t="shared" si="3"/>
        <v>1228027.5099999998</v>
      </c>
      <c r="BL90" s="228">
        <f t="shared" si="3"/>
        <v>1320869.2400000002</v>
      </c>
      <c r="BM90" s="228">
        <f t="shared" si="3"/>
        <v>1251763.4899999995</v>
      </c>
      <c r="BN90" s="228">
        <f t="shared" si="3"/>
        <v>10202309.340000004</v>
      </c>
      <c r="BO90" s="228">
        <f t="shared" si="3"/>
        <v>5592603.3100000005</v>
      </c>
      <c r="BP90" s="228">
        <f t="shared" si="3"/>
        <v>15353125.380000003</v>
      </c>
      <c r="BQ90" s="228">
        <f t="shared" si="3"/>
        <v>4564045.7799999984</v>
      </c>
      <c r="BR90" s="228">
        <f t="shared" si="3"/>
        <v>73556.78</v>
      </c>
      <c r="BS90" s="228">
        <f t="shared" si="3"/>
        <v>0</v>
      </c>
      <c r="BT90" s="228">
        <f t="shared" si="3"/>
        <v>309577.67</v>
      </c>
      <c r="BU90" s="228">
        <f t="shared" si="3"/>
        <v>540148.04</v>
      </c>
      <c r="BV90" s="228">
        <f t="shared" si="3"/>
        <v>162004.47</v>
      </c>
      <c r="BW90" s="228">
        <f t="shared" si="3"/>
        <v>834470.92</v>
      </c>
      <c r="BX90" s="228">
        <f t="shared" si="3"/>
        <v>0</v>
      </c>
      <c r="BY90" s="228">
        <f t="shared" si="3"/>
        <v>656115.78</v>
      </c>
      <c r="BZ90" s="228">
        <f t="shared" si="3"/>
        <v>259808.97</v>
      </c>
      <c r="CA90" s="228">
        <f t="shared" si="3"/>
        <v>510000</v>
      </c>
      <c r="CB90" s="228">
        <f t="shared" si="3"/>
        <v>0</v>
      </c>
      <c r="CC90" s="228">
        <f t="shared" si="3"/>
        <v>979954.96</v>
      </c>
      <c r="CD90" s="228">
        <f t="shared" si="3"/>
        <v>405795.26</v>
      </c>
      <c r="CE90" s="228">
        <f t="shared" si="3"/>
        <v>144296.84</v>
      </c>
      <c r="CF90" s="228">
        <f t="shared" ref="CF90:CO90" si="4">SUM(CF4:CF88)</f>
        <v>6600.05</v>
      </c>
      <c r="CG90" s="228">
        <f t="shared" si="4"/>
        <v>0</v>
      </c>
      <c r="CH90" s="228">
        <f t="shared" si="4"/>
        <v>391615</v>
      </c>
      <c r="CI90" s="228">
        <f t="shared" si="4"/>
        <v>57199.729999999996</v>
      </c>
      <c r="CJ90" s="228">
        <f t="shared" si="4"/>
        <v>843938.59000000008</v>
      </c>
      <c r="CK90" s="228">
        <f t="shared" si="4"/>
        <v>-539671.95999999926</v>
      </c>
      <c r="CL90" s="228">
        <f t="shared" si="4"/>
        <v>467582.32999999996</v>
      </c>
      <c r="CM90" s="228">
        <f t="shared" si="4"/>
        <v>895</v>
      </c>
      <c r="CN90" s="228">
        <f t="shared" si="4"/>
        <v>409131.32</v>
      </c>
      <c r="CO90" s="228">
        <f t="shared" si="4"/>
        <v>0</v>
      </c>
    </row>
  </sheetData>
  <autoFilter ref="A3:CQ88" xr:uid="{DB7A12F7-97F0-41A4-9CEF-7D5EC24E3ED6}">
    <filterColumn colId="74" showButton="0"/>
  </autoFilter>
  <mergeCells count="87">
    <mergeCell ref="BW87:BX87"/>
    <mergeCell ref="BW88:BX88"/>
    <mergeCell ref="BW82:BX82"/>
    <mergeCell ref="BW83:BX83"/>
    <mergeCell ref="BW84:BX84"/>
    <mergeCell ref="BW85:BX85"/>
    <mergeCell ref="BW86:BX86"/>
    <mergeCell ref="BW72:BX72"/>
    <mergeCell ref="BW73:BX73"/>
    <mergeCell ref="BW74:BX74"/>
    <mergeCell ref="BW75:BX75"/>
    <mergeCell ref="BW76:BX76"/>
    <mergeCell ref="BW77:BX77"/>
    <mergeCell ref="BW78:BX78"/>
    <mergeCell ref="BW79:BX79"/>
    <mergeCell ref="BW80:BX80"/>
    <mergeCell ref="BW81:BX81"/>
    <mergeCell ref="BW62:BX62"/>
    <mergeCell ref="BW63:BX63"/>
    <mergeCell ref="BW64:BX64"/>
    <mergeCell ref="BW65:BX65"/>
    <mergeCell ref="BW66:BX66"/>
    <mergeCell ref="BW67:BX67"/>
    <mergeCell ref="BW68:BX68"/>
    <mergeCell ref="BW69:BX69"/>
    <mergeCell ref="BW70:BX70"/>
    <mergeCell ref="BW71:BX71"/>
    <mergeCell ref="BW52:BX52"/>
    <mergeCell ref="BW53:BX53"/>
    <mergeCell ref="BW54:BX54"/>
    <mergeCell ref="BW55:BX55"/>
    <mergeCell ref="BW56:BX56"/>
    <mergeCell ref="BW57:BX57"/>
    <mergeCell ref="BW58:BX58"/>
    <mergeCell ref="BW59:BX59"/>
    <mergeCell ref="BW60:BX60"/>
    <mergeCell ref="BW61:BX61"/>
    <mergeCell ref="BW42:BX42"/>
    <mergeCell ref="BW43:BX43"/>
    <mergeCell ref="BW44:BX44"/>
    <mergeCell ref="BW45:BX45"/>
    <mergeCell ref="BW46:BX46"/>
    <mergeCell ref="BW47:BX47"/>
    <mergeCell ref="BW48:BX48"/>
    <mergeCell ref="BW49:BX49"/>
    <mergeCell ref="BW50:BX50"/>
    <mergeCell ref="BW51:BX51"/>
    <mergeCell ref="BW32:BX32"/>
    <mergeCell ref="BW33:BX33"/>
    <mergeCell ref="BW34:BX34"/>
    <mergeCell ref="BW35:BX35"/>
    <mergeCell ref="BW36:BX36"/>
    <mergeCell ref="BW37:BX37"/>
    <mergeCell ref="BW38:BX38"/>
    <mergeCell ref="BW39:BX39"/>
    <mergeCell ref="BW40:BX40"/>
    <mergeCell ref="BW41:BX41"/>
    <mergeCell ref="BW22:BX22"/>
    <mergeCell ref="BW23:BX23"/>
    <mergeCell ref="BW24:BX24"/>
    <mergeCell ref="BW25:BX25"/>
    <mergeCell ref="BW26:BX26"/>
    <mergeCell ref="BW27:BX27"/>
    <mergeCell ref="BW28:BX28"/>
    <mergeCell ref="BW29:BX29"/>
    <mergeCell ref="BW30:BX30"/>
    <mergeCell ref="BW31:BX31"/>
    <mergeCell ref="BW12:BX12"/>
    <mergeCell ref="BW13:BX13"/>
    <mergeCell ref="BW14:BX14"/>
    <mergeCell ref="BW15:BX15"/>
    <mergeCell ref="BW16:BX16"/>
    <mergeCell ref="BW17:BX17"/>
    <mergeCell ref="BW18:BX18"/>
    <mergeCell ref="BW19:BX19"/>
    <mergeCell ref="BW20:BX20"/>
    <mergeCell ref="BW21:BX21"/>
    <mergeCell ref="A1:BW1"/>
    <mergeCell ref="BW3:BX3"/>
    <mergeCell ref="BW4:BX4"/>
    <mergeCell ref="BW5:BX5"/>
    <mergeCell ref="BW6:BX6"/>
    <mergeCell ref="BW7:BX7"/>
    <mergeCell ref="BW8:BX8"/>
    <mergeCell ref="BW9:BX9"/>
    <mergeCell ref="BW10:BX10"/>
    <mergeCell ref="BW11:BX11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44DEF-4E55-4183-97E2-FC7F093B054A}">
  <dimension ref="A1:CT87"/>
  <sheetViews>
    <sheetView showGridLines="0" topLeftCell="CG1" workbookViewId="0">
      <selection activeCell="EE3" sqref="EE3"/>
    </sheetView>
  </sheetViews>
  <sheetFormatPr defaultRowHeight="14.4"/>
  <cols>
    <col min="1" max="1" width="15.5546875" style="25" customWidth="1"/>
    <col min="2" max="2" width="16.6640625" style="25" customWidth="1"/>
    <col min="3" max="3" width="38" style="25" customWidth="1"/>
    <col min="4" max="4" width="28" style="25" customWidth="1"/>
    <col min="5" max="5" width="35.88671875" style="25" customWidth="1"/>
    <col min="6" max="8" width="13.6640625" style="25" customWidth="1"/>
    <col min="9" max="9" width="17.44140625" style="25" customWidth="1"/>
    <col min="10" max="10" width="18.6640625" style="25" customWidth="1"/>
    <col min="11" max="11" width="13.6640625" style="25" customWidth="1"/>
    <col min="12" max="12" width="17.6640625" style="25" customWidth="1"/>
    <col min="13" max="13" width="13.6640625" style="25" customWidth="1"/>
    <col min="14" max="14" width="19.109375" style="25" customWidth="1"/>
    <col min="15" max="15" width="17.6640625" style="25" customWidth="1"/>
    <col min="16" max="16" width="13.6640625" style="25" customWidth="1"/>
    <col min="17" max="17" width="16" style="25" bestFit="1" customWidth="1"/>
    <col min="18" max="27" width="13.6640625" style="25" customWidth="1"/>
    <col min="28" max="28" width="13.44140625" style="25" customWidth="1"/>
    <col min="29" max="36" width="13.6640625" style="25" customWidth="1"/>
    <col min="37" max="37" width="13.44140625" style="25" customWidth="1"/>
    <col min="38" max="58" width="13.6640625" style="25" customWidth="1"/>
    <col min="59" max="59" width="13.5546875" style="25" customWidth="1"/>
    <col min="60" max="61" width="13.44140625" style="25" customWidth="1"/>
    <col min="62" max="62" width="13.5546875" style="25" customWidth="1"/>
    <col min="63" max="64" width="13.44140625" style="25" customWidth="1"/>
    <col min="65" max="72" width="13.6640625" style="25" customWidth="1"/>
    <col min="73" max="73" width="13.44140625" style="25" customWidth="1"/>
    <col min="74" max="74" width="10.109375" style="25" customWidth="1"/>
    <col min="75" max="75" width="3.5546875" style="25" customWidth="1"/>
    <col min="76" max="81" width="13.6640625" style="25" customWidth="1"/>
    <col min="82" max="82" width="17" style="25" customWidth="1"/>
    <col min="83" max="86" width="13.6640625" style="25" customWidth="1"/>
    <col min="87" max="88" width="13.44140625" style="25" customWidth="1"/>
    <col min="89" max="89" width="13.5546875" style="25" customWidth="1"/>
    <col min="90" max="90" width="13.44140625" style="25" customWidth="1"/>
    <col min="91" max="94" width="13.6640625" style="25" customWidth="1"/>
    <col min="95" max="95" width="13.5546875" style="25" customWidth="1"/>
    <col min="96" max="96" width="13.44140625" style="25" customWidth="1"/>
    <col min="97" max="97" width="0" style="25" hidden="1" customWidth="1"/>
    <col min="98" max="98" width="13.21875" style="25" bestFit="1" customWidth="1"/>
    <col min="99" max="16384" width="8.88671875" style="25"/>
  </cols>
  <sheetData>
    <row r="1" spans="1:98" ht="31.2" customHeight="1">
      <c r="A1" s="336" t="s">
        <v>459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7"/>
      <c r="AB1" s="337"/>
      <c r="AC1" s="337"/>
      <c r="AD1" s="337"/>
      <c r="AE1" s="337"/>
      <c r="AF1" s="337"/>
      <c r="AG1" s="337"/>
      <c r="AH1" s="337"/>
      <c r="AI1" s="337"/>
      <c r="AJ1" s="337"/>
      <c r="AK1" s="337"/>
      <c r="AL1" s="337"/>
      <c r="AM1" s="337"/>
      <c r="AN1" s="337"/>
      <c r="AO1" s="337"/>
      <c r="AP1" s="337"/>
      <c r="AQ1" s="337"/>
      <c r="AR1" s="337"/>
      <c r="AS1" s="337"/>
      <c r="AT1" s="337"/>
      <c r="AU1" s="337"/>
      <c r="AV1" s="337"/>
      <c r="AW1" s="337"/>
      <c r="AX1" s="337"/>
      <c r="AY1" s="337"/>
      <c r="AZ1" s="337"/>
      <c r="BA1" s="337"/>
      <c r="BB1" s="337"/>
      <c r="BC1" s="337"/>
      <c r="BD1" s="337"/>
      <c r="BE1" s="337"/>
      <c r="BF1" s="337"/>
      <c r="BG1" s="337"/>
      <c r="BH1" s="337"/>
      <c r="BI1" s="337"/>
      <c r="BJ1" s="337"/>
      <c r="BK1" s="337"/>
      <c r="BL1" s="337"/>
      <c r="BM1" s="337"/>
      <c r="BN1" s="337"/>
      <c r="BO1" s="337"/>
      <c r="BP1" s="337"/>
      <c r="BQ1" s="337"/>
      <c r="BR1" s="337"/>
      <c r="BS1" s="337"/>
      <c r="BT1" s="337"/>
      <c r="BU1" s="337"/>
      <c r="BV1" s="337"/>
    </row>
    <row r="2" spans="1:98" ht="4.5" customHeight="1"/>
    <row r="3" spans="1:98" ht="15.6">
      <c r="A3" s="225" t="s">
        <v>391</v>
      </c>
      <c r="B3" s="225" t="s">
        <v>392</v>
      </c>
      <c r="C3" s="225" t="s">
        <v>114</v>
      </c>
      <c r="D3" s="225" t="s">
        <v>393</v>
      </c>
      <c r="E3" s="225" t="s">
        <v>394</v>
      </c>
      <c r="F3" s="225" t="s">
        <v>395</v>
      </c>
      <c r="G3" s="225" t="s">
        <v>396</v>
      </c>
      <c r="H3" s="225" t="s">
        <v>397</v>
      </c>
      <c r="I3" s="225" t="s">
        <v>398</v>
      </c>
      <c r="J3" s="225" t="s">
        <v>399</v>
      </c>
      <c r="K3" s="225" t="s">
        <v>400</v>
      </c>
      <c r="L3" s="225" t="s">
        <v>401</v>
      </c>
      <c r="M3" s="225" t="s">
        <v>402</v>
      </c>
      <c r="N3" s="225" t="s">
        <v>403</v>
      </c>
      <c r="O3" s="225" t="s">
        <v>404</v>
      </c>
      <c r="P3" s="225" t="s">
        <v>405</v>
      </c>
      <c r="Q3" s="225" t="s">
        <v>273</v>
      </c>
      <c r="R3" s="225" t="s">
        <v>274</v>
      </c>
      <c r="S3" s="225" t="s">
        <v>275</v>
      </c>
      <c r="T3" s="225" t="s">
        <v>179</v>
      </c>
      <c r="U3" s="225" t="s">
        <v>180</v>
      </c>
      <c r="V3" s="225" t="s">
        <v>181</v>
      </c>
      <c r="W3" s="225" t="s">
        <v>182</v>
      </c>
      <c r="X3" s="225" t="s">
        <v>183</v>
      </c>
      <c r="Y3" s="225" t="s">
        <v>184</v>
      </c>
      <c r="Z3" s="225" t="s">
        <v>185</v>
      </c>
      <c r="AA3" s="225" t="s">
        <v>406</v>
      </c>
      <c r="AB3" s="225" t="s">
        <v>407</v>
      </c>
      <c r="AC3" s="225" t="s">
        <v>186</v>
      </c>
      <c r="AD3" s="225" t="s">
        <v>187</v>
      </c>
      <c r="AE3" s="225" t="s">
        <v>188</v>
      </c>
      <c r="AF3" s="225" t="s">
        <v>189</v>
      </c>
      <c r="AG3" s="225" t="s">
        <v>190</v>
      </c>
      <c r="AH3" s="225" t="s">
        <v>191</v>
      </c>
      <c r="AI3" s="225" t="s">
        <v>192</v>
      </c>
      <c r="AJ3" s="225" t="s">
        <v>193</v>
      </c>
      <c r="AK3" s="225" t="s">
        <v>387</v>
      </c>
      <c r="AL3" s="225" t="s">
        <v>388</v>
      </c>
      <c r="AM3" s="225" t="s">
        <v>194</v>
      </c>
      <c r="AN3" s="225" t="s">
        <v>195</v>
      </c>
      <c r="AO3" s="225" t="s">
        <v>196</v>
      </c>
      <c r="AP3" s="225" t="s">
        <v>197</v>
      </c>
      <c r="AQ3" s="225" t="s">
        <v>198</v>
      </c>
      <c r="AR3" s="225" t="s">
        <v>199</v>
      </c>
      <c r="AS3" s="225" t="s">
        <v>200</v>
      </c>
      <c r="AT3" s="225" t="s">
        <v>201</v>
      </c>
      <c r="AU3" s="225" t="s">
        <v>202</v>
      </c>
      <c r="AV3" s="225" t="s">
        <v>203</v>
      </c>
      <c r="AW3" s="225" t="s">
        <v>204</v>
      </c>
      <c r="AX3" s="225" t="s">
        <v>205</v>
      </c>
      <c r="AY3" s="225" t="s">
        <v>206</v>
      </c>
      <c r="AZ3" s="225" t="s">
        <v>207</v>
      </c>
      <c r="BA3" s="225" t="s">
        <v>208</v>
      </c>
      <c r="BB3" s="225" t="s">
        <v>209</v>
      </c>
      <c r="BC3" s="225" t="s">
        <v>210</v>
      </c>
      <c r="BD3" s="225" t="s">
        <v>211</v>
      </c>
      <c r="BE3" s="225" t="s">
        <v>212</v>
      </c>
      <c r="BF3" s="225" t="s">
        <v>460</v>
      </c>
      <c r="BG3" s="225" t="s">
        <v>461</v>
      </c>
      <c r="BH3" s="225" t="s">
        <v>462</v>
      </c>
      <c r="BI3" s="225" t="s">
        <v>463</v>
      </c>
      <c r="BJ3" s="225" t="s">
        <v>464</v>
      </c>
      <c r="BK3" s="225" t="s">
        <v>465</v>
      </c>
      <c r="BL3" s="225" t="s">
        <v>466</v>
      </c>
      <c r="BM3" s="225" t="s">
        <v>213</v>
      </c>
      <c r="BN3" s="225" t="s">
        <v>214</v>
      </c>
      <c r="BO3" s="225" t="s">
        <v>215</v>
      </c>
      <c r="BP3" s="225" t="s">
        <v>216</v>
      </c>
      <c r="BQ3" s="225" t="s">
        <v>217</v>
      </c>
      <c r="BR3" s="225" t="s">
        <v>218</v>
      </c>
      <c r="BS3" s="225" t="s">
        <v>219</v>
      </c>
      <c r="BT3" s="225" t="s">
        <v>408</v>
      </c>
      <c r="BU3" s="225" t="s">
        <v>409</v>
      </c>
      <c r="BV3" s="338" t="s">
        <v>220</v>
      </c>
      <c r="BW3" s="335"/>
      <c r="BX3" s="225" t="s">
        <v>221</v>
      </c>
      <c r="BY3" s="225" t="s">
        <v>222</v>
      </c>
      <c r="BZ3" s="225" t="s">
        <v>223</v>
      </c>
      <c r="CA3" s="225" t="s">
        <v>276</v>
      </c>
      <c r="CB3" s="225" t="s">
        <v>277</v>
      </c>
      <c r="CC3" s="225" t="s">
        <v>410</v>
      </c>
      <c r="CD3" s="225" t="s">
        <v>411</v>
      </c>
      <c r="CE3" s="225" t="s">
        <v>278</v>
      </c>
      <c r="CF3" s="225" t="s">
        <v>279</v>
      </c>
      <c r="CG3" s="225" t="s">
        <v>280</v>
      </c>
      <c r="CH3" s="225" t="s">
        <v>467</v>
      </c>
      <c r="CI3" s="225" t="s">
        <v>468</v>
      </c>
      <c r="CJ3" s="225" t="s">
        <v>469</v>
      </c>
      <c r="CK3" s="225" t="s">
        <v>470</v>
      </c>
      <c r="CL3" s="225" t="s">
        <v>471</v>
      </c>
      <c r="CM3" s="225" t="s">
        <v>412</v>
      </c>
      <c r="CN3" s="225" t="s">
        <v>413</v>
      </c>
      <c r="CO3" s="225" t="s">
        <v>414</v>
      </c>
      <c r="CP3" s="225" t="s">
        <v>415</v>
      </c>
      <c r="CQ3" s="225" t="s">
        <v>416</v>
      </c>
      <c r="CR3" s="225" t="s">
        <v>417</v>
      </c>
    </row>
    <row r="4" spans="1:98" ht="15">
      <c r="A4" s="226">
        <v>302</v>
      </c>
      <c r="B4" s="226">
        <v>1000</v>
      </c>
      <c r="C4" s="226" t="s">
        <v>27</v>
      </c>
      <c r="D4" s="226" t="s">
        <v>418</v>
      </c>
      <c r="E4" s="226" t="s">
        <v>419</v>
      </c>
      <c r="F4" s="226" t="s">
        <v>420</v>
      </c>
      <c r="G4" s="226">
        <v>0</v>
      </c>
      <c r="H4" s="226">
        <v>0</v>
      </c>
      <c r="I4" s="226" t="s">
        <v>472</v>
      </c>
      <c r="J4" s="226" t="s">
        <v>473</v>
      </c>
      <c r="K4" s="226" t="s">
        <v>421</v>
      </c>
      <c r="L4" s="226" t="s">
        <v>422</v>
      </c>
      <c r="M4" s="226" t="s">
        <v>421</v>
      </c>
      <c r="N4" s="226" t="s">
        <v>423</v>
      </c>
      <c r="O4" s="226" t="s">
        <v>171</v>
      </c>
      <c r="P4" s="226" t="s">
        <v>171</v>
      </c>
      <c r="Q4" s="227">
        <v>-253268.6</v>
      </c>
      <c r="R4" s="227">
        <v>-22847.22</v>
      </c>
      <c r="S4" s="227">
        <v>61016.51</v>
      </c>
      <c r="T4" s="227">
        <v>2199395.85</v>
      </c>
      <c r="U4" s="227">
        <v>0</v>
      </c>
      <c r="V4" s="227">
        <v>119135.67</v>
      </c>
      <c r="W4" s="227">
        <v>0</v>
      </c>
      <c r="X4" s="227">
        <v>0</v>
      </c>
      <c r="Y4" s="227">
        <v>0</v>
      </c>
      <c r="Z4" s="227">
        <v>32416.28</v>
      </c>
      <c r="AA4" s="227">
        <v>21000</v>
      </c>
      <c r="AB4" s="227">
        <v>5636.56</v>
      </c>
      <c r="AC4" s="227">
        <v>0</v>
      </c>
      <c r="AD4" s="227">
        <v>0</v>
      </c>
      <c r="AE4" s="227">
        <v>0</v>
      </c>
      <c r="AF4" s="227">
        <v>538730.18999999994</v>
      </c>
      <c r="AG4" s="227">
        <v>14770.53</v>
      </c>
      <c r="AH4" s="227">
        <v>0</v>
      </c>
      <c r="AI4" s="227">
        <v>164223.42000000001</v>
      </c>
      <c r="AJ4" s="227">
        <v>1360</v>
      </c>
      <c r="AK4" s="227">
        <v>0</v>
      </c>
      <c r="AL4" s="227">
        <v>0</v>
      </c>
      <c r="AM4" s="227">
        <v>434519.32</v>
      </c>
      <c r="AN4" s="227">
        <v>2262.8200000000002</v>
      </c>
      <c r="AO4" s="227">
        <v>1477295.71</v>
      </c>
      <c r="AP4" s="227">
        <v>70848.679999999993</v>
      </c>
      <c r="AQ4" s="227">
        <v>124863.63</v>
      </c>
      <c r="AR4" s="227">
        <v>0</v>
      </c>
      <c r="AS4" s="227">
        <v>72557.78</v>
      </c>
      <c r="AT4" s="227">
        <v>13594.31</v>
      </c>
      <c r="AU4" s="227">
        <v>4009.04</v>
      </c>
      <c r="AV4" s="227">
        <v>0</v>
      </c>
      <c r="AW4" s="227">
        <v>0</v>
      </c>
      <c r="AX4" s="227">
        <v>34165.040000000001</v>
      </c>
      <c r="AY4" s="227">
        <v>4755</v>
      </c>
      <c r="AZ4" s="227">
        <v>4920.3100000000004</v>
      </c>
      <c r="BA4" s="227">
        <v>4047.18</v>
      </c>
      <c r="BB4" s="227">
        <v>27556.61</v>
      </c>
      <c r="BC4" s="227">
        <v>98201.34</v>
      </c>
      <c r="BD4" s="227">
        <v>18586.48</v>
      </c>
      <c r="BE4" s="227">
        <v>45912.83</v>
      </c>
      <c r="BF4" s="227">
        <v>12968.5</v>
      </c>
      <c r="BG4" s="226">
        <v>0</v>
      </c>
      <c r="BH4" s="226">
        <v>0</v>
      </c>
      <c r="BI4" s="226">
        <v>23049.29</v>
      </c>
      <c r="BJ4" s="226">
        <v>0</v>
      </c>
      <c r="BK4" s="226">
        <v>16.32</v>
      </c>
      <c r="BL4" s="226">
        <v>6239.97</v>
      </c>
      <c r="BM4" s="227">
        <v>0</v>
      </c>
      <c r="BN4" s="227">
        <v>18480.580000000002</v>
      </c>
      <c r="BO4" s="227">
        <v>9775</v>
      </c>
      <c r="BP4" s="227">
        <v>649.94000000000005</v>
      </c>
      <c r="BQ4" s="227">
        <v>7531.89</v>
      </c>
      <c r="BR4" s="227">
        <v>0</v>
      </c>
      <c r="BS4" s="227">
        <v>8980</v>
      </c>
      <c r="BT4" s="227">
        <v>45048.91</v>
      </c>
      <c r="BU4" s="227">
        <v>0</v>
      </c>
      <c r="BV4" s="334">
        <v>0</v>
      </c>
      <c r="BW4" s="335"/>
      <c r="BX4" s="227">
        <v>0</v>
      </c>
      <c r="BY4" s="227">
        <v>146349.96</v>
      </c>
      <c r="BZ4" s="227">
        <v>23993.24</v>
      </c>
      <c r="CA4" s="227">
        <v>14561.63</v>
      </c>
      <c r="CB4" s="227">
        <v>0</v>
      </c>
      <c r="CC4" s="227">
        <v>0</v>
      </c>
      <c r="CD4" s="227">
        <v>6000</v>
      </c>
      <c r="CE4" s="227">
        <v>0</v>
      </c>
      <c r="CF4" s="227">
        <v>14475.14</v>
      </c>
      <c r="CG4" s="227">
        <v>0</v>
      </c>
      <c r="CH4" s="227">
        <v>0</v>
      </c>
      <c r="CI4" s="226">
        <v>0</v>
      </c>
      <c r="CJ4" s="226">
        <v>0</v>
      </c>
      <c r="CK4" s="226">
        <v>0</v>
      </c>
      <c r="CL4" s="226">
        <v>0</v>
      </c>
      <c r="CM4" s="227">
        <v>0</v>
      </c>
      <c r="CN4" s="227">
        <v>106980</v>
      </c>
      <c r="CO4" s="227">
        <v>61103</v>
      </c>
      <c r="CP4" s="227">
        <v>0</v>
      </c>
      <c r="CQ4" s="227">
        <v>-27607</v>
      </c>
      <c r="CR4" s="227">
        <v>0</v>
      </c>
      <c r="CT4" s="229">
        <f>CM4+CN4+CQ4</f>
        <v>79373</v>
      </c>
    </row>
    <row r="5" spans="1:98" ht="15">
      <c r="A5" s="226">
        <v>302</v>
      </c>
      <c r="B5" s="226">
        <v>1002</v>
      </c>
      <c r="C5" s="226" t="s">
        <v>29</v>
      </c>
      <c r="D5" s="226" t="s">
        <v>424</v>
      </c>
      <c r="E5" s="226"/>
      <c r="F5" s="226" t="s">
        <v>420</v>
      </c>
      <c r="G5" s="226">
        <v>0</v>
      </c>
      <c r="H5" s="226">
        <v>1</v>
      </c>
      <c r="I5" s="226" t="s">
        <v>472</v>
      </c>
      <c r="J5" s="226" t="s">
        <v>473</v>
      </c>
      <c r="K5" s="226" t="s">
        <v>421</v>
      </c>
      <c r="L5" s="226" t="s">
        <v>422</v>
      </c>
      <c r="M5" s="226" t="s">
        <v>421</v>
      </c>
      <c r="N5" s="226" t="s">
        <v>423</v>
      </c>
      <c r="O5" s="226" t="s">
        <v>421</v>
      </c>
      <c r="P5" s="226" t="s">
        <v>171</v>
      </c>
      <c r="Q5" s="227">
        <v>-122472.49</v>
      </c>
      <c r="R5" s="227">
        <v>0</v>
      </c>
      <c r="S5" s="227">
        <v>32253.5</v>
      </c>
      <c r="T5" s="227">
        <v>696417.25</v>
      </c>
      <c r="U5" s="227">
        <v>0</v>
      </c>
      <c r="V5" s="227">
        <v>13746.5</v>
      </c>
      <c r="W5" s="227">
        <v>0</v>
      </c>
      <c r="X5" s="227">
        <v>0</v>
      </c>
      <c r="Y5" s="227">
        <v>0</v>
      </c>
      <c r="Z5" s="227">
        <v>1180.5999999999999</v>
      </c>
      <c r="AA5" s="227">
        <v>0</v>
      </c>
      <c r="AB5" s="227">
        <v>0</v>
      </c>
      <c r="AC5" s="227">
        <v>22764.880000000001</v>
      </c>
      <c r="AD5" s="227">
        <v>0</v>
      </c>
      <c r="AE5" s="227">
        <v>0</v>
      </c>
      <c r="AF5" s="227">
        <v>380901.06</v>
      </c>
      <c r="AG5" s="227">
        <v>6910.69</v>
      </c>
      <c r="AH5" s="227">
        <v>0</v>
      </c>
      <c r="AI5" s="227">
        <v>0</v>
      </c>
      <c r="AJ5" s="227">
        <v>0</v>
      </c>
      <c r="AK5" s="227">
        <v>0</v>
      </c>
      <c r="AL5" s="227">
        <v>0</v>
      </c>
      <c r="AM5" s="227">
        <v>241185.45</v>
      </c>
      <c r="AN5" s="227">
        <v>0</v>
      </c>
      <c r="AO5" s="227">
        <v>399103.52</v>
      </c>
      <c r="AP5" s="227">
        <v>41769.14</v>
      </c>
      <c r="AQ5" s="227">
        <v>77964.820000000007</v>
      </c>
      <c r="AR5" s="227">
        <v>0</v>
      </c>
      <c r="AS5" s="227">
        <v>64135.08</v>
      </c>
      <c r="AT5" s="227">
        <v>8519.68</v>
      </c>
      <c r="AU5" s="227">
        <v>3821.94</v>
      </c>
      <c r="AV5" s="227">
        <v>0</v>
      </c>
      <c r="AW5" s="227">
        <v>0</v>
      </c>
      <c r="AX5" s="227">
        <v>13762.67</v>
      </c>
      <c r="AY5" s="227">
        <v>12980.09</v>
      </c>
      <c r="AZ5" s="227">
        <v>11067.91</v>
      </c>
      <c r="BA5" s="227">
        <v>1260.4100000000001</v>
      </c>
      <c r="BB5" s="227">
        <v>19325.330000000002</v>
      </c>
      <c r="BC5" s="227">
        <v>0</v>
      </c>
      <c r="BD5" s="227">
        <v>5684.09</v>
      </c>
      <c r="BE5" s="227">
        <v>13795.1</v>
      </c>
      <c r="BF5" s="227">
        <v>3470</v>
      </c>
      <c r="BG5" s="226">
        <v>0</v>
      </c>
      <c r="BH5" s="226">
        <v>75</v>
      </c>
      <c r="BI5" s="226">
        <v>4589</v>
      </c>
      <c r="BJ5" s="226">
        <v>611</v>
      </c>
      <c r="BK5" s="226">
        <v>280</v>
      </c>
      <c r="BL5" s="226">
        <v>1155</v>
      </c>
      <c r="BM5" s="227">
        <v>0</v>
      </c>
      <c r="BN5" s="227">
        <v>5741.27</v>
      </c>
      <c r="BO5" s="227">
        <v>2250</v>
      </c>
      <c r="BP5" s="227">
        <v>3574.07</v>
      </c>
      <c r="BQ5" s="227">
        <v>22764.880000000001</v>
      </c>
      <c r="BR5" s="227">
        <v>14311.58</v>
      </c>
      <c r="BS5" s="227">
        <v>36739.089999999997</v>
      </c>
      <c r="BT5" s="227">
        <v>10545.37</v>
      </c>
      <c r="BU5" s="227">
        <v>0</v>
      </c>
      <c r="BV5" s="334">
        <v>0</v>
      </c>
      <c r="BW5" s="335"/>
      <c r="BX5" s="227">
        <v>0</v>
      </c>
      <c r="BY5" s="227">
        <v>0</v>
      </c>
      <c r="BZ5" s="227">
        <v>0</v>
      </c>
      <c r="CA5" s="227">
        <v>4648</v>
      </c>
      <c r="CB5" s="227">
        <v>0</v>
      </c>
      <c r="CC5" s="227">
        <v>0</v>
      </c>
      <c r="CD5" s="227">
        <v>6000</v>
      </c>
      <c r="CE5" s="227">
        <v>0</v>
      </c>
      <c r="CF5" s="227">
        <v>30298.5</v>
      </c>
      <c r="CG5" s="227">
        <v>0</v>
      </c>
      <c r="CH5" s="227">
        <v>0</v>
      </c>
      <c r="CI5" s="226">
        <v>0</v>
      </c>
      <c r="CJ5" s="226">
        <v>0</v>
      </c>
      <c r="CK5" s="226">
        <v>0</v>
      </c>
      <c r="CL5" s="226">
        <v>0</v>
      </c>
      <c r="CM5" s="227">
        <v>0</v>
      </c>
      <c r="CN5" s="227">
        <v>-21033</v>
      </c>
      <c r="CO5" s="227">
        <v>6603</v>
      </c>
      <c r="CP5" s="227">
        <v>0</v>
      </c>
      <c r="CQ5" s="227">
        <v>0</v>
      </c>
      <c r="CR5" s="227">
        <v>0</v>
      </c>
      <c r="CT5" s="229">
        <f t="shared" ref="CT5:CT68" si="0">CM5+CN5+CQ5</f>
        <v>-21033</v>
      </c>
    </row>
    <row r="6" spans="1:98" ht="15">
      <c r="A6" s="226">
        <v>302</v>
      </c>
      <c r="B6" s="226">
        <v>1100</v>
      </c>
      <c r="C6" s="226" t="s">
        <v>292</v>
      </c>
      <c r="D6" s="226" t="s">
        <v>424</v>
      </c>
      <c r="E6" s="226"/>
      <c r="F6" s="226" t="s">
        <v>420</v>
      </c>
      <c r="G6" s="226">
        <v>0</v>
      </c>
      <c r="H6" s="226">
        <v>2</v>
      </c>
      <c r="I6" s="226" t="s">
        <v>472</v>
      </c>
      <c r="J6" s="226" t="s">
        <v>473</v>
      </c>
      <c r="K6" s="226" t="s">
        <v>421</v>
      </c>
      <c r="L6" s="226" t="s">
        <v>422</v>
      </c>
      <c r="M6" s="226" t="s">
        <v>421</v>
      </c>
      <c r="N6" s="226" t="s">
        <v>423</v>
      </c>
      <c r="O6" s="226" t="s">
        <v>421</v>
      </c>
      <c r="P6" s="226" t="s">
        <v>171</v>
      </c>
      <c r="Q6" s="227">
        <v>442196.94</v>
      </c>
      <c r="R6" s="227">
        <v>0</v>
      </c>
      <c r="S6" s="227">
        <v>50303.06</v>
      </c>
      <c r="T6" s="227">
        <v>2114714.52</v>
      </c>
      <c r="U6" s="227">
        <v>0</v>
      </c>
      <c r="V6" s="227">
        <v>1102580.1100000001</v>
      </c>
      <c r="W6" s="227">
        <v>0</v>
      </c>
      <c r="X6" s="227">
        <v>28815</v>
      </c>
      <c r="Y6" s="227">
        <v>0</v>
      </c>
      <c r="Z6" s="227">
        <v>90378.02</v>
      </c>
      <c r="AA6" s="227">
        <v>49950</v>
      </c>
      <c r="AB6" s="227">
        <v>243844.12</v>
      </c>
      <c r="AC6" s="227">
        <v>2156.34</v>
      </c>
      <c r="AD6" s="227">
        <v>0</v>
      </c>
      <c r="AE6" s="227">
        <v>0</v>
      </c>
      <c r="AF6" s="227">
        <v>1147.5</v>
      </c>
      <c r="AG6" s="227">
        <v>5454</v>
      </c>
      <c r="AH6" s="227">
        <v>0</v>
      </c>
      <c r="AI6" s="227">
        <v>0</v>
      </c>
      <c r="AJ6" s="227">
        <v>0</v>
      </c>
      <c r="AK6" s="227">
        <v>0</v>
      </c>
      <c r="AL6" s="227">
        <v>10489.56</v>
      </c>
      <c r="AM6" s="227">
        <v>1964056.15</v>
      </c>
      <c r="AN6" s="227">
        <v>147061.81</v>
      </c>
      <c r="AO6" s="227">
        <v>497872.04</v>
      </c>
      <c r="AP6" s="227">
        <v>50994.21</v>
      </c>
      <c r="AQ6" s="227">
        <v>206704.84</v>
      </c>
      <c r="AR6" s="227">
        <v>0</v>
      </c>
      <c r="AS6" s="227">
        <v>0</v>
      </c>
      <c r="AT6" s="227">
        <v>23746.53</v>
      </c>
      <c r="AU6" s="227">
        <v>49073.440000000002</v>
      </c>
      <c r="AV6" s="227">
        <v>0</v>
      </c>
      <c r="AW6" s="227">
        <v>0</v>
      </c>
      <c r="AX6" s="227">
        <v>4286.59</v>
      </c>
      <c r="AY6" s="227">
        <v>2410</v>
      </c>
      <c r="AZ6" s="227">
        <v>36799</v>
      </c>
      <c r="BA6" s="227">
        <v>1147.26</v>
      </c>
      <c r="BB6" s="227">
        <v>53541.61</v>
      </c>
      <c r="BC6" s="227">
        <v>0</v>
      </c>
      <c r="BD6" s="227">
        <v>11841.18</v>
      </c>
      <c r="BE6" s="227">
        <v>48582.26</v>
      </c>
      <c r="BF6" s="227">
        <v>31864.57</v>
      </c>
      <c r="BG6" s="226">
        <v>0</v>
      </c>
      <c r="BH6" s="226">
        <v>0</v>
      </c>
      <c r="BI6" s="226">
        <v>0</v>
      </c>
      <c r="BJ6" s="226">
        <v>0</v>
      </c>
      <c r="BK6" s="226">
        <v>0</v>
      </c>
      <c r="BL6" s="226">
        <v>0</v>
      </c>
      <c r="BM6" s="227">
        <v>12406.5</v>
      </c>
      <c r="BN6" s="227">
        <v>26781.24</v>
      </c>
      <c r="BO6" s="227">
        <v>7000</v>
      </c>
      <c r="BP6" s="227">
        <v>2966.95</v>
      </c>
      <c r="BQ6" s="227">
        <v>26069.69</v>
      </c>
      <c r="BR6" s="227">
        <v>158949.67000000001</v>
      </c>
      <c r="BS6" s="227">
        <v>167885.98</v>
      </c>
      <c r="BT6" s="227">
        <v>55836.59</v>
      </c>
      <c r="BU6" s="227">
        <v>0</v>
      </c>
      <c r="BV6" s="334">
        <v>0</v>
      </c>
      <c r="BW6" s="335"/>
      <c r="BX6" s="227">
        <v>0</v>
      </c>
      <c r="BY6" s="227">
        <v>0</v>
      </c>
      <c r="BZ6" s="227">
        <v>0</v>
      </c>
      <c r="CA6" s="227">
        <v>7855.94</v>
      </c>
      <c r="CB6" s="227">
        <v>0</v>
      </c>
      <c r="CC6" s="227">
        <v>0</v>
      </c>
      <c r="CD6" s="227">
        <v>6000</v>
      </c>
      <c r="CE6" s="227">
        <v>0</v>
      </c>
      <c r="CF6" s="227">
        <v>32221.38</v>
      </c>
      <c r="CG6" s="227">
        <v>0</v>
      </c>
      <c r="CH6" s="227">
        <v>0</v>
      </c>
      <c r="CI6" s="226">
        <v>0</v>
      </c>
      <c r="CJ6" s="226">
        <v>0</v>
      </c>
      <c r="CK6" s="226">
        <v>0</v>
      </c>
      <c r="CL6" s="226">
        <v>0</v>
      </c>
      <c r="CM6" s="227">
        <v>0</v>
      </c>
      <c r="CN6" s="227">
        <v>503848</v>
      </c>
      <c r="CO6" s="227">
        <v>25937.62</v>
      </c>
      <c r="CP6" s="227">
        <v>0</v>
      </c>
      <c r="CQ6" s="227">
        <v>0</v>
      </c>
      <c r="CR6" s="227">
        <v>0</v>
      </c>
      <c r="CT6" s="229">
        <f t="shared" si="0"/>
        <v>503848</v>
      </c>
    </row>
    <row r="7" spans="1:98" ht="15">
      <c r="A7" s="226">
        <v>302</v>
      </c>
      <c r="B7" s="226">
        <v>1102</v>
      </c>
      <c r="C7" s="226" t="s">
        <v>305</v>
      </c>
      <c r="D7" s="226" t="s">
        <v>424</v>
      </c>
      <c r="E7" s="226"/>
      <c r="F7" s="226" t="s">
        <v>420</v>
      </c>
      <c r="G7" s="226">
        <v>0</v>
      </c>
      <c r="H7" s="226">
        <v>3</v>
      </c>
      <c r="I7" s="226" t="s">
        <v>472</v>
      </c>
      <c r="J7" s="226" t="s">
        <v>473</v>
      </c>
      <c r="K7" s="226" t="s">
        <v>421</v>
      </c>
      <c r="L7" s="226" t="s">
        <v>422</v>
      </c>
      <c r="M7" s="226" t="s">
        <v>421</v>
      </c>
      <c r="N7" s="226" t="s">
        <v>423</v>
      </c>
      <c r="O7" s="226" t="s">
        <v>421</v>
      </c>
      <c r="P7" s="226" t="s">
        <v>171</v>
      </c>
      <c r="Q7" s="227">
        <v>-37777.82</v>
      </c>
      <c r="R7" s="227">
        <v>0</v>
      </c>
      <c r="S7" s="227">
        <v>21514.75</v>
      </c>
      <c r="T7" s="227">
        <v>564937.07999999996</v>
      </c>
      <c r="U7" s="227">
        <v>0</v>
      </c>
      <c r="V7" s="227">
        <v>36747.68</v>
      </c>
      <c r="W7" s="227">
        <v>0</v>
      </c>
      <c r="X7" s="227">
        <v>6895</v>
      </c>
      <c r="Y7" s="227">
        <v>0</v>
      </c>
      <c r="Z7" s="227">
        <v>49081.59</v>
      </c>
      <c r="AA7" s="227">
        <v>342360.7</v>
      </c>
      <c r="AB7" s="227">
        <v>36119</v>
      </c>
      <c r="AC7" s="227">
        <v>0</v>
      </c>
      <c r="AD7" s="227">
        <v>0</v>
      </c>
      <c r="AE7" s="227">
        <v>0</v>
      </c>
      <c r="AF7" s="227">
        <v>165</v>
      </c>
      <c r="AG7" s="227">
        <v>0</v>
      </c>
      <c r="AH7" s="227">
        <v>0</v>
      </c>
      <c r="AI7" s="227">
        <v>0</v>
      </c>
      <c r="AJ7" s="227">
        <v>0</v>
      </c>
      <c r="AK7" s="227">
        <v>3514.06</v>
      </c>
      <c r="AL7" s="227">
        <v>0</v>
      </c>
      <c r="AM7" s="227">
        <v>608047.92000000004</v>
      </c>
      <c r="AN7" s="227">
        <v>0</v>
      </c>
      <c r="AO7" s="227">
        <v>45727.87</v>
      </c>
      <c r="AP7" s="227">
        <v>0</v>
      </c>
      <c r="AQ7" s="227">
        <v>30266.04</v>
      </c>
      <c r="AR7" s="227">
        <v>0</v>
      </c>
      <c r="AS7" s="227">
        <v>6647.83</v>
      </c>
      <c r="AT7" s="227">
        <v>2983.56</v>
      </c>
      <c r="AU7" s="227">
        <v>1686.63</v>
      </c>
      <c r="AV7" s="227">
        <v>0</v>
      </c>
      <c r="AW7" s="227">
        <v>0</v>
      </c>
      <c r="AX7" s="227">
        <v>1185.97</v>
      </c>
      <c r="AY7" s="227">
        <v>0</v>
      </c>
      <c r="AZ7" s="227">
        <v>28.95</v>
      </c>
      <c r="BA7" s="227">
        <v>0</v>
      </c>
      <c r="BB7" s="227">
        <v>0</v>
      </c>
      <c r="BC7" s="227">
        <v>0</v>
      </c>
      <c r="BD7" s="227">
        <v>356790.96</v>
      </c>
      <c r="BE7" s="227">
        <v>6953.55</v>
      </c>
      <c r="BF7" s="227">
        <v>5514.11</v>
      </c>
      <c r="BG7" s="226">
        <v>0</v>
      </c>
      <c r="BH7" s="226">
        <v>1297.6400000000001</v>
      </c>
      <c r="BI7" s="226">
        <v>8380.56</v>
      </c>
      <c r="BJ7" s="226">
        <v>0</v>
      </c>
      <c r="BK7" s="226">
        <v>0</v>
      </c>
      <c r="BL7" s="226">
        <v>7530.27</v>
      </c>
      <c r="BM7" s="227">
        <v>6030.42</v>
      </c>
      <c r="BN7" s="227">
        <v>8629.77</v>
      </c>
      <c r="BO7" s="227">
        <v>61.82</v>
      </c>
      <c r="BP7" s="227">
        <v>243.28</v>
      </c>
      <c r="BQ7" s="227">
        <v>632.99</v>
      </c>
      <c r="BR7" s="227">
        <v>1290.0999999999999</v>
      </c>
      <c r="BS7" s="227">
        <v>25017.47</v>
      </c>
      <c r="BT7" s="227">
        <v>24737.97</v>
      </c>
      <c r="BU7" s="227">
        <v>0</v>
      </c>
      <c r="BV7" s="334">
        <v>0</v>
      </c>
      <c r="BW7" s="335"/>
      <c r="BX7" s="227">
        <v>0</v>
      </c>
      <c r="BY7" s="227">
        <v>0</v>
      </c>
      <c r="BZ7" s="227">
        <v>0</v>
      </c>
      <c r="CA7" s="227">
        <v>4801.5600000000004</v>
      </c>
      <c r="CB7" s="227">
        <v>0</v>
      </c>
      <c r="CC7" s="227">
        <v>0</v>
      </c>
      <c r="CD7" s="227">
        <v>6000</v>
      </c>
      <c r="CE7" s="227">
        <v>0</v>
      </c>
      <c r="CF7" s="227">
        <v>0</v>
      </c>
      <c r="CG7" s="227">
        <v>435.81</v>
      </c>
      <c r="CH7" s="227">
        <v>0</v>
      </c>
      <c r="CI7" s="226">
        <v>0</v>
      </c>
      <c r="CJ7" s="226">
        <v>0</v>
      </c>
      <c r="CK7" s="226">
        <v>2263.9299999999998</v>
      </c>
      <c r="CL7" s="226">
        <v>634.96</v>
      </c>
      <c r="CM7" s="227">
        <v>0</v>
      </c>
      <c r="CN7" s="227">
        <v>-147643.39000000001</v>
      </c>
      <c r="CO7" s="227">
        <v>22981.61</v>
      </c>
      <c r="CP7" s="227">
        <v>0</v>
      </c>
      <c r="CQ7" s="227">
        <v>0</v>
      </c>
      <c r="CR7" s="227">
        <v>0</v>
      </c>
      <c r="CT7" s="229">
        <f t="shared" si="0"/>
        <v>-147643.39000000001</v>
      </c>
    </row>
    <row r="8" spans="1:98" ht="15">
      <c r="A8" s="226">
        <v>302</v>
      </c>
      <c r="B8" s="226">
        <v>2002</v>
      </c>
      <c r="C8" s="226" t="s">
        <v>230</v>
      </c>
      <c r="D8" s="226" t="s">
        <v>424</v>
      </c>
      <c r="E8" s="226"/>
      <c r="F8" s="226" t="s">
        <v>420</v>
      </c>
      <c r="G8" s="226">
        <v>0</v>
      </c>
      <c r="H8" s="226">
        <v>1</v>
      </c>
      <c r="I8" s="226" t="s">
        <v>472</v>
      </c>
      <c r="J8" s="226" t="s">
        <v>473</v>
      </c>
      <c r="K8" s="226" t="s">
        <v>421</v>
      </c>
      <c r="L8" s="226" t="s">
        <v>422</v>
      </c>
      <c r="M8" s="226" t="s">
        <v>421</v>
      </c>
      <c r="N8" s="226" t="s">
        <v>423</v>
      </c>
      <c r="O8" s="226" t="s">
        <v>171</v>
      </c>
      <c r="P8" s="226" t="s">
        <v>171</v>
      </c>
      <c r="Q8" s="227">
        <v>38294.5</v>
      </c>
      <c r="R8" s="227">
        <v>0</v>
      </c>
      <c r="S8" s="227">
        <v>0</v>
      </c>
      <c r="T8" s="227">
        <v>2652474.5099999998</v>
      </c>
      <c r="U8" s="227">
        <v>0</v>
      </c>
      <c r="V8" s="227">
        <v>258413.54</v>
      </c>
      <c r="W8" s="227">
        <v>0</v>
      </c>
      <c r="X8" s="227">
        <v>125800</v>
      </c>
      <c r="Y8" s="227">
        <v>10088.84</v>
      </c>
      <c r="Z8" s="227">
        <v>97858.6</v>
      </c>
      <c r="AA8" s="227">
        <v>18178.990000000002</v>
      </c>
      <c r="AB8" s="227">
        <v>45556.72</v>
      </c>
      <c r="AC8" s="227">
        <v>788.58</v>
      </c>
      <c r="AD8" s="227">
        <v>0</v>
      </c>
      <c r="AE8" s="227">
        <v>0</v>
      </c>
      <c r="AF8" s="227">
        <v>31007.46</v>
      </c>
      <c r="AG8" s="227">
        <v>7491.67</v>
      </c>
      <c r="AH8" s="227">
        <v>0</v>
      </c>
      <c r="AI8" s="227">
        <v>0</v>
      </c>
      <c r="AJ8" s="227">
        <v>0</v>
      </c>
      <c r="AK8" s="227">
        <v>2897.5</v>
      </c>
      <c r="AL8" s="227">
        <v>85941</v>
      </c>
      <c r="AM8" s="227">
        <v>1372842.8</v>
      </c>
      <c r="AN8" s="227">
        <v>0</v>
      </c>
      <c r="AO8" s="227">
        <v>688780.96</v>
      </c>
      <c r="AP8" s="227">
        <v>25413.11</v>
      </c>
      <c r="AQ8" s="227">
        <v>119803.56</v>
      </c>
      <c r="AR8" s="227">
        <v>0</v>
      </c>
      <c r="AS8" s="227">
        <v>46366.69</v>
      </c>
      <c r="AT8" s="227">
        <v>6079.6</v>
      </c>
      <c r="AU8" s="227">
        <v>4733.79</v>
      </c>
      <c r="AV8" s="227">
        <v>689</v>
      </c>
      <c r="AW8" s="227">
        <v>0</v>
      </c>
      <c r="AX8" s="227">
        <v>23535.17</v>
      </c>
      <c r="AY8" s="227">
        <v>0</v>
      </c>
      <c r="AZ8" s="227">
        <v>78262.63</v>
      </c>
      <c r="BA8" s="227">
        <v>11592.85</v>
      </c>
      <c r="BB8" s="227">
        <v>73965.820000000007</v>
      </c>
      <c r="BC8" s="227">
        <v>36300</v>
      </c>
      <c r="BD8" s="227">
        <v>16882.03</v>
      </c>
      <c r="BE8" s="227">
        <v>89703.9</v>
      </c>
      <c r="BF8" s="227">
        <v>5495</v>
      </c>
      <c r="BG8" s="226">
        <v>0</v>
      </c>
      <c r="BH8" s="226">
        <v>4508.3999999999996</v>
      </c>
      <c r="BI8" s="226">
        <v>6910</v>
      </c>
      <c r="BJ8" s="226">
        <v>2789.06</v>
      </c>
      <c r="BK8" s="226">
        <v>250</v>
      </c>
      <c r="BL8" s="226">
        <v>21360.6</v>
      </c>
      <c r="BM8" s="227">
        <v>0</v>
      </c>
      <c r="BN8" s="227">
        <v>13683.49</v>
      </c>
      <c r="BO8" s="227">
        <v>17470.09</v>
      </c>
      <c r="BP8" s="227">
        <v>8083.79</v>
      </c>
      <c r="BQ8" s="227">
        <v>178187.05</v>
      </c>
      <c r="BR8" s="227">
        <v>23433.9</v>
      </c>
      <c r="BS8" s="227">
        <v>469374.65</v>
      </c>
      <c r="BT8" s="227">
        <v>64786.97</v>
      </c>
      <c r="BU8" s="227">
        <v>0</v>
      </c>
      <c r="BV8" s="334">
        <v>0</v>
      </c>
      <c r="BW8" s="335"/>
      <c r="BX8" s="227">
        <v>27709</v>
      </c>
      <c r="BY8" s="227">
        <v>0</v>
      </c>
      <c r="BZ8" s="227">
        <v>0</v>
      </c>
      <c r="CA8" s="227">
        <v>8882.5</v>
      </c>
      <c r="CB8" s="227">
        <v>65000</v>
      </c>
      <c r="CC8" s="227">
        <v>27709</v>
      </c>
      <c r="CD8" s="227">
        <v>6000</v>
      </c>
      <c r="CE8" s="227">
        <v>0</v>
      </c>
      <c r="CF8" s="227">
        <v>87279.5</v>
      </c>
      <c r="CG8" s="227">
        <v>14312</v>
      </c>
      <c r="CH8" s="227">
        <v>0</v>
      </c>
      <c r="CI8" s="226">
        <v>0</v>
      </c>
      <c r="CJ8" s="226">
        <v>0</v>
      </c>
      <c r="CK8" s="226">
        <v>0</v>
      </c>
      <c r="CL8" s="226">
        <v>0</v>
      </c>
      <c r="CM8" s="227">
        <v>1512</v>
      </c>
      <c r="CN8" s="227">
        <v>-65714</v>
      </c>
      <c r="CO8" s="227">
        <v>0</v>
      </c>
      <c r="CP8" s="227">
        <v>0</v>
      </c>
      <c r="CQ8" s="227">
        <v>0</v>
      </c>
      <c r="CR8" s="227">
        <v>0</v>
      </c>
      <c r="CT8" s="229">
        <f t="shared" si="0"/>
        <v>-64202</v>
      </c>
    </row>
    <row r="9" spans="1:98" ht="15">
      <c r="A9" s="226">
        <v>302</v>
      </c>
      <c r="B9" s="226">
        <v>2007</v>
      </c>
      <c r="C9" s="226" t="s">
        <v>42</v>
      </c>
      <c r="D9" s="226" t="s">
        <v>424</v>
      </c>
      <c r="E9" s="226"/>
      <c r="F9" s="226" t="s">
        <v>420</v>
      </c>
      <c r="G9" s="226">
        <v>0</v>
      </c>
      <c r="H9" s="226">
        <v>0</v>
      </c>
      <c r="I9" s="226" t="s">
        <v>472</v>
      </c>
      <c r="J9" s="226" t="s">
        <v>473</v>
      </c>
      <c r="K9" s="226" t="s">
        <v>421</v>
      </c>
      <c r="L9" s="226" t="s">
        <v>422</v>
      </c>
      <c r="M9" s="226" t="s">
        <v>421</v>
      </c>
      <c r="N9" s="226" t="s">
        <v>423</v>
      </c>
      <c r="O9" s="226" t="s">
        <v>171</v>
      </c>
      <c r="P9" s="226" t="s">
        <v>171</v>
      </c>
      <c r="Q9" s="227">
        <v>150290.09</v>
      </c>
      <c r="R9" s="227">
        <v>0</v>
      </c>
      <c r="S9" s="227">
        <v>0</v>
      </c>
      <c r="T9" s="227">
        <v>1920869.46</v>
      </c>
      <c r="U9" s="227">
        <v>0</v>
      </c>
      <c r="V9" s="227">
        <v>157213.07999999999</v>
      </c>
      <c r="W9" s="227">
        <v>0</v>
      </c>
      <c r="X9" s="227">
        <v>106730</v>
      </c>
      <c r="Y9" s="227">
        <v>2114.81</v>
      </c>
      <c r="Z9" s="227">
        <v>167586.47</v>
      </c>
      <c r="AA9" s="227">
        <v>49397.98</v>
      </c>
      <c r="AB9" s="227">
        <v>69747.38</v>
      </c>
      <c r="AC9" s="227">
        <v>0</v>
      </c>
      <c r="AD9" s="227">
        <v>4440</v>
      </c>
      <c r="AE9" s="227">
        <v>3200</v>
      </c>
      <c r="AF9" s="227">
        <v>94782.59</v>
      </c>
      <c r="AG9" s="227">
        <v>30877.94</v>
      </c>
      <c r="AH9" s="227">
        <v>0</v>
      </c>
      <c r="AI9" s="227">
        <v>0</v>
      </c>
      <c r="AJ9" s="227">
        <v>0</v>
      </c>
      <c r="AK9" s="227">
        <v>7458.13</v>
      </c>
      <c r="AL9" s="227">
        <v>19556</v>
      </c>
      <c r="AM9" s="227">
        <v>1230210.44</v>
      </c>
      <c r="AN9" s="227">
        <v>0</v>
      </c>
      <c r="AO9" s="227">
        <v>465956.76</v>
      </c>
      <c r="AP9" s="227">
        <v>41930.51</v>
      </c>
      <c r="AQ9" s="227">
        <v>123129.19</v>
      </c>
      <c r="AR9" s="227">
        <v>0</v>
      </c>
      <c r="AS9" s="227">
        <v>61825.34</v>
      </c>
      <c r="AT9" s="227">
        <v>7780.33</v>
      </c>
      <c r="AU9" s="227">
        <v>3686</v>
      </c>
      <c r="AV9" s="227">
        <v>25380.94</v>
      </c>
      <c r="AW9" s="227">
        <v>0</v>
      </c>
      <c r="AX9" s="227">
        <v>62155.15</v>
      </c>
      <c r="AY9" s="227">
        <v>6461.48</v>
      </c>
      <c r="AZ9" s="227">
        <v>56618.62</v>
      </c>
      <c r="BA9" s="227">
        <v>2661.81</v>
      </c>
      <c r="BB9" s="227">
        <v>77101.09</v>
      </c>
      <c r="BC9" s="227">
        <v>24099.599999999999</v>
      </c>
      <c r="BD9" s="227">
        <v>9381.8799999999992</v>
      </c>
      <c r="BE9" s="227">
        <v>115918.33</v>
      </c>
      <c r="BF9" s="227">
        <v>3497.5</v>
      </c>
      <c r="BG9" s="226">
        <v>0</v>
      </c>
      <c r="BH9" s="226">
        <v>9305.5</v>
      </c>
      <c r="BI9" s="226">
        <v>690</v>
      </c>
      <c r="BJ9" s="226">
        <v>1373.98</v>
      </c>
      <c r="BK9" s="226">
        <v>0</v>
      </c>
      <c r="BL9" s="226">
        <v>0</v>
      </c>
      <c r="BM9" s="227">
        <v>0</v>
      </c>
      <c r="BN9" s="227">
        <v>23325.65</v>
      </c>
      <c r="BO9" s="227">
        <v>14434.17</v>
      </c>
      <c r="BP9" s="227">
        <v>6682.36</v>
      </c>
      <c r="BQ9" s="227">
        <v>114755.24</v>
      </c>
      <c r="BR9" s="227">
        <v>26267.200000000001</v>
      </c>
      <c r="BS9" s="227">
        <v>187784.57</v>
      </c>
      <c r="BT9" s="227">
        <v>35455.29</v>
      </c>
      <c r="BU9" s="227">
        <v>0</v>
      </c>
      <c r="BV9" s="334">
        <v>0</v>
      </c>
      <c r="BW9" s="335"/>
      <c r="BX9" s="227">
        <v>0</v>
      </c>
      <c r="BY9" s="227">
        <v>0</v>
      </c>
      <c r="BZ9" s="227">
        <v>0</v>
      </c>
      <c r="CA9" s="227">
        <v>11027.5</v>
      </c>
      <c r="CB9" s="227">
        <v>0</v>
      </c>
      <c r="CC9" s="227">
        <v>0</v>
      </c>
      <c r="CD9" s="227">
        <v>6000</v>
      </c>
      <c r="CE9" s="227">
        <v>0</v>
      </c>
      <c r="CF9" s="227">
        <v>7053.5</v>
      </c>
      <c r="CG9" s="227">
        <v>0</v>
      </c>
      <c r="CH9" s="227">
        <v>0</v>
      </c>
      <c r="CI9" s="226">
        <v>0</v>
      </c>
      <c r="CJ9" s="226">
        <v>0</v>
      </c>
      <c r="CK9" s="226">
        <v>0</v>
      </c>
      <c r="CL9" s="226">
        <v>0</v>
      </c>
      <c r="CM9" s="227">
        <v>8510</v>
      </c>
      <c r="CN9" s="227">
        <v>37885</v>
      </c>
      <c r="CO9" s="227">
        <v>3974</v>
      </c>
      <c r="CP9" s="227">
        <v>0</v>
      </c>
      <c r="CQ9" s="227">
        <v>0</v>
      </c>
      <c r="CR9" s="227">
        <v>0</v>
      </c>
      <c r="CT9" s="229">
        <f t="shared" si="0"/>
        <v>46395</v>
      </c>
    </row>
    <row r="10" spans="1:98" ht="15">
      <c r="A10" s="226">
        <v>302</v>
      </c>
      <c r="B10" s="226">
        <v>2008</v>
      </c>
      <c r="C10" s="226" t="s">
        <v>308</v>
      </c>
      <c r="D10" s="226" t="s">
        <v>424</v>
      </c>
      <c r="E10" s="226"/>
      <c r="F10" s="226" t="s">
        <v>420</v>
      </c>
      <c r="G10" s="226">
        <v>0</v>
      </c>
      <c r="H10" s="226">
        <v>1</v>
      </c>
      <c r="I10" s="226" t="s">
        <v>472</v>
      </c>
      <c r="J10" s="226" t="s">
        <v>473</v>
      </c>
      <c r="K10" s="226" t="s">
        <v>421</v>
      </c>
      <c r="L10" s="226" t="s">
        <v>422</v>
      </c>
      <c r="M10" s="226" t="s">
        <v>421</v>
      </c>
      <c r="N10" s="226" t="s">
        <v>423</v>
      </c>
      <c r="O10" s="226" t="s">
        <v>171</v>
      </c>
      <c r="P10" s="226" t="s">
        <v>171</v>
      </c>
      <c r="Q10" s="227">
        <v>34078.49</v>
      </c>
      <c r="R10" s="227">
        <v>0</v>
      </c>
      <c r="S10" s="227">
        <v>758.25</v>
      </c>
      <c r="T10" s="227">
        <v>1740040.66</v>
      </c>
      <c r="U10" s="227">
        <v>0</v>
      </c>
      <c r="V10" s="227">
        <v>126424.48</v>
      </c>
      <c r="W10" s="227">
        <v>0</v>
      </c>
      <c r="X10" s="227">
        <v>41440</v>
      </c>
      <c r="Y10" s="227">
        <v>2914.81</v>
      </c>
      <c r="Z10" s="227">
        <v>2205.9499999999998</v>
      </c>
      <c r="AA10" s="227">
        <v>46173.43</v>
      </c>
      <c r="AB10" s="227">
        <v>11622.17</v>
      </c>
      <c r="AC10" s="227">
        <v>14092.74</v>
      </c>
      <c r="AD10" s="227">
        <v>0</v>
      </c>
      <c r="AE10" s="227">
        <v>22523.05</v>
      </c>
      <c r="AF10" s="227">
        <v>119382.36</v>
      </c>
      <c r="AG10" s="227">
        <v>15497.93</v>
      </c>
      <c r="AH10" s="227">
        <v>0</v>
      </c>
      <c r="AI10" s="227">
        <v>0</v>
      </c>
      <c r="AJ10" s="227">
        <v>0</v>
      </c>
      <c r="AK10" s="227">
        <v>12151</v>
      </c>
      <c r="AL10" s="227">
        <v>115746</v>
      </c>
      <c r="AM10" s="227">
        <v>1005556.64</v>
      </c>
      <c r="AN10" s="227">
        <v>0</v>
      </c>
      <c r="AO10" s="227">
        <v>460161.97</v>
      </c>
      <c r="AP10" s="227">
        <v>30894.63</v>
      </c>
      <c r="AQ10" s="227">
        <v>36505.18</v>
      </c>
      <c r="AR10" s="227">
        <v>0</v>
      </c>
      <c r="AS10" s="227">
        <v>17052.68</v>
      </c>
      <c r="AT10" s="227">
        <v>7042.66</v>
      </c>
      <c r="AU10" s="227">
        <v>4080</v>
      </c>
      <c r="AV10" s="227">
        <v>21660.41</v>
      </c>
      <c r="AW10" s="227">
        <v>0</v>
      </c>
      <c r="AX10" s="227">
        <v>18857.57</v>
      </c>
      <c r="AY10" s="227">
        <v>5278.06</v>
      </c>
      <c r="AZ10" s="227">
        <v>49302.559999999998</v>
      </c>
      <c r="BA10" s="227">
        <v>4675.79</v>
      </c>
      <c r="BB10" s="227">
        <v>52807.12</v>
      </c>
      <c r="BC10" s="227">
        <v>4016.6</v>
      </c>
      <c r="BD10" s="227">
        <v>10275.32</v>
      </c>
      <c r="BE10" s="227">
        <v>53359.71</v>
      </c>
      <c r="BF10" s="227">
        <v>3497.5</v>
      </c>
      <c r="BG10" s="226">
        <v>0</v>
      </c>
      <c r="BH10" s="226">
        <v>5389.79</v>
      </c>
      <c r="BI10" s="226">
        <v>678</v>
      </c>
      <c r="BJ10" s="226">
        <v>3268.93</v>
      </c>
      <c r="BK10" s="226">
        <v>7395.24</v>
      </c>
      <c r="BL10" s="226">
        <v>0</v>
      </c>
      <c r="BM10" s="227">
        <v>0</v>
      </c>
      <c r="BN10" s="227">
        <v>12029.82</v>
      </c>
      <c r="BO10" s="227">
        <v>10631.4</v>
      </c>
      <c r="BP10" s="227">
        <v>11004.74</v>
      </c>
      <c r="BQ10" s="227">
        <v>104263.41</v>
      </c>
      <c r="BR10" s="227">
        <v>98518.02</v>
      </c>
      <c r="BS10" s="227">
        <v>325546.36</v>
      </c>
      <c r="BT10" s="227">
        <v>33704.959999999999</v>
      </c>
      <c r="BU10" s="227">
        <v>0</v>
      </c>
      <c r="BV10" s="334">
        <v>0</v>
      </c>
      <c r="BW10" s="335"/>
      <c r="BX10" s="227">
        <v>0</v>
      </c>
      <c r="BY10" s="227">
        <v>0</v>
      </c>
      <c r="BZ10" s="227">
        <v>0</v>
      </c>
      <c r="CA10" s="227">
        <v>7386.25</v>
      </c>
      <c r="CB10" s="227">
        <v>0</v>
      </c>
      <c r="CC10" s="227">
        <v>0</v>
      </c>
      <c r="CD10" s="227">
        <v>6000</v>
      </c>
      <c r="CE10" s="227">
        <v>0</v>
      </c>
      <c r="CF10" s="227">
        <v>5159.5</v>
      </c>
      <c r="CG10" s="227">
        <v>0</v>
      </c>
      <c r="CH10" s="227">
        <v>0</v>
      </c>
      <c r="CI10" s="226">
        <v>0</v>
      </c>
      <c r="CJ10" s="226">
        <v>0</v>
      </c>
      <c r="CK10" s="226">
        <v>0</v>
      </c>
      <c r="CL10" s="226">
        <v>0</v>
      </c>
      <c r="CM10" s="227">
        <v>0</v>
      </c>
      <c r="CN10" s="227">
        <v>-93162</v>
      </c>
      <c r="CO10" s="227">
        <v>2985</v>
      </c>
      <c r="CP10" s="227">
        <v>0</v>
      </c>
      <c r="CQ10" s="227">
        <v>0</v>
      </c>
      <c r="CR10" s="227">
        <v>0</v>
      </c>
      <c r="CT10" s="229">
        <f t="shared" si="0"/>
        <v>-93162</v>
      </c>
    </row>
    <row r="11" spans="1:98" ht="30">
      <c r="A11" s="226">
        <v>302</v>
      </c>
      <c r="B11" s="226">
        <v>2009</v>
      </c>
      <c r="C11" s="226" t="s">
        <v>309</v>
      </c>
      <c r="D11" s="226" t="s">
        <v>424</v>
      </c>
      <c r="E11" s="226"/>
      <c r="F11" s="226" t="s">
        <v>420</v>
      </c>
      <c r="G11" s="226">
        <v>0</v>
      </c>
      <c r="H11" s="226">
        <v>1</v>
      </c>
      <c r="I11" s="226" t="s">
        <v>472</v>
      </c>
      <c r="J11" s="226" t="s">
        <v>473</v>
      </c>
      <c r="K11" s="226" t="s">
        <v>421</v>
      </c>
      <c r="L11" s="226" t="s">
        <v>422</v>
      </c>
      <c r="M11" s="226" t="s">
        <v>421</v>
      </c>
      <c r="N11" s="226" t="s">
        <v>423</v>
      </c>
      <c r="O11" s="226" t="s">
        <v>171</v>
      </c>
      <c r="P11" s="226" t="s">
        <v>171</v>
      </c>
      <c r="Q11" s="227">
        <v>-112860.21</v>
      </c>
      <c r="R11" s="227">
        <v>0</v>
      </c>
      <c r="S11" s="227">
        <v>0</v>
      </c>
      <c r="T11" s="227">
        <v>2549294.31</v>
      </c>
      <c r="U11" s="227">
        <v>0</v>
      </c>
      <c r="V11" s="227">
        <v>302857.89</v>
      </c>
      <c r="W11" s="227">
        <v>0</v>
      </c>
      <c r="X11" s="227">
        <v>126110</v>
      </c>
      <c r="Y11" s="227">
        <v>8213.11</v>
      </c>
      <c r="Z11" s="227">
        <v>112392.34</v>
      </c>
      <c r="AA11" s="227">
        <v>39243</v>
      </c>
      <c r="AB11" s="227">
        <v>235791.75</v>
      </c>
      <c r="AC11" s="227">
        <v>2900.72</v>
      </c>
      <c r="AD11" s="227">
        <v>0</v>
      </c>
      <c r="AE11" s="227">
        <v>0</v>
      </c>
      <c r="AF11" s="227">
        <v>73312.55</v>
      </c>
      <c r="AG11" s="227">
        <v>22847.16</v>
      </c>
      <c r="AH11" s="227">
        <v>0</v>
      </c>
      <c r="AI11" s="227">
        <v>0</v>
      </c>
      <c r="AJ11" s="227">
        <v>0</v>
      </c>
      <c r="AK11" s="227">
        <v>9489.81</v>
      </c>
      <c r="AL11" s="227">
        <v>83006</v>
      </c>
      <c r="AM11" s="227">
        <v>1680252.52</v>
      </c>
      <c r="AN11" s="227">
        <v>0</v>
      </c>
      <c r="AO11" s="227">
        <v>628087.16</v>
      </c>
      <c r="AP11" s="227">
        <v>30960.36</v>
      </c>
      <c r="AQ11" s="227">
        <v>131408.67000000001</v>
      </c>
      <c r="AR11" s="227">
        <v>0</v>
      </c>
      <c r="AS11" s="227">
        <v>125312.76</v>
      </c>
      <c r="AT11" s="227">
        <v>14159.1</v>
      </c>
      <c r="AU11" s="227">
        <v>10669.3</v>
      </c>
      <c r="AV11" s="227">
        <v>695.54</v>
      </c>
      <c r="AW11" s="227">
        <v>0</v>
      </c>
      <c r="AX11" s="227">
        <v>23265.03</v>
      </c>
      <c r="AY11" s="227">
        <v>5121.75</v>
      </c>
      <c r="AZ11" s="227">
        <v>54076.36</v>
      </c>
      <c r="BA11" s="227">
        <v>6825.1</v>
      </c>
      <c r="BB11" s="227">
        <v>42299.78</v>
      </c>
      <c r="BC11" s="227">
        <v>47880</v>
      </c>
      <c r="BD11" s="227">
        <v>17599.89</v>
      </c>
      <c r="BE11" s="227">
        <v>96735.06</v>
      </c>
      <c r="BF11" s="227">
        <v>11203.12</v>
      </c>
      <c r="BG11" s="226">
        <v>495</v>
      </c>
      <c r="BH11" s="226">
        <v>11768.94</v>
      </c>
      <c r="BI11" s="226">
        <v>11222.27</v>
      </c>
      <c r="BJ11" s="226">
        <v>7456.65</v>
      </c>
      <c r="BK11" s="226">
        <v>423.47</v>
      </c>
      <c r="BL11" s="226">
        <v>11014</v>
      </c>
      <c r="BM11" s="227">
        <v>0</v>
      </c>
      <c r="BN11" s="227">
        <v>10950.46</v>
      </c>
      <c r="BO11" s="227">
        <v>20092.91</v>
      </c>
      <c r="BP11" s="227">
        <v>48041.16</v>
      </c>
      <c r="BQ11" s="227">
        <v>167718.89000000001</v>
      </c>
      <c r="BR11" s="227">
        <v>36624.730000000003</v>
      </c>
      <c r="BS11" s="227">
        <v>290484.27</v>
      </c>
      <c r="BT11" s="227">
        <v>31156.18</v>
      </c>
      <c r="BU11" s="227">
        <v>0</v>
      </c>
      <c r="BV11" s="334">
        <v>0</v>
      </c>
      <c r="BW11" s="335"/>
      <c r="BX11" s="227">
        <v>0</v>
      </c>
      <c r="BY11" s="227">
        <v>0</v>
      </c>
      <c r="BZ11" s="227">
        <v>0</v>
      </c>
      <c r="CA11" s="227">
        <v>9078.25</v>
      </c>
      <c r="CB11" s="227">
        <v>0</v>
      </c>
      <c r="CC11" s="227">
        <v>0</v>
      </c>
      <c r="CD11" s="227">
        <v>6000</v>
      </c>
      <c r="CE11" s="227">
        <v>0</v>
      </c>
      <c r="CF11" s="227">
        <v>7201.25</v>
      </c>
      <c r="CG11" s="227">
        <v>0</v>
      </c>
      <c r="CH11" s="227">
        <v>0</v>
      </c>
      <c r="CI11" s="226">
        <v>0</v>
      </c>
      <c r="CJ11" s="226">
        <v>0</v>
      </c>
      <c r="CK11" s="226">
        <v>0</v>
      </c>
      <c r="CL11" s="226">
        <v>0</v>
      </c>
      <c r="CM11" s="227">
        <v>1360</v>
      </c>
      <c r="CN11" s="227">
        <v>-122762</v>
      </c>
      <c r="CO11" s="227">
        <v>1877</v>
      </c>
      <c r="CP11" s="227">
        <v>0</v>
      </c>
      <c r="CQ11" s="227">
        <v>0</v>
      </c>
      <c r="CR11" s="227">
        <v>0</v>
      </c>
      <c r="CT11" s="229">
        <f t="shared" si="0"/>
        <v>-121402</v>
      </c>
    </row>
    <row r="12" spans="1:98" ht="15">
      <c r="A12" s="226">
        <v>302</v>
      </c>
      <c r="B12" s="226">
        <v>2011</v>
      </c>
      <c r="C12" s="226" t="s">
        <v>46</v>
      </c>
      <c r="D12" s="226" t="s">
        <v>424</v>
      </c>
      <c r="E12" s="226"/>
      <c r="F12" s="226" t="s">
        <v>420</v>
      </c>
      <c r="G12" s="226">
        <v>0</v>
      </c>
      <c r="H12" s="226">
        <v>1</v>
      </c>
      <c r="I12" s="226" t="s">
        <v>472</v>
      </c>
      <c r="J12" s="226" t="s">
        <v>473</v>
      </c>
      <c r="K12" s="226" t="s">
        <v>421</v>
      </c>
      <c r="L12" s="226" t="s">
        <v>422</v>
      </c>
      <c r="M12" s="226" t="s">
        <v>421</v>
      </c>
      <c r="N12" s="226" t="s">
        <v>423</v>
      </c>
      <c r="O12" s="226" t="s">
        <v>171</v>
      </c>
      <c r="P12" s="226" t="s">
        <v>171</v>
      </c>
      <c r="Q12" s="227">
        <v>-171995.46</v>
      </c>
      <c r="R12" s="227">
        <v>0</v>
      </c>
      <c r="S12" s="227">
        <v>14472.69</v>
      </c>
      <c r="T12" s="227">
        <v>1200085.3500000001</v>
      </c>
      <c r="U12" s="227">
        <v>0</v>
      </c>
      <c r="V12" s="227">
        <v>116024.42</v>
      </c>
      <c r="W12" s="227">
        <v>0</v>
      </c>
      <c r="X12" s="227">
        <v>65647</v>
      </c>
      <c r="Y12" s="227">
        <v>20787.14</v>
      </c>
      <c r="Z12" s="227">
        <v>61793.120000000003</v>
      </c>
      <c r="AA12" s="227">
        <v>2347.2399999999998</v>
      </c>
      <c r="AB12" s="227">
        <v>74017.02</v>
      </c>
      <c r="AC12" s="227">
        <v>271.13</v>
      </c>
      <c r="AD12" s="227">
        <v>0</v>
      </c>
      <c r="AE12" s="227">
        <v>630.87</v>
      </c>
      <c r="AF12" s="227">
        <v>24658.81</v>
      </c>
      <c r="AG12" s="227">
        <v>6116.19</v>
      </c>
      <c r="AH12" s="227">
        <v>0</v>
      </c>
      <c r="AI12" s="227">
        <v>0</v>
      </c>
      <c r="AJ12" s="227">
        <v>0</v>
      </c>
      <c r="AK12" s="227">
        <v>5018.75</v>
      </c>
      <c r="AL12" s="227">
        <v>41913</v>
      </c>
      <c r="AM12" s="227">
        <v>772327.44</v>
      </c>
      <c r="AN12" s="227">
        <v>0</v>
      </c>
      <c r="AO12" s="227">
        <v>287716.15999999997</v>
      </c>
      <c r="AP12" s="227">
        <v>29767.68</v>
      </c>
      <c r="AQ12" s="227">
        <v>65481.3</v>
      </c>
      <c r="AR12" s="227">
        <v>0</v>
      </c>
      <c r="AS12" s="227">
        <v>76159.5</v>
      </c>
      <c r="AT12" s="227">
        <v>6743.14</v>
      </c>
      <c r="AU12" s="227">
        <v>5152.43</v>
      </c>
      <c r="AV12" s="227">
        <v>340.3</v>
      </c>
      <c r="AW12" s="227">
        <v>0</v>
      </c>
      <c r="AX12" s="227">
        <v>32599.98</v>
      </c>
      <c r="AY12" s="227">
        <v>5693</v>
      </c>
      <c r="AZ12" s="227">
        <v>23689.17</v>
      </c>
      <c r="BA12" s="227">
        <v>1451.17</v>
      </c>
      <c r="BB12" s="227">
        <v>36696.07</v>
      </c>
      <c r="BC12" s="227">
        <v>25243.94</v>
      </c>
      <c r="BD12" s="227">
        <v>10500.35</v>
      </c>
      <c r="BE12" s="227">
        <v>56289.79</v>
      </c>
      <c r="BF12" s="227">
        <v>7956.63</v>
      </c>
      <c r="BG12" s="226">
        <v>0</v>
      </c>
      <c r="BH12" s="226">
        <v>3811.24</v>
      </c>
      <c r="BI12" s="226">
        <v>8485.17</v>
      </c>
      <c r="BJ12" s="226">
        <v>1242.3900000000001</v>
      </c>
      <c r="BK12" s="226">
        <v>0</v>
      </c>
      <c r="BL12" s="226">
        <v>7954</v>
      </c>
      <c r="BM12" s="227">
        <v>0</v>
      </c>
      <c r="BN12" s="227">
        <v>1716.48</v>
      </c>
      <c r="BO12" s="227">
        <v>11142.45</v>
      </c>
      <c r="BP12" s="227">
        <v>32564.91</v>
      </c>
      <c r="BQ12" s="227">
        <v>75637.289999999994</v>
      </c>
      <c r="BR12" s="227">
        <v>3682</v>
      </c>
      <c r="BS12" s="227">
        <v>79685.34</v>
      </c>
      <c r="BT12" s="227">
        <v>20434.259999999998</v>
      </c>
      <c r="BU12" s="227">
        <v>0</v>
      </c>
      <c r="BV12" s="334">
        <v>0</v>
      </c>
      <c r="BW12" s="335"/>
      <c r="BX12" s="227">
        <v>3619</v>
      </c>
      <c r="BY12" s="227">
        <v>0</v>
      </c>
      <c r="BZ12" s="227">
        <v>0</v>
      </c>
      <c r="CA12" s="227">
        <v>6385</v>
      </c>
      <c r="CB12" s="227">
        <v>0</v>
      </c>
      <c r="CC12" s="227">
        <v>3619</v>
      </c>
      <c r="CD12" s="227">
        <v>6000</v>
      </c>
      <c r="CE12" s="227">
        <v>0</v>
      </c>
      <c r="CF12" s="227">
        <v>24476.69</v>
      </c>
      <c r="CG12" s="227">
        <v>0</v>
      </c>
      <c r="CH12" s="227">
        <v>0</v>
      </c>
      <c r="CI12" s="226">
        <v>0</v>
      </c>
      <c r="CJ12" s="226">
        <v>0</v>
      </c>
      <c r="CK12" s="226">
        <v>0</v>
      </c>
      <c r="CL12" s="226">
        <v>0</v>
      </c>
      <c r="CM12" s="227">
        <v>5107</v>
      </c>
      <c r="CN12" s="227">
        <v>-251575</v>
      </c>
      <c r="CO12" s="227">
        <v>0</v>
      </c>
      <c r="CP12" s="227">
        <v>0</v>
      </c>
      <c r="CQ12" s="227">
        <v>0</v>
      </c>
      <c r="CR12" s="227">
        <v>0</v>
      </c>
      <c r="CT12" s="229">
        <f t="shared" si="0"/>
        <v>-246468</v>
      </c>
    </row>
    <row r="13" spans="1:98" ht="15">
      <c r="A13" s="226">
        <v>302</v>
      </c>
      <c r="B13" s="226">
        <v>2014</v>
      </c>
      <c r="C13" s="226" t="s">
        <v>237</v>
      </c>
      <c r="D13" s="226" t="s">
        <v>424</v>
      </c>
      <c r="E13" s="226"/>
      <c r="F13" s="226" t="s">
        <v>420</v>
      </c>
      <c r="G13" s="226">
        <v>0</v>
      </c>
      <c r="H13" s="226">
        <v>1</v>
      </c>
      <c r="I13" s="226" t="s">
        <v>472</v>
      </c>
      <c r="J13" s="226" t="s">
        <v>473</v>
      </c>
      <c r="K13" s="226" t="s">
        <v>421</v>
      </c>
      <c r="L13" s="226" t="s">
        <v>422</v>
      </c>
      <c r="M13" s="226" t="s">
        <v>421</v>
      </c>
      <c r="N13" s="226" t="s">
        <v>423</v>
      </c>
      <c r="O13" s="226" t="s">
        <v>171</v>
      </c>
      <c r="P13" s="226" t="s">
        <v>171</v>
      </c>
      <c r="Q13" s="227">
        <v>80713.02</v>
      </c>
      <c r="R13" s="227">
        <v>0</v>
      </c>
      <c r="S13" s="227">
        <v>5898.5</v>
      </c>
      <c r="T13" s="227">
        <v>4149489.92</v>
      </c>
      <c r="U13" s="227">
        <v>0</v>
      </c>
      <c r="V13" s="227">
        <v>408564.1</v>
      </c>
      <c r="W13" s="227">
        <v>0</v>
      </c>
      <c r="X13" s="227">
        <v>264530</v>
      </c>
      <c r="Y13" s="227">
        <v>8044.76</v>
      </c>
      <c r="Z13" s="227">
        <v>132839.76999999999</v>
      </c>
      <c r="AA13" s="227">
        <v>47755.53</v>
      </c>
      <c r="AB13" s="227">
        <v>18428.330000000002</v>
      </c>
      <c r="AC13" s="227">
        <v>309.91000000000003</v>
      </c>
      <c r="AD13" s="227">
        <v>0</v>
      </c>
      <c r="AE13" s="227">
        <v>0</v>
      </c>
      <c r="AF13" s="227">
        <v>73823.75</v>
      </c>
      <c r="AG13" s="227">
        <v>19.72</v>
      </c>
      <c r="AH13" s="227">
        <v>0</v>
      </c>
      <c r="AI13" s="227">
        <v>0</v>
      </c>
      <c r="AJ13" s="227">
        <v>0</v>
      </c>
      <c r="AK13" s="227">
        <v>19259.38</v>
      </c>
      <c r="AL13" s="227">
        <v>113281</v>
      </c>
      <c r="AM13" s="227">
        <v>2218240.4</v>
      </c>
      <c r="AN13" s="227">
        <v>0</v>
      </c>
      <c r="AO13" s="227">
        <v>1048338.65</v>
      </c>
      <c r="AP13" s="227">
        <v>112013.15</v>
      </c>
      <c r="AQ13" s="227">
        <v>189482.7</v>
      </c>
      <c r="AR13" s="227">
        <v>0</v>
      </c>
      <c r="AS13" s="227">
        <v>117779.94</v>
      </c>
      <c r="AT13" s="227">
        <v>25312.39</v>
      </c>
      <c r="AU13" s="227">
        <v>7041.01</v>
      </c>
      <c r="AV13" s="227">
        <v>1040.82</v>
      </c>
      <c r="AW13" s="227">
        <v>0</v>
      </c>
      <c r="AX13" s="227">
        <v>152657.62</v>
      </c>
      <c r="AY13" s="227">
        <v>12771.16</v>
      </c>
      <c r="AZ13" s="227">
        <v>74435.42</v>
      </c>
      <c r="BA13" s="227">
        <v>17271.89</v>
      </c>
      <c r="BB13" s="227">
        <v>150560.18</v>
      </c>
      <c r="BC13" s="227">
        <v>134207.76</v>
      </c>
      <c r="BD13" s="227">
        <v>33301.94</v>
      </c>
      <c r="BE13" s="227">
        <v>108241.83</v>
      </c>
      <c r="BF13" s="227">
        <v>14527.4</v>
      </c>
      <c r="BG13" s="226">
        <v>0</v>
      </c>
      <c r="BH13" s="226">
        <v>21668.95</v>
      </c>
      <c r="BI13" s="226">
        <v>16485.84</v>
      </c>
      <c r="BJ13" s="226">
        <v>810</v>
      </c>
      <c r="BK13" s="226">
        <v>1200</v>
      </c>
      <c r="BL13" s="226">
        <v>12870</v>
      </c>
      <c r="BM13" s="227">
        <v>0</v>
      </c>
      <c r="BN13" s="227">
        <v>34612.97</v>
      </c>
      <c r="BO13" s="227">
        <v>26328.03</v>
      </c>
      <c r="BP13" s="227">
        <v>16756.93</v>
      </c>
      <c r="BQ13" s="227">
        <v>251258.28</v>
      </c>
      <c r="BR13" s="227">
        <v>64879.56</v>
      </c>
      <c r="BS13" s="227">
        <v>390498.5</v>
      </c>
      <c r="BT13" s="227">
        <v>64669.65</v>
      </c>
      <c r="BU13" s="227">
        <v>900</v>
      </c>
      <c r="BV13" s="334">
        <v>0</v>
      </c>
      <c r="BW13" s="335"/>
      <c r="BX13" s="227">
        <v>100480</v>
      </c>
      <c r="BY13" s="227">
        <v>0</v>
      </c>
      <c r="BZ13" s="227">
        <v>0</v>
      </c>
      <c r="CA13" s="227">
        <v>11692.3</v>
      </c>
      <c r="CB13" s="227">
        <v>0</v>
      </c>
      <c r="CC13" s="227">
        <v>100480</v>
      </c>
      <c r="CD13" s="227">
        <v>6000</v>
      </c>
      <c r="CE13" s="227">
        <v>0</v>
      </c>
      <c r="CF13" s="227">
        <v>32135.45</v>
      </c>
      <c r="CG13" s="227">
        <v>0</v>
      </c>
      <c r="CH13" s="227">
        <v>0</v>
      </c>
      <c r="CI13" s="226">
        <v>0</v>
      </c>
      <c r="CJ13" s="226">
        <v>0</v>
      </c>
      <c r="CK13" s="226">
        <v>34440</v>
      </c>
      <c r="CL13" s="226">
        <v>25480</v>
      </c>
      <c r="CM13" s="227">
        <v>0</v>
      </c>
      <c r="CN13" s="227">
        <v>-103583.78</v>
      </c>
      <c r="CO13" s="227">
        <v>26015.35</v>
      </c>
      <c r="CP13" s="227">
        <v>0</v>
      </c>
      <c r="CQ13" s="227">
        <v>0</v>
      </c>
      <c r="CR13" s="227">
        <v>0</v>
      </c>
      <c r="CT13" s="229">
        <f t="shared" si="0"/>
        <v>-103583.78</v>
      </c>
    </row>
    <row r="14" spans="1:98" ht="15">
      <c r="A14" s="226">
        <v>302</v>
      </c>
      <c r="B14" s="226">
        <v>2015</v>
      </c>
      <c r="C14" s="226" t="s">
        <v>238</v>
      </c>
      <c r="D14" s="226" t="s">
        <v>424</v>
      </c>
      <c r="E14" s="226"/>
      <c r="F14" s="226" t="s">
        <v>420</v>
      </c>
      <c r="G14" s="226">
        <v>0</v>
      </c>
      <c r="H14" s="226">
        <v>1</v>
      </c>
      <c r="I14" s="226" t="s">
        <v>472</v>
      </c>
      <c r="J14" s="226" t="s">
        <v>473</v>
      </c>
      <c r="K14" s="226" t="s">
        <v>421</v>
      </c>
      <c r="L14" s="226" t="s">
        <v>422</v>
      </c>
      <c r="M14" s="226" t="s">
        <v>421</v>
      </c>
      <c r="N14" s="226" t="s">
        <v>423</v>
      </c>
      <c r="O14" s="226" t="s">
        <v>171</v>
      </c>
      <c r="P14" s="226" t="s">
        <v>171</v>
      </c>
      <c r="Q14" s="227">
        <v>-119744.03</v>
      </c>
      <c r="R14" s="227">
        <v>87885.93</v>
      </c>
      <c r="S14" s="227">
        <v>21546</v>
      </c>
      <c r="T14" s="227">
        <v>1610888.93</v>
      </c>
      <c r="U14" s="227">
        <v>0</v>
      </c>
      <c r="V14" s="227">
        <v>410542.27</v>
      </c>
      <c r="W14" s="227">
        <v>0</v>
      </c>
      <c r="X14" s="227">
        <v>105090</v>
      </c>
      <c r="Y14" s="227">
        <v>4752.22</v>
      </c>
      <c r="Z14" s="227">
        <v>35318.050000000003</v>
      </c>
      <c r="AA14" s="227">
        <v>15213.8</v>
      </c>
      <c r="AB14" s="227">
        <v>3400.42</v>
      </c>
      <c r="AC14" s="227">
        <v>4324.53</v>
      </c>
      <c r="AD14" s="227">
        <v>0</v>
      </c>
      <c r="AE14" s="227">
        <v>0</v>
      </c>
      <c r="AF14" s="227">
        <v>30560.73</v>
      </c>
      <c r="AG14" s="227">
        <v>5327.24</v>
      </c>
      <c r="AH14" s="227">
        <v>0</v>
      </c>
      <c r="AI14" s="227">
        <v>216786.9</v>
      </c>
      <c r="AJ14" s="227">
        <v>0</v>
      </c>
      <c r="AK14" s="227">
        <v>2172.84</v>
      </c>
      <c r="AL14" s="227">
        <v>41052</v>
      </c>
      <c r="AM14" s="227">
        <v>840401.54</v>
      </c>
      <c r="AN14" s="227">
        <v>0</v>
      </c>
      <c r="AO14" s="227">
        <v>775971.91</v>
      </c>
      <c r="AP14" s="227">
        <v>40974.44</v>
      </c>
      <c r="AQ14" s="227">
        <v>67661.86</v>
      </c>
      <c r="AR14" s="227">
        <v>71008.5</v>
      </c>
      <c r="AS14" s="227">
        <v>24151.07</v>
      </c>
      <c r="AT14" s="227">
        <v>13434.01</v>
      </c>
      <c r="AU14" s="227">
        <v>3032.38</v>
      </c>
      <c r="AV14" s="227">
        <v>320.38</v>
      </c>
      <c r="AW14" s="227">
        <v>0</v>
      </c>
      <c r="AX14" s="227">
        <v>21888.75</v>
      </c>
      <c r="AY14" s="227">
        <v>6802.75</v>
      </c>
      <c r="AZ14" s="227">
        <v>39927.199999999997</v>
      </c>
      <c r="BA14" s="227">
        <v>7229.85</v>
      </c>
      <c r="BB14" s="227">
        <v>39395.050000000003</v>
      </c>
      <c r="BC14" s="227">
        <v>42343.05</v>
      </c>
      <c r="BD14" s="227">
        <v>25813.26</v>
      </c>
      <c r="BE14" s="227">
        <v>83964.25</v>
      </c>
      <c r="BF14" s="227">
        <v>15132.24</v>
      </c>
      <c r="BG14" s="226">
        <v>0</v>
      </c>
      <c r="BH14" s="226">
        <v>0</v>
      </c>
      <c r="BI14" s="226">
        <v>0</v>
      </c>
      <c r="BJ14" s="226">
        <v>0</v>
      </c>
      <c r="BK14" s="226">
        <v>0</v>
      </c>
      <c r="BL14" s="226">
        <v>0</v>
      </c>
      <c r="BM14" s="227">
        <v>0</v>
      </c>
      <c r="BN14" s="227">
        <v>27578.06</v>
      </c>
      <c r="BO14" s="227">
        <v>3066.77</v>
      </c>
      <c r="BP14" s="227">
        <v>4878.3599999999997</v>
      </c>
      <c r="BQ14" s="227">
        <v>54664.34</v>
      </c>
      <c r="BR14" s="227">
        <v>84823.59</v>
      </c>
      <c r="BS14" s="227">
        <v>222748.48</v>
      </c>
      <c r="BT14" s="227">
        <v>48183.91</v>
      </c>
      <c r="BU14" s="227">
        <v>0</v>
      </c>
      <c r="BV14" s="334">
        <v>0</v>
      </c>
      <c r="BW14" s="335"/>
      <c r="BX14" s="227">
        <v>0</v>
      </c>
      <c r="BY14" s="227">
        <v>103861.94</v>
      </c>
      <c r="BZ14" s="227">
        <v>12434.89</v>
      </c>
      <c r="CA14" s="227">
        <v>6955</v>
      </c>
      <c r="CB14" s="227">
        <v>0</v>
      </c>
      <c r="CC14" s="227">
        <v>0</v>
      </c>
      <c r="CD14" s="227">
        <v>6000</v>
      </c>
      <c r="CE14" s="227">
        <v>0</v>
      </c>
      <c r="CF14" s="227">
        <v>0</v>
      </c>
      <c r="CG14" s="227">
        <v>0</v>
      </c>
      <c r="CH14" s="227">
        <v>0</v>
      </c>
      <c r="CI14" s="226">
        <v>0</v>
      </c>
      <c r="CJ14" s="226">
        <v>0</v>
      </c>
      <c r="CK14" s="226">
        <v>0</v>
      </c>
      <c r="CL14" s="226">
        <v>0</v>
      </c>
      <c r="CM14" s="227">
        <v>0</v>
      </c>
      <c r="CN14" s="227">
        <v>-416497</v>
      </c>
      <c r="CO14" s="227">
        <v>28501</v>
      </c>
      <c r="CP14" s="227">
        <v>0</v>
      </c>
      <c r="CQ14" s="227">
        <v>188376</v>
      </c>
      <c r="CR14" s="227">
        <v>0</v>
      </c>
      <c r="CT14" s="229">
        <f t="shared" si="0"/>
        <v>-228121</v>
      </c>
    </row>
    <row r="15" spans="1:98" ht="15">
      <c r="A15" s="226">
        <v>302</v>
      </c>
      <c r="B15" s="226">
        <v>2016</v>
      </c>
      <c r="C15" s="226" t="s">
        <v>50</v>
      </c>
      <c r="D15" s="226" t="s">
        <v>424</v>
      </c>
      <c r="E15" s="226"/>
      <c r="F15" s="226" t="s">
        <v>420</v>
      </c>
      <c r="G15" s="226">
        <v>0</v>
      </c>
      <c r="H15" s="226">
        <v>1</v>
      </c>
      <c r="I15" s="226" t="s">
        <v>472</v>
      </c>
      <c r="J15" s="226" t="s">
        <v>473</v>
      </c>
      <c r="K15" s="226" t="s">
        <v>421</v>
      </c>
      <c r="L15" s="226" t="s">
        <v>422</v>
      </c>
      <c r="M15" s="226" t="s">
        <v>421</v>
      </c>
      <c r="N15" s="226" t="s">
        <v>423</v>
      </c>
      <c r="O15" s="226" t="s">
        <v>171</v>
      </c>
      <c r="P15" s="226" t="s">
        <v>171</v>
      </c>
      <c r="Q15" s="227">
        <v>-6125.33</v>
      </c>
      <c r="R15" s="227">
        <v>0</v>
      </c>
      <c r="S15" s="227">
        <v>30325.25</v>
      </c>
      <c r="T15" s="227">
        <v>1214330.99</v>
      </c>
      <c r="U15" s="227">
        <v>0</v>
      </c>
      <c r="V15" s="227">
        <v>70830.850000000006</v>
      </c>
      <c r="W15" s="227">
        <v>0</v>
      </c>
      <c r="X15" s="227">
        <v>50935</v>
      </c>
      <c r="Y15" s="227">
        <v>0</v>
      </c>
      <c r="Z15" s="227">
        <v>55064.02</v>
      </c>
      <c r="AA15" s="227">
        <v>2160</v>
      </c>
      <c r="AB15" s="227">
        <v>3929.35</v>
      </c>
      <c r="AC15" s="227">
        <v>63.1</v>
      </c>
      <c r="AD15" s="227">
        <v>0</v>
      </c>
      <c r="AE15" s="227">
        <v>0</v>
      </c>
      <c r="AF15" s="227">
        <v>21858.09</v>
      </c>
      <c r="AG15" s="227">
        <v>18684.32</v>
      </c>
      <c r="AH15" s="227">
        <v>0</v>
      </c>
      <c r="AI15" s="227">
        <v>0</v>
      </c>
      <c r="AJ15" s="227">
        <v>0</v>
      </c>
      <c r="AK15" s="227">
        <v>2548.13</v>
      </c>
      <c r="AL15" s="227">
        <v>55445</v>
      </c>
      <c r="AM15" s="227">
        <v>665285.46</v>
      </c>
      <c r="AN15" s="227">
        <v>3767.78</v>
      </c>
      <c r="AO15" s="227">
        <v>249655.05</v>
      </c>
      <c r="AP15" s="227">
        <v>41348.620000000003</v>
      </c>
      <c r="AQ15" s="227">
        <v>74221.86</v>
      </c>
      <c r="AR15" s="227">
        <v>0</v>
      </c>
      <c r="AS15" s="227">
        <v>17732.68</v>
      </c>
      <c r="AT15" s="227">
        <v>6738.44</v>
      </c>
      <c r="AU15" s="227">
        <v>379</v>
      </c>
      <c r="AV15" s="227">
        <v>350.26</v>
      </c>
      <c r="AW15" s="227">
        <v>0</v>
      </c>
      <c r="AX15" s="227">
        <v>8213.2900000000009</v>
      </c>
      <c r="AY15" s="227">
        <v>4977.67</v>
      </c>
      <c r="AZ15" s="227">
        <v>26045.56</v>
      </c>
      <c r="BA15" s="227">
        <v>6481.05</v>
      </c>
      <c r="BB15" s="227">
        <v>24231.42</v>
      </c>
      <c r="BC15" s="227">
        <v>25000.15</v>
      </c>
      <c r="BD15" s="227">
        <v>7778.15</v>
      </c>
      <c r="BE15" s="227">
        <v>56163.08</v>
      </c>
      <c r="BF15" s="227">
        <v>6218.96</v>
      </c>
      <c r="BG15" s="226">
        <v>0</v>
      </c>
      <c r="BH15" s="226">
        <v>1384.11</v>
      </c>
      <c r="BI15" s="226">
        <v>10170.83</v>
      </c>
      <c r="BJ15" s="226">
        <v>2134.0500000000002</v>
      </c>
      <c r="BK15" s="226">
        <v>256.66000000000003</v>
      </c>
      <c r="BL15" s="226">
        <v>12480</v>
      </c>
      <c r="BM15" s="227">
        <v>0</v>
      </c>
      <c r="BN15" s="227">
        <v>335.5</v>
      </c>
      <c r="BO15" s="227">
        <v>8632.7900000000009</v>
      </c>
      <c r="BP15" s="227">
        <v>2248</v>
      </c>
      <c r="BQ15" s="227">
        <v>85906.71</v>
      </c>
      <c r="BR15" s="227">
        <v>12147</v>
      </c>
      <c r="BS15" s="227">
        <v>109623.88</v>
      </c>
      <c r="BT15" s="227">
        <v>23163.51</v>
      </c>
      <c r="BU15" s="227">
        <v>0</v>
      </c>
      <c r="BV15" s="334">
        <v>0</v>
      </c>
      <c r="BW15" s="335"/>
      <c r="BX15" s="227">
        <v>0</v>
      </c>
      <c r="BY15" s="227">
        <v>0</v>
      </c>
      <c r="BZ15" s="227">
        <v>0</v>
      </c>
      <c r="CA15" s="227">
        <v>6373.75</v>
      </c>
      <c r="CB15" s="227">
        <v>0</v>
      </c>
      <c r="CC15" s="227">
        <v>0</v>
      </c>
      <c r="CD15" s="227">
        <v>6000</v>
      </c>
      <c r="CE15" s="227">
        <v>0</v>
      </c>
      <c r="CF15" s="227">
        <v>0</v>
      </c>
      <c r="CG15" s="227">
        <v>0</v>
      </c>
      <c r="CH15" s="227">
        <v>0</v>
      </c>
      <c r="CI15" s="226">
        <v>0</v>
      </c>
      <c r="CJ15" s="226">
        <v>0</v>
      </c>
      <c r="CK15" s="226">
        <v>0</v>
      </c>
      <c r="CL15" s="226">
        <v>0</v>
      </c>
      <c r="CM15" s="227">
        <v>16870</v>
      </c>
      <c r="CN15" s="227">
        <v>-20218</v>
      </c>
      <c r="CO15" s="227">
        <v>36699</v>
      </c>
      <c r="CP15" s="227">
        <v>0</v>
      </c>
      <c r="CQ15" s="227">
        <v>0</v>
      </c>
      <c r="CR15" s="227">
        <v>0</v>
      </c>
      <c r="CT15" s="229">
        <f t="shared" si="0"/>
        <v>-3348</v>
      </c>
    </row>
    <row r="16" spans="1:98" ht="15">
      <c r="A16" s="226">
        <v>302</v>
      </c>
      <c r="B16" s="226">
        <v>2017</v>
      </c>
      <c r="C16" s="226" t="s">
        <v>239</v>
      </c>
      <c r="D16" s="226" t="s">
        <v>424</v>
      </c>
      <c r="E16" s="226"/>
      <c r="F16" s="226" t="s">
        <v>420</v>
      </c>
      <c r="G16" s="226">
        <v>0</v>
      </c>
      <c r="H16" s="226">
        <v>1</v>
      </c>
      <c r="I16" s="226" t="s">
        <v>472</v>
      </c>
      <c r="J16" s="226" t="s">
        <v>473</v>
      </c>
      <c r="K16" s="226" t="s">
        <v>421</v>
      </c>
      <c r="L16" s="226" t="s">
        <v>422</v>
      </c>
      <c r="M16" s="226" t="s">
        <v>421</v>
      </c>
      <c r="N16" s="226" t="s">
        <v>423</v>
      </c>
      <c r="O16" s="226" t="s">
        <v>171</v>
      </c>
      <c r="P16" s="226" t="s">
        <v>171</v>
      </c>
      <c r="Q16" s="227">
        <v>20527</v>
      </c>
      <c r="R16" s="227">
        <v>0</v>
      </c>
      <c r="S16" s="227">
        <v>15712</v>
      </c>
      <c r="T16" s="227">
        <v>2280087.7000000002</v>
      </c>
      <c r="U16" s="227">
        <v>0</v>
      </c>
      <c r="V16" s="227">
        <v>215453.35</v>
      </c>
      <c r="W16" s="227">
        <v>0</v>
      </c>
      <c r="X16" s="227">
        <v>118410</v>
      </c>
      <c r="Y16" s="227">
        <v>3189.47</v>
      </c>
      <c r="Z16" s="227">
        <v>94610.93</v>
      </c>
      <c r="AA16" s="227">
        <v>122581.9</v>
      </c>
      <c r="AB16" s="227">
        <v>0</v>
      </c>
      <c r="AC16" s="227">
        <v>668.43</v>
      </c>
      <c r="AD16" s="227">
        <v>7669.5</v>
      </c>
      <c r="AE16" s="227">
        <v>963.2</v>
      </c>
      <c r="AF16" s="227">
        <v>68264.06</v>
      </c>
      <c r="AG16" s="227">
        <v>10847.41</v>
      </c>
      <c r="AH16" s="227">
        <v>0</v>
      </c>
      <c r="AI16" s="227">
        <v>0</v>
      </c>
      <c r="AJ16" s="227">
        <v>0</v>
      </c>
      <c r="AK16" s="227">
        <v>6090.25</v>
      </c>
      <c r="AL16" s="227">
        <v>92203</v>
      </c>
      <c r="AM16" s="227">
        <v>1167544.45</v>
      </c>
      <c r="AN16" s="227">
        <v>0</v>
      </c>
      <c r="AO16" s="227">
        <v>686754.63</v>
      </c>
      <c r="AP16" s="227">
        <v>21889.33</v>
      </c>
      <c r="AQ16" s="227">
        <v>98315.54</v>
      </c>
      <c r="AR16" s="227">
        <v>0</v>
      </c>
      <c r="AS16" s="227">
        <v>90348.5</v>
      </c>
      <c r="AT16" s="227">
        <v>33740.160000000003</v>
      </c>
      <c r="AU16" s="227">
        <v>3012.6</v>
      </c>
      <c r="AV16" s="227">
        <v>688.9</v>
      </c>
      <c r="AW16" s="227">
        <v>0</v>
      </c>
      <c r="AX16" s="227">
        <v>13923.99</v>
      </c>
      <c r="AY16" s="227">
        <v>4822.0200000000004</v>
      </c>
      <c r="AZ16" s="227">
        <v>63454.13</v>
      </c>
      <c r="BA16" s="227">
        <v>314.2</v>
      </c>
      <c r="BB16" s="227">
        <v>47545.39</v>
      </c>
      <c r="BC16" s="227">
        <v>46603.199999999997</v>
      </c>
      <c r="BD16" s="227">
        <v>13749.9</v>
      </c>
      <c r="BE16" s="227">
        <v>132945.44</v>
      </c>
      <c r="BF16" s="227">
        <v>6141.84</v>
      </c>
      <c r="BG16" s="226">
        <v>0</v>
      </c>
      <c r="BH16" s="226">
        <v>6485.47</v>
      </c>
      <c r="BI16" s="226">
        <v>9800.73</v>
      </c>
      <c r="BJ16" s="226">
        <v>2707.29</v>
      </c>
      <c r="BK16" s="226">
        <v>76.319999999999993</v>
      </c>
      <c r="BL16" s="226">
        <v>0</v>
      </c>
      <c r="BM16" s="227">
        <v>0</v>
      </c>
      <c r="BN16" s="227">
        <v>30987.19</v>
      </c>
      <c r="BO16" s="227">
        <v>17530.349999999999</v>
      </c>
      <c r="BP16" s="227">
        <v>10707.27</v>
      </c>
      <c r="BQ16" s="227">
        <v>144612.47</v>
      </c>
      <c r="BR16" s="227">
        <v>235296.15</v>
      </c>
      <c r="BS16" s="227">
        <v>197292.9</v>
      </c>
      <c r="BT16" s="227">
        <v>73467.839999999997</v>
      </c>
      <c r="BU16" s="227">
        <v>0</v>
      </c>
      <c r="BV16" s="334">
        <v>0</v>
      </c>
      <c r="BW16" s="335"/>
      <c r="BX16" s="227">
        <v>0</v>
      </c>
      <c r="BY16" s="227">
        <v>0</v>
      </c>
      <c r="BZ16" s="227">
        <v>0</v>
      </c>
      <c r="CA16" s="227">
        <v>8668.75</v>
      </c>
      <c r="CB16" s="227">
        <v>0</v>
      </c>
      <c r="CC16" s="227">
        <v>0</v>
      </c>
      <c r="CD16" s="227">
        <v>6000</v>
      </c>
      <c r="CE16" s="227">
        <v>0</v>
      </c>
      <c r="CF16" s="227">
        <v>13865.75</v>
      </c>
      <c r="CG16" s="227">
        <v>0</v>
      </c>
      <c r="CH16" s="227">
        <v>0</v>
      </c>
      <c r="CI16" s="226">
        <v>0</v>
      </c>
      <c r="CJ16" s="226">
        <v>0</v>
      </c>
      <c r="CK16" s="226">
        <v>0</v>
      </c>
      <c r="CL16" s="226">
        <v>0</v>
      </c>
      <c r="CM16" s="227">
        <v>0</v>
      </c>
      <c r="CN16" s="227">
        <v>-119192</v>
      </c>
      <c r="CO16" s="227">
        <v>6216</v>
      </c>
      <c r="CP16" s="227">
        <v>4299</v>
      </c>
      <c r="CQ16" s="227">
        <v>0</v>
      </c>
      <c r="CR16" s="227">
        <v>0</v>
      </c>
      <c r="CT16" s="229">
        <f t="shared" si="0"/>
        <v>-119192</v>
      </c>
    </row>
    <row r="17" spans="1:98" ht="15">
      <c r="A17" s="226">
        <v>302</v>
      </c>
      <c r="B17" s="226">
        <v>2019</v>
      </c>
      <c r="C17" s="226" t="s">
        <v>53</v>
      </c>
      <c r="D17" s="226" t="s">
        <v>424</v>
      </c>
      <c r="E17" s="226"/>
      <c r="F17" s="226" t="s">
        <v>420</v>
      </c>
      <c r="G17" s="226">
        <v>0</v>
      </c>
      <c r="H17" s="226">
        <v>2</v>
      </c>
      <c r="I17" s="226" t="s">
        <v>472</v>
      </c>
      <c r="J17" s="226" t="s">
        <v>473</v>
      </c>
      <c r="K17" s="226" t="s">
        <v>421</v>
      </c>
      <c r="L17" s="226" t="s">
        <v>422</v>
      </c>
      <c r="M17" s="226" t="s">
        <v>421</v>
      </c>
      <c r="N17" s="226" t="s">
        <v>423</v>
      </c>
      <c r="O17" s="226" t="s">
        <v>171</v>
      </c>
      <c r="P17" s="226" t="s">
        <v>171</v>
      </c>
      <c r="Q17" s="227">
        <v>-24333.59</v>
      </c>
      <c r="R17" s="227">
        <v>0</v>
      </c>
      <c r="S17" s="227">
        <v>1438.34</v>
      </c>
      <c r="T17" s="227">
        <v>1349798.22</v>
      </c>
      <c r="U17" s="227">
        <v>0</v>
      </c>
      <c r="V17" s="227">
        <v>87419.5</v>
      </c>
      <c r="W17" s="227">
        <v>0</v>
      </c>
      <c r="X17" s="227">
        <v>59200</v>
      </c>
      <c r="Y17" s="227">
        <v>1723.5</v>
      </c>
      <c r="Z17" s="227">
        <v>2150</v>
      </c>
      <c r="AA17" s="227">
        <v>9960.07</v>
      </c>
      <c r="AB17" s="227">
        <v>23211.9</v>
      </c>
      <c r="AC17" s="227">
        <v>94.58</v>
      </c>
      <c r="AD17" s="227">
        <v>0</v>
      </c>
      <c r="AE17" s="227">
        <v>2500</v>
      </c>
      <c r="AF17" s="227">
        <v>26201.5</v>
      </c>
      <c r="AG17" s="227">
        <v>8743.7000000000007</v>
      </c>
      <c r="AH17" s="227">
        <v>0</v>
      </c>
      <c r="AI17" s="227">
        <v>0</v>
      </c>
      <c r="AJ17" s="227">
        <v>0</v>
      </c>
      <c r="AK17" s="227">
        <v>1871.88</v>
      </c>
      <c r="AL17" s="227">
        <v>74806</v>
      </c>
      <c r="AM17" s="227">
        <v>821591.34</v>
      </c>
      <c r="AN17" s="227">
        <v>0</v>
      </c>
      <c r="AO17" s="227">
        <v>449566.68</v>
      </c>
      <c r="AP17" s="227">
        <v>52650.96</v>
      </c>
      <c r="AQ17" s="227">
        <v>91824.59</v>
      </c>
      <c r="AR17" s="227">
        <v>0</v>
      </c>
      <c r="AS17" s="227">
        <v>40688.769999999997</v>
      </c>
      <c r="AT17" s="227">
        <v>38785.99</v>
      </c>
      <c r="AU17" s="227">
        <v>2280.98</v>
      </c>
      <c r="AV17" s="227">
        <v>280.54000000000002</v>
      </c>
      <c r="AW17" s="227">
        <v>0</v>
      </c>
      <c r="AX17" s="227">
        <v>15224.7</v>
      </c>
      <c r="AY17" s="227">
        <v>5311</v>
      </c>
      <c r="AZ17" s="227">
        <v>2060.44</v>
      </c>
      <c r="BA17" s="227">
        <v>12665.28</v>
      </c>
      <c r="BB17" s="227">
        <v>45232.13</v>
      </c>
      <c r="BC17" s="227">
        <v>21150</v>
      </c>
      <c r="BD17" s="227">
        <v>6651.9</v>
      </c>
      <c r="BE17" s="227">
        <v>23514.91</v>
      </c>
      <c r="BF17" s="227">
        <v>7998.77</v>
      </c>
      <c r="BG17" s="226">
        <v>0</v>
      </c>
      <c r="BH17" s="226">
        <v>5238.6499999999996</v>
      </c>
      <c r="BI17" s="226">
        <v>15473.62</v>
      </c>
      <c r="BJ17" s="226">
        <v>2452.1999999999998</v>
      </c>
      <c r="BK17" s="226">
        <v>148.1</v>
      </c>
      <c r="BL17" s="226">
        <v>7280</v>
      </c>
      <c r="BM17" s="227">
        <v>0</v>
      </c>
      <c r="BN17" s="227">
        <v>10011.4</v>
      </c>
      <c r="BO17" s="227">
        <v>6910.41</v>
      </c>
      <c r="BP17" s="227">
        <v>4394.5</v>
      </c>
      <c r="BQ17" s="227">
        <v>66449.759999999995</v>
      </c>
      <c r="BR17" s="227">
        <v>12521.8</v>
      </c>
      <c r="BS17" s="227">
        <v>44609.81</v>
      </c>
      <c r="BT17" s="227">
        <v>22383.599999999999</v>
      </c>
      <c r="BU17" s="227">
        <v>0</v>
      </c>
      <c r="BV17" s="334">
        <v>0</v>
      </c>
      <c r="BW17" s="335"/>
      <c r="BX17" s="227">
        <v>618</v>
      </c>
      <c r="BY17" s="227">
        <v>0</v>
      </c>
      <c r="BZ17" s="227">
        <v>0</v>
      </c>
      <c r="CA17" s="227">
        <v>6776.5</v>
      </c>
      <c r="CB17" s="227">
        <v>0</v>
      </c>
      <c r="CC17" s="227">
        <v>618</v>
      </c>
      <c r="CD17" s="227">
        <v>6000</v>
      </c>
      <c r="CE17" s="227">
        <v>0</v>
      </c>
      <c r="CF17" s="227">
        <v>0</v>
      </c>
      <c r="CG17" s="227">
        <v>0</v>
      </c>
      <c r="CH17" s="227">
        <v>7165.1</v>
      </c>
      <c r="CI17" s="226">
        <v>0</v>
      </c>
      <c r="CJ17" s="226">
        <v>0</v>
      </c>
      <c r="CK17" s="226">
        <v>1078.8399999999999</v>
      </c>
      <c r="CL17" s="226">
        <v>588.9</v>
      </c>
      <c r="CM17" s="227">
        <v>0</v>
      </c>
      <c r="CN17" s="227">
        <v>-212623.57</v>
      </c>
      <c r="CO17" s="227">
        <v>0</v>
      </c>
      <c r="CP17" s="227">
        <v>0</v>
      </c>
      <c r="CQ17" s="227">
        <v>0</v>
      </c>
      <c r="CR17" s="227">
        <v>0</v>
      </c>
      <c r="CT17" s="229">
        <f t="shared" si="0"/>
        <v>-212623.57</v>
      </c>
    </row>
    <row r="18" spans="1:98" ht="15">
      <c r="A18" s="226">
        <v>302</v>
      </c>
      <c r="B18" s="226">
        <v>2023</v>
      </c>
      <c r="C18" s="226" t="s">
        <v>325</v>
      </c>
      <c r="D18" s="226" t="s">
        <v>424</v>
      </c>
      <c r="E18" s="226"/>
      <c r="F18" s="226" t="s">
        <v>420</v>
      </c>
      <c r="G18" s="226">
        <v>0</v>
      </c>
      <c r="H18" s="226">
        <v>1</v>
      </c>
      <c r="I18" s="226" t="s">
        <v>472</v>
      </c>
      <c r="J18" s="226" t="s">
        <v>473</v>
      </c>
      <c r="K18" s="226" t="s">
        <v>421</v>
      </c>
      <c r="L18" s="226" t="s">
        <v>422</v>
      </c>
      <c r="M18" s="226" t="s">
        <v>421</v>
      </c>
      <c r="N18" s="226" t="s">
        <v>423</v>
      </c>
      <c r="O18" s="226" t="s">
        <v>171</v>
      </c>
      <c r="P18" s="226" t="s">
        <v>171</v>
      </c>
      <c r="Q18" s="227">
        <v>31240.73</v>
      </c>
      <c r="R18" s="227">
        <v>0</v>
      </c>
      <c r="S18" s="227">
        <v>8701.25</v>
      </c>
      <c r="T18" s="227">
        <v>2674845.5</v>
      </c>
      <c r="U18" s="227">
        <v>0</v>
      </c>
      <c r="V18" s="227">
        <v>221842.74</v>
      </c>
      <c r="W18" s="227">
        <v>0</v>
      </c>
      <c r="X18" s="227">
        <v>217560</v>
      </c>
      <c r="Y18" s="227">
        <v>10991.02</v>
      </c>
      <c r="Z18" s="227">
        <v>81201.039999999994</v>
      </c>
      <c r="AA18" s="227">
        <v>120773.97</v>
      </c>
      <c r="AB18" s="227">
        <v>22311.73</v>
      </c>
      <c r="AC18" s="227">
        <v>2113.0500000000002</v>
      </c>
      <c r="AD18" s="227">
        <v>0</v>
      </c>
      <c r="AE18" s="227">
        <v>0</v>
      </c>
      <c r="AF18" s="227">
        <v>11845.15</v>
      </c>
      <c r="AG18" s="227">
        <v>2762.7</v>
      </c>
      <c r="AH18" s="227">
        <v>0</v>
      </c>
      <c r="AI18" s="227">
        <v>0</v>
      </c>
      <c r="AJ18" s="227">
        <v>0</v>
      </c>
      <c r="AK18" s="227">
        <v>5180</v>
      </c>
      <c r="AL18" s="227">
        <v>82962</v>
      </c>
      <c r="AM18" s="227">
        <v>1322690.8600000001</v>
      </c>
      <c r="AN18" s="227">
        <v>0</v>
      </c>
      <c r="AO18" s="227">
        <v>843885.48</v>
      </c>
      <c r="AP18" s="227">
        <v>84057.07</v>
      </c>
      <c r="AQ18" s="227">
        <v>196802.98</v>
      </c>
      <c r="AR18" s="227">
        <v>0</v>
      </c>
      <c r="AS18" s="227">
        <v>29858.3</v>
      </c>
      <c r="AT18" s="227">
        <v>50496.84</v>
      </c>
      <c r="AU18" s="227">
        <v>2727.28</v>
      </c>
      <c r="AV18" s="227">
        <v>682.26</v>
      </c>
      <c r="AW18" s="227">
        <v>0</v>
      </c>
      <c r="AX18" s="227">
        <v>39945.11</v>
      </c>
      <c r="AY18" s="227">
        <v>5841.5</v>
      </c>
      <c r="AZ18" s="227">
        <v>74329.59</v>
      </c>
      <c r="BA18" s="227">
        <v>21822.75</v>
      </c>
      <c r="BB18" s="227">
        <v>63159.34</v>
      </c>
      <c r="BC18" s="227">
        <v>28742.400000000001</v>
      </c>
      <c r="BD18" s="227">
        <v>8284.9599999999991</v>
      </c>
      <c r="BE18" s="227">
        <v>95575.82</v>
      </c>
      <c r="BF18" s="227">
        <v>19675</v>
      </c>
      <c r="BG18" s="226">
        <v>455.9</v>
      </c>
      <c r="BH18" s="226">
        <v>4397.75</v>
      </c>
      <c r="BI18" s="226">
        <v>22691.69</v>
      </c>
      <c r="BJ18" s="226">
        <v>3775.42</v>
      </c>
      <c r="BK18" s="226">
        <v>4676.57</v>
      </c>
      <c r="BL18" s="226">
        <v>55</v>
      </c>
      <c r="BM18" s="227">
        <v>0</v>
      </c>
      <c r="BN18" s="227">
        <v>12327.95</v>
      </c>
      <c r="BO18" s="227">
        <v>16805.79</v>
      </c>
      <c r="BP18" s="227">
        <v>7327.8</v>
      </c>
      <c r="BQ18" s="227">
        <v>175907.22</v>
      </c>
      <c r="BR18" s="227">
        <v>133093.74</v>
      </c>
      <c r="BS18" s="227">
        <v>224376.52</v>
      </c>
      <c r="BT18" s="227">
        <v>33654.44</v>
      </c>
      <c r="BU18" s="227">
        <v>0</v>
      </c>
      <c r="BV18" s="334">
        <v>0</v>
      </c>
      <c r="BW18" s="335"/>
      <c r="BX18" s="227">
        <v>0</v>
      </c>
      <c r="BY18" s="227">
        <v>0</v>
      </c>
      <c r="BZ18" s="227">
        <v>0</v>
      </c>
      <c r="CA18" s="227">
        <v>9173.8799999999992</v>
      </c>
      <c r="CB18" s="227">
        <v>0</v>
      </c>
      <c r="CC18" s="227">
        <v>0</v>
      </c>
      <c r="CD18" s="227">
        <v>6000</v>
      </c>
      <c r="CE18" s="227">
        <v>0</v>
      </c>
      <c r="CF18" s="227">
        <v>14359</v>
      </c>
      <c r="CG18" s="227">
        <v>0</v>
      </c>
      <c r="CH18" s="227">
        <v>0</v>
      </c>
      <c r="CI18" s="226">
        <v>0</v>
      </c>
      <c r="CJ18" s="226">
        <v>0</v>
      </c>
      <c r="CK18" s="226">
        <v>0</v>
      </c>
      <c r="CL18" s="226">
        <v>0</v>
      </c>
      <c r="CM18" s="227">
        <v>0</v>
      </c>
      <c r="CN18" s="227">
        <v>-42493.7</v>
      </c>
      <c r="CO18" s="227">
        <v>3516.13</v>
      </c>
      <c r="CP18" s="227">
        <v>0</v>
      </c>
      <c r="CQ18" s="227">
        <v>0</v>
      </c>
      <c r="CR18" s="227">
        <v>0</v>
      </c>
      <c r="CT18" s="229">
        <f t="shared" si="0"/>
        <v>-42493.7</v>
      </c>
    </row>
    <row r="19" spans="1:98" ht="30">
      <c r="A19" s="226">
        <v>302</v>
      </c>
      <c r="B19" s="226">
        <v>2024</v>
      </c>
      <c r="C19" s="226" t="s">
        <v>331</v>
      </c>
      <c r="D19" s="226" t="s">
        <v>424</v>
      </c>
      <c r="E19" s="226"/>
      <c r="F19" s="226" t="s">
        <v>420</v>
      </c>
      <c r="G19" s="226">
        <v>0</v>
      </c>
      <c r="H19" s="226">
        <v>1</v>
      </c>
      <c r="I19" s="226" t="s">
        <v>472</v>
      </c>
      <c r="J19" s="226" t="s">
        <v>473</v>
      </c>
      <c r="K19" s="226" t="s">
        <v>421</v>
      </c>
      <c r="L19" s="226" t="s">
        <v>422</v>
      </c>
      <c r="M19" s="226" t="s">
        <v>421</v>
      </c>
      <c r="N19" s="226" t="s">
        <v>423</v>
      </c>
      <c r="O19" s="226" t="s">
        <v>171</v>
      </c>
      <c r="P19" s="226" t="s">
        <v>171</v>
      </c>
      <c r="Q19" s="227">
        <v>-122297.84</v>
      </c>
      <c r="R19" s="227">
        <v>53977.49</v>
      </c>
      <c r="S19" s="227">
        <v>27813.1</v>
      </c>
      <c r="T19" s="227">
        <v>1670178.56</v>
      </c>
      <c r="U19" s="227">
        <v>0</v>
      </c>
      <c r="V19" s="227">
        <v>116440.02</v>
      </c>
      <c r="W19" s="227">
        <v>0</v>
      </c>
      <c r="X19" s="227">
        <v>128399</v>
      </c>
      <c r="Y19" s="227">
        <v>3000</v>
      </c>
      <c r="Z19" s="227">
        <v>35626.67</v>
      </c>
      <c r="AA19" s="227">
        <v>24763.43</v>
      </c>
      <c r="AB19" s="227">
        <v>9222.92</v>
      </c>
      <c r="AC19" s="227">
        <v>661.13</v>
      </c>
      <c r="AD19" s="227">
        <v>0</v>
      </c>
      <c r="AE19" s="227">
        <v>0</v>
      </c>
      <c r="AF19" s="227">
        <v>72639.55</v>
      </c>
      <c r="AG19" s="227">
        <v>7686.65</v>
      </c>
      <c r="AH19" s="227">
        <v>0</v>
      </c>
      <c r="AI19" s="227">
        <v>198014</v>
      </c>
      <c r="AJ19" s="227">
        <v>0</v>
      </c>
      <c r="AK19" s="227">
        <v>7031.38</v>
      </c>
      <c r="AL19" s="227">
        <v>46916</v>
      </c>
      <c r="AM19" s="227">
        <v>712470.97</v>
      </c>
      <c r="AN19" s="227">
        <v>0</v>
      </c>
      <c r="AO19" s="227">
        <v>626986.75</v>
      </c>
      <c r="AP19" s="227">
        <v>34879.85</v>
      </c>
      <c r="AQ19" s="227">
        <v>99268.95</v>
      </c>
      <c r="AR19" s="227">
        <v>0</v>
      </c>
      <c r="AS19" s="227">
        <v>34861.74</v>
      </c>
      <c r="AT19" s="227">
        <v>7731.6</v>
      </c>
      <c r="AU19" s="227">
        <v>3209.99</v>
      </c>
      <c r="AV19" s="227">
        <v>341.96</v>
      </c>
      <c r="AW19" s="227">
        <v>0</v>
      </c>
      <c r="AX19" s="227">
        <v>5546.1</v>
      </c>
      <c r="AY19" s="227">
        <v>3438.18</v>
      </c>
      <c r="AZ19" s="227">
        <v>38222.69</v>
      </c>
      <c r="BA19" s="227">
        <v>6368.86</v>
      </c>
      <c r="BB19" s="227">
        <v>53861</v>
      </c>
      <c r="BC19" s="227">
        <v>60857.78</v>
      </c>
      <c r="BD19" s="227">
        <v>12299.35</v>
      </c>
      <c r="BE19" s="227">
        <v>35844.160000000003</v>
      </c>
      <c r="BF19" s="227">
        <v>5857.26</v>
      </c>
      <c r="BG19" s="226">
        <v>0</v>
      </c>
      <c r="BH19" s="226">
        <v>944.5</v>
      </c>
      <c r="BI19" s="226">
        <v>19269.64</v>
      </c>
      <c r="BJ19" s="226">
        <v>0</v>
      </c>
      <c r="BK19" s="226">
        <v>1591.48</v>
      </c>
      <c r="BL19" s="226">
        <v>12859.15</v>
      </c>
      <c r="BM19" s="227">
        <v>0</v>
      </c>
      <c r="BN19" s="227">
        <v>4585.79</v>
      </c>
      <c r="BO19" s="227">
        <v>7623.34</v>
      </c>
      <c r="BP19" s="227">
        <v>2608.11</v>
      </c>
      <c r="BQ19" s="227">
        <v>82637.710000000006</v>
      </c>
      <c r="BR19" s="227">
        <v>58273.5</v>
      </c>
      <c r="BS19" s="227">
        <v>99430.01</v>
      </c>
      <c r="BT19" s="227">
        <v>39713.620000000003</v>
      </c>
      <c r="BU19" s="227">
        <v>0</v>
      </c>
      <c r="BV19" s="334">
        <v>0</v>
      </c>
      <c r="BW19" s="335"/>
      <c r="BX19" s="227">
        <v>0</v>
      </c>
      <c r="BY19" s="227">
        <v>127482.85</v>
      </c>
      <c r="BZ19" s="227">
        <v>33593.32</v>
      </c>
      <c r="CA19" s="227">
        <v>6730.37</v>
      </c>
      <c r="CB19" s="227">
        <v>0</v>
      </c>
      <c r="CC19" s="227">
        <v>0</v>
      </c>
      <c r="CD19" s="227">
        <v>6000</v>
      </c>
      <c r="CE19" s="227">
        <v>0</v>
      </c>
      <c r="CF19" s="227">
        <v>0</v>
      </c>
      <c r="CG19" s="227">
        <v>0</v>
      </c>
      <c r="CH19" s="227">
        <v>6575.56</v>
      </c>
      <c r="CI19" s="226">
        <v>0</v>
      </c>
      <c r="CJ19" s="226">
        <v>0</v>
      </c>
      <c r="CK19" s="226">
        <v>0</v>
      </c>
      <c r="CL19" s="226">
        <v>0</v>
      </c>
      <c r="CM19" s="227">
        <v>0</v>
      </c>
      <c r="CN19" s="227">
        <v>-71316.570000000007</v>
      </c>
      <c r="CO19" s="227">
        <v>27967.91</v>
      </c>
      <c r="CP19" s="227">
        <v>0</v>
      </c>
      <c r="CQ19" s="227">
        <v>90915.32</v>
      </c>
      <c r="CR19" s="227">
        <v>0</v>
      </c>
      <c r="CT19" s="229">
        <f t="shared" si="0"/>
        <v>19598.75</v>
      </c>
    </row>
    <row r="20" spans="1:98" ht="15">
      <c r="A20" s="226">
        <v>302</v>
      </c>
      <c r="B20" s="226">
        <v>2025</v>
      </c>
      <c r="C20" s="226" t="s">
        <v>56</v>
      </c>
      <c r="D20" s="226" t="s">
        <v>424</v>
      </c>
      <c r="E20" s="226"/>
      <c r="F20" s="226" t="s">
        <v>420</v>
      </c>
      <c r="G20" s="226">
        <v>0</v>
      </c>
      <c r="H20" s="226">
        <v>0</v>
      </c>
      <c r="I20" s="226" t="s">
        <v>472</v>
      </c>
      <c r="J20" s="226" t="s">
        <v>473</v>
      </c>
      <c r="K20" s="226" t="s">
        <v>421</v>
      </c>
      <c r="L20" s="226" t="s">
        <v>422</v>
      </c>
      <c r="M20" s="226" t="s">
        <v>421</v>
      </c>
      <c r="N20" s="226" t="s">
        <v>423</v>
      </c>
      <c r="O20" s="226" t="s">
        <v>171</v>
      </c>
      <c r="P20" s="226" t="s">
        <v>171</v>
      </c>
      <c r="Q20" s="227">
        <v>53929.47</v>
      </c>
      <c r="R20" s="227">
        <v>0</v>
      </c>
      <c r="S20" s="227">
        <v>23245.26</v>
      </c>
      <c r="T20" s="227">
        <v>1643378.11</v>
      </c>
      <c r="U20" s="227">
        <v>0</v>
      </c>
      <c r="V20" s="227">
        <v>86367.41</v>
      </c>
      <c r="W20" s="227">
        <v>0</v>
      </c>
      <c r="X20" s="227">
        <v>21140</v>
      </c>
      <c r="Y20" s="227">
        <v>4000</v>
      </c>
      <c r="Z20" s="227">
        <v>103912.13</v>
      </c>
      <c r="AA20" s="227">
        <v>45702.5</v>
      </c>
      <c r="AB20" s="227">
        <v>31771.53</v>
      </c>
      <c r="AC20" s="227">
        <v>0</v>
      </c>
      <c r="AD20" s="227">
        <v>0</v>
      </c>
      <c r="AE20" s="227">
        <v>0</v>
      </c>
      <c r="AF20" s="227">
        <v>81433.2</v>
      </c>
      <c r="AG20" s="227">
        <v>29048.91</v>
      </c>
      <c r="AH20" s="227">
        <v>0</v>
      </c>
      <c r="AI20" s="227">
        <v>0</v>
      </c>
      <c r="AJ20" s="227">
        <v>0</v>
      </c>
      <c r="AK20" s="227">
        <v>566.88</v>
      </c>
      <c r="AL20" s="227">
        <v>81643</v>
      </c>
      <c r="AM20" s="227">
        <v>1104979.6100000001</v>
      </c>
      <c r="AN20" s="227">
        <v>7026.42</v>
      </c>
      <c r="AO20" s="227">
        <v>337965.89</v>
      </c>
      <c r="AP20" s="227">
        <v>91615.02</v>
      </c>
      <c r="AQ20" s="227">
        <v>74207.460000000006</v>
      </c>
      <c r="AR20" s="227">
        <v>0</v>
      </c>
      <c r="AS20" s="227">
        <v>46063.99</v>
      </c>
      <c r="AT20" s="227">
        <v>8423.68</v>
      </c>
      <c r="AU20" s="227">
        <v>2924.05</v>
      </c>
      <c r="AV20" s="227">
        <v>519.58000000000004</v>
      </c>
      <c r="AW20" s="227">
        <v>0</v>
      </c>
      <c r="AX20" s="227">
        <v>16658.8</v>
      </c>
      <c r="AY20" s="227">
        <v>0</v>
      </c>
      <c r="AZ20" s="227">
        <v>3708.11</v>
      </c>
      <c r="BA20" s="227">
        <v>3346.9</v>
      </c>
      <c r="BB20" s="227">
        <v>65053.7</v>
      </c>
      <c r="BC20" s="227">
        <v>40857.599999999999</v>
      </c>
      <c r="BD20" s="227">
        <v>6352.56</v>
      </c>
      <c r="BE20" s="227">
        <v>83674.59</v>
      </c>
      <c r="BF20" s="227">
        <v>5780.11</v>
      </c>
      <c r="BG20" s="226">
        <v>0</v>
      </c>
      <c r="BH20" s="226">
        <v>4892.75</v>
      </c>
      <c r="BI20" s="226">
        <v>4716.72</v>
      </c>
      <c r="BJ20" s="226">
        <v>0</v>
      </c>
      <c r="BK20" s="226">
        <v>3482.72</v>
      </c>
      <c r="BL20" s="226">
        <v>6240</v>
      </c>
      <c r="BM20" s="227">
        <v>0</v>
      </c>
      <c r="BN20" s="227">
        <v>4865.25</v>
      </c>
      <c r="BO20" s="227">
        <v>12798.57</v>
      </c>
      <c r="BP20" s="227">
        <v>7901.01</v>
      </c>
      <c r="BQ20" s="227">
        <v>132590.79999999999</v>
      </c>
      <c r="BR20" s="227">
        <v>16472.400000000001</v>
      </c>
      <c r="BS20" s="227">
        <v>60727.6</v>
      </c>
      <c r="BT20" s="227">
        <v>28968.25</v>
      </c>
      <c r="BU20" s="227">
        <v>0</v>
      </c>
      <c r="BV20" s="334">
        <v>0</v>
      </c>
      <c r="BW20" s="335"/>
      <c r="BX20" s="227">
        <v>0</v>
      </c>
      <c r="BY20" s="227">
        <v>0</v>
      </c>
      <c r="BZ20" s="227">
        <v>0</v>
      </c>
      <c r="CA20" s="227">
        <v>7588.74</v>
      </c>
      <c r="CB20" s="227">
        <v>0</v>
      </c>
      <c r="CC20" s="227">
        <v>0</v>
      </c>
      <c r="CD20" s="227">
        <v>6000</v>
      </c>
      <c r="CE20" s="227">
        <v>0</v>
      </c>
      <c r="CF20" s="227">
        <v>0</v>
      </c>
      <c r="CG20" s="227">
        <v>0</v>
      </c>
      <c r="CH20" s="227">
        <v>0</v>
      </c>
      <c r="CI20" s="226">
        <v>0</v>
      </c>
      <c r="CJ20" s="226">
        <v>0</v>
      </c>
      <c r="CK20" s="226">
        <v>0</v>
      </c>
      <c r="CL20" s="226">
        <v>0</v>
      </c>
      <c r="CM20" s="227">
        <v>79</v>
      </c>
      <c r="CN20" s="227">
        <v>0</v>
      </c>
      <c r="CO20" s="227">
        <v>30834</v>
      </c>
      <c r="CP20" s="227">
        <v>0</v>
      </c>
      <c r="CQ20" s="227">
        <v>0</v>
      </c>
      <c r="CR20" s="227">
        <v>0</v>
      </c>
      <c r="CT20" s="229">
        <f t="shared" si="0"/>
        <v>79</v>
      </c>
    </row>
    <row r="21" spans="1:98" ht="15">
      <c r="A21" s="226">
        <v>302</v>
      </c>
      <c r="B21" s="226">
        <v>2026</v>
      </c>
      <c r="C21" s="226" t="s">
        <v>241</v>
      </c>
      <c r="D21" s="226" t="s">
        <v>424</v>
      </c>
      <c r="E21" s="226"/>
      <c r="F21" s="226" t="s">
        <v>420</v>
      </c>
      <c r="G21" s="226">
        <v>0</v>
      </c>
      <c r="H21" s="226">
        <v>0</v>
      </c>
      <c r="I21" s="226" t="s">
        <v>472</v>
      </c>
      <c r="J21" s="226" t="s">
        <v>473</v>
      </c>
      <c r="K21" s="226" t="s">
        <v>421</v>
      </c>
      <c r="L21" s="226" t="s">
        <v>422</v>
      </c>
      <c r="M21" s="226" t="s">
        <v>421</v>
      </c>
      <c r="N21" s="226" t="s">
        <v>423</v>
      </c>
      <c r="O21" s="226" t="s">
        <v>171</v>
      </c>
      <c r="P21" s="226" t="s">
        <v>171</v>
      </c>
      <c r="Q21" s="227">
        <v>-99110.62</v>
      </c>
      <c r="R21" s="227">
        <v>0</v>
      </c>
      <c r="S21" s="227">
        <v>20603.25</v>
      </c>
      <c r="T21" s="227">
        <v>2867251.6</v>
      </c>
      <c r="U21" s="227">
        <v>0</v>
      </c>
      <c r="V21" s="227">
        <v>127528.51</v>
      </c>
      <c r="W21" s="227">
        <v>0</v>
      </c>
      <c r="X21" s="227">
        <v>98770</v>
      </c>
      <c r="Y21" s="227">
        <v>1400</v>
      </c>
      <c r="Z21" s="227">
        <v>112484.52</v>
      </c>
      <c r="AA21" s="227">
        <v>65845.73</v>
      </c>
      <c r="AB21" s="227">
        <v>1710.31</v>
      </c>
      <c r="AC21" s="227">
        <v>6709.04</v>
      </c>
      <c r="AD21" s="227">
        <v>0</v>
      </c>
      <c r="AE21" s="227">
        <v>0</v>
      </c>
      <c r="AF21" s="227">
        <v>190304.23</v>
      </c>
      <c r="AG21" s="227">
        <v>16148.2</v>
      </c>
      <c r="AH21" s="227">
        <v>0</v>
      </c>
      <c r="AI21" s="227">
        <v>0</v>
      </c>
      <c r="AJ21" s="227">
        <v>0</v>
      </c>
      <c r="AK21" s="227">
        <v>5434.38</v>
      </c>
      <c r="AL21" s="227">
        <v>95221</v>
      </c>
      <c r="AM21" s="227">
        <v>1490400.77</v>
      </c>
      <c r="AN21" s="227">
        <v>0</v>
      </c>
      <c r="AO21" s="227">
        <v>788620.66</v>
      </c>
      <c r="AP21" s="227">
        <v>75730.12</v>
      </c>
      <c r="AQ21" s="227">
        <v>134861.69</v>
      </c>
      <c r="AR21" s="227">
        <v>0</v>
      </c>
      <c r="AS21" s="227">
        <v>94808.87</v>
      </c>
      <c r="AT21" s="227">
        <v>11687.92</v>
      </c>
      <c r="AU21" s="227">
        <v>4854.55</v>
      </c>
      <c r="AV21" s="227">
        <v>730.4</v>
      </c>
      <c r="AW21" s="227">
        <v>0</v>
      </c>
      <c r="AX21" s="227">
        <v>39082.1</v>
      </c>
      <c r="AY21" s="227">
        <v>4378.33</v>
      </c>
      <c r="AZ21" s="227">
        <v>65578.73</v>
      </c>
      <c r="BA21" s="227">
        <v>3500.1</v>
      </c>
      <c r="BB21" s="227">
        <v>67727.62</v>
      </c>
      <c r="BC21" s="227">
        <v>51596.81</v>
      </c>
      <c r="BD21" s="227">
        <v>16246.83</v>
      </c>
      <c r="BE21" s="227">
        <v>92954</v>
      </c>
      <c r="BF21" s="227">
        <v>7245</v>
      </c>
      <c r="BG21" s="226">
        <v>2577.6999999999998</v>
      </c>
      <c r="BH21" s="226">
        <v>13823.7</v>
      </c>
      <c r="BI21" s="226">
        <v>15035.37</v>
      </c>
      <c r="BJ21" s="226">
        <v>5513.41</v>
      </c>
      <c r="BK21" s="226">
        <v>718.52</v>
      </c>
      <c r="BL21" s="226">
        <v>13130</v>
      </c>
      <c r="BM21" s="227">
        <v>0</v>
      </c>
      <c r="BN21" s="227">
        <v>12106.83</v>
      </c>
      <c r="BO21" s="227">
        <v>18899.93</v>
      </c>
      <c r="BP21" s="227">
        <v>328</v>
      </c>
      <c r="BQ21" s="227">
        <v>176803.35</v>
      </c>
      <c r="BR21" s="227">
        <v>38529.24</v>
      </c>
      <c r="BS21" s="227">
        <v>116329.81</v>
      </c>
      <c r="BT21" s="227">
        <v>49298.54</v>
      </c>
      <c r="BU21" s="227">
        <v>0</v>
      </c>
      <c r="BV21" s="334">
        <v>0</v>
      </c>
      <c r="BW21" s="335"/>
      <c r="BX21" s="227">
        <v>0</v>
      </c>
      <c r="BY21" s="227">
        <v>0</v>
      </c>
      <c r="BZ21" s="227">
        <v>0</v>
      </c>
      <c r="CA21" s="227">
        <v>9567.65</v>
      </c>
      <c r="CB21" s="227">
        <v>3000</v>
      </c>
      <c r="CC21" s="227">
        <v>0</v>
      </c>
      <c r="CD21" s="227">
        <v>6000</v>
      </c>
      <c r="CE21" s="227">
        <v>0</v>
      </c>
      <c r="CF21" s="227">
        <v>0</v>
      </c>
      <c r="CG21" s="227">
        <v>23319.9</v>
      </c>
      <c r="CH21" s="227">
        <v>0</v>
      </c>
      <c r="CI21" s="226">
        <v>0</v>
      </c>
      <c r="CJ21" s="226">
        <v>0</v>
      </c>
      <c r="CK21" s="226">
        <v>0</v>
      </c>
      <c r="CL21" s="226">
        <v>0</v>
      </c>
      <c r="CM21" s="227">
        <v>5634</v>
      </c>
      <c r="CN21" s="227">
        <v>70964</v>
      </c>
      <c r="CO21" s="227">
        <v>9851</v>
      </c>
      <c r="CP21" s="227">
        <v>0</v>
      </c>
      <c r="CQ21" s="227">
        <v>0</v>
      </c>
      <c r="CR21" s="227">
        <v>0</v>
      </c>
      <c r="CT21" s="229">
        <f t="shared" si="0"/>
        <v>76598</v>
      </c>
    </row>
    <row r="22" spans="1:98" ht="15">
      <c r="A22" s="226">
        <v>302</v>
      </c>
      <c r="B22" s="226">
        <v>2027</v>
      </c>
      <c r="C22" s="226" t="s">
        <v>59</v>
      </c>
      <c r="D22" s="226" t="s">
        <v>424</v>
      </c>
      <c r="E22" s="226"/>
      <c r="F22" s="226" t="s">
        <v>420</v>
      </c>
      <c r="G22" s="226">
        <v>0</v>
      </c>
      <c r="H22" s="226">
        <v>1</v>
      </c>
      <c r="I22" s="226" t="s">
        <v>472</v>
      </c>
      <c r="J22" s="226" t="s">
        <v>473</v>
      </c>
      <c r="K22" s="226" t="s">
        <v>421</v>
      </c>
      <c r="L22" s="226" t="s">
        <v>422</v>
      </c>
      <c r="M22" s="226" t="s">
        <v>421</v>
      </c>
      <c r="N22" s="226" t="s">
        <v>423</v>
      </c>
      <c r="O22" s="226" t="s">
        <v>171</v>
      </c>
      <c r="P22" s="226" t="s">
        <v>171</v>
      </c>
      <c r="Q22" s="227">
        <v>-94203.32</v>
      </c>
      <c r="R22" s="227">
        <v>0</v>
      </c>
      <c r="S22" s="227">
        <v>27755.75</v>
      </c>
      <c r="T22" s="227">
        <v>1877936.41</v>
      </c>
      <c r="U22" s="227">
        <v>0</v>
      </c>
      <c r="V22" s="227">
        <v>173961.68</v>
      </c>
      <c r="W22" s="227">
        <v>0</v>
      </c>
      <c r="X22" s="227">
        <v>130940</v>
      </c>
      <c r="Y22" s="227">
        <v>1400</v>
      </c>
      <c r="Z22" s="227">
        <v>153367.89000000001</v>
      </c>
      <c r="AA22" s="227">
        <v>15331.5</v>
      </c>
      <c r="AB22" s="227">
        <v>21683.119999999999</v>
      </c>
      <c r="AC22" s="227">
        <v>5124.97</v>
      </c>
      <c r="AD22" s="227">
        <v>6000</v>
      </c>
      <c r="AE22" s="227">
        <v>2268</v>
      </c>
      <c r="AF22" s="227">
        <v>32870.449999999997</v>
      </c>
      <c r="AG22" s="227">
        <v>8625.1200000000008</v>
      </c>
      <c r="AH22" s="227">
        <v>0</v>
      </c>
      <c r="AI22" s="227">
        <v>0</v>
      </c>
      <c r="AJ22" s="227">
        <v>0</v>
      </c>
      <c r="AK22" s="227">
        <v>9196.8799999999992</v>
      </c>
      <c r="AL22" s="227">
        <v>19303</v>
      </c>
      <c r="AM22" s="227">
        <v>1201155.02</v>
      </c>
      <c r="AN22" s="227">
        <v>0</v>
      </c>
      <c r="AO22" s="227">
        <v>302709.78000000003</v>
      </c>
      <c r="AP22" s="227">
        <v>44175.73</v>
      </c>
      <c r="AQ22" s="227">
        <v>101684.63</v>
      </c>
      <c r="AR22" s="227">
        <v>0</v>
      </c>
      <c r="AS22" s="227">
        <v>27965.69</v>
      </c>
      <c r="AT22" s="227">
        <v>13622.96</v>
      </c>
      <c r="AU22" s="227">
        <v>3932.5</v>
      </c>
      <c r="AV22" s="227">
        <v>6535.14</v>
      </c>
      <c r="AW22" s="227">
        <v>0</v>
      </c>
      <c r="AX22" s="227">
        <v>17217.91</v>
      </c>
      <c r="AY22" s="227">
        <v>2786</v>
      </c>
      <c r="AZ22" s="227">
        <v>31053.82</v>
      </c>
      <c r="BA22" s="227">
        <v>5284.19</v>
      </c>
      <c r="BB22" s="227">
        <v>47881.68</v>
      </c>
      <c r="BC22" s="227">
        <v>23451.360000000001</v>
      </c>
      <c r="BD22" s="227">
        <v>12203.74</v>
      </c>
      <c r="BE22" s="227">
        <v>60229.33</v>
      </c>
      <c r="BF22" s="227">
        <v>3825.72</v>
      </c>
      <c r="BG22" s="226">
        <v>0</v>
      </c>
      <c r="BH22" s="226">
        <v>9197.84</v>
      </c>
      <c r="BI22" s="226">
        <v>9219.81</v>
      </c>
      <c r="BJ22" s="226">
        <v>0</v>
      </c>
      <c r="BK22" s="226">
        <v>1751.62</v>
      </c>
      <c r="BL22" s="226">
        <v>10644.5</v>
      </c>
      <c r="BM22" s="227">
        <v>0</v>
      </c>
      <c r="BN22" s="227">
        <v>5708.23</v>
      </c>
      <c r="BO22" s="227">
        <v>13719.81</v>
      </c>
      <c r="BP22" s="227">
        <v>11762.55</v>
      </c>
      <c r="BQ22" s="227">
        <v>120744.77</v>
      </c>
      <c r="BR22" s="227">
        <v>163243.60999999999</v>
      </c>
      <c r="BS22" s="227">
        <v>324093.26</v>
      </c>
      <c r="BT22" s="227">
        <v>35747.5</v>
      </c>
      <c r="BU22" s="227">
        <v>0</v>
      </c>
      <c r="BV22" s="334">
        <v>0</v>
      </c>
      <c r="BW22" s="335"/>
      <c r="BX22" s="227">
        <v>0</v>
      </c>
      <c r="BY22" s="227">
        <v>0</v>
      </c>
      <c r="BZ22" s="227">
        <v>0</v>
      </c>
      <c r="CA22" s="227">
        <v>7690</v>
      </c>
      <c r="CB22" s="227">
        <v>24569.200000000001</v>
      </c>
      <c r="CC22" s="227">
        <v>0</v>
      </c>
      <c r="CD22" s="227">
        <v>6000</v>
      </c>
      <c r="CE22" s="227">
        <v>0</v>
      </c>
      <c r="CF22" s="227">
        <v>0</v>
      </c>
      <c r="CG22" s="227">
        <v>0</v>
      </c>
      <c r="CH22" s="227">
        <v>0</v>
      </c>
      <c r="CI22" s="226">
        <v>0</v>
      </c>
      <c r="CJ22" s="226">
        <v>0</v>
      </c>
      <c r="CK22" s="226">
        <v>13968.95</v>
      </c>
      <c r="CL22" s="226">
        <v>10600</v>
      </c>
      <c r="CM22" s="227">
        <v>0</v>
      </c>
      <c r="CN22" s="227">
        <v>-247743</v>
      </c>
      <c r="CO22" s="227">
        <v>35446</v>
      </c>
      <c r="CP22" s="227">
        <v>0</v>
      </c>
      <c r="CQ22" s="227">
        <v>0</v>
      </c>
      <c r="CR22" s="227">
        <v>0</v>
      </c>
      <c r="CT22" s="229">
        <f t="shared" si="0"/>
        <v>-247743</v>
      </c>
    </row>
    <row r="23" spans="1:98" ht="15">
      <c r="A23" s="226">
        <v>302</v>
      </c>
      <c r="B23" s="226">
        <v>2028</v>
      </c>
      <c r="C23" s="226" t="s">
        <v>58</v>
      </c>
      <c r="D23" s="226" t="s">
        <v>424</v>
      </c>
      <c r="E23" s="226"/>
      <c r="F23" s="226" t="s">
        <v>420</v>
      </c>
      <c r="G23" s="226">
        <v>0</v>
      </c>
      <c r="H23" s="226">
        <v>1</v>
      </c>
      <c r="I23" s="226" t="s">
        <v>472</v>
      </c>
      <c r="J23" s="226" t="s">
        <v>473</v>
      </c>
      <c r="K23" s="226" t="s">
        <v>421</v>
      </c>
      <c r="L23" s="226" t="s">
        <v>422</v>
      </c>
      <c r="M23" s="226" t="s">
        <v>421</v>
      </c>
      <c r="N23" s="226" t="s">
        <v>423</v>
      </c>
      <c r="O23" s="226" t="s">
        <v>171</v>
      </c>
      <c r="P23" s="226" t="s">
        <v>171</v>
      </c>
      <c r="Q23" s="227">
        <v>-247171.92</v>
      </c>
      <c r="R23" s="227">
        <v>0</v>
      </c>
      <c r="S23" s="227">
        <v>14796.25</v>
      </c>
      <c r="T23" s="227">
        <v>1424423.07</v>
      </c>
      <c r="U23" s="227">
        <v>0</v>
      </c>
      <c r="V23" s="227">
        <v>130931.01</v>
      </c>
      <c r="W23" s="227">
        <v>0</v>
      </c>
      <c r="X23" s="227">
        <v>81400</v>
      </c>
      <c r="Y23" s="227">
        <v>3800</v>
      </c>
      <c r="Z23" s="227">
        <v>9103.36</v>
      </c>
      <c r="AA23" s="227">
        <v>14821</v>
      </c>
      <c r="AB23" s="227">
        <v>7806.86</v>
      </c>
      <c r="AC23" s="227">
        <v>2953.08</v>
      </c>
      <c r="AD23" s="227">
        <v>0</v>
      </c>
      <c r="AE23" s="227">
        <v>0</v>
      </c>
      <c r="AF23" s="227">
        <v>7872.73</v>
      </c>
      <c r="AG23" s="227">
        <v>3234.27</v>
      </c>
      <c r="AH23" s="227">
        <v>0</v>
      </c>
      <c r="AI23" s="227">
        <v>0</v>
      </c>
      <c r="AJ23" s="227">
        <v>0</v>
      </c>
      <c r="AK23" s="227">
        <v>5124.38</v>
      </c>
      <c r="AL23" s="227">
        <v>80455</v>
      </c>
      <c r="AM23" s="227">
        <v>777909.36</v>
      </c>
      <c r="AN23" s="227">
        <v>0</v>
      </c>
      <c r="AO23" s="227">
        <v>236474.91</v>
      </c>
      <c r="AP23" s="227">
        <v>44175.11</v>
      </c>
      <c r="AQ23" s="227">
        <v>105062.82</v>
      </c>
      <c r="AR23" s="227">
        <v>0</v>
      </c>
      <c r="AS23" s="227">
        <v>34626.54</v>
      </c>
      <c r="AT23" s="227">
        <v>8007.72</v>
      </c>
      <c r="AU23" s="227">
        <v>975</v>
      </c>
      <c r="AV23" s="227">
        <v>363.54</v>
      </c>
      <c r="AW23" s="227">
        <v>0</v>
      </c>
      <c r="AX23" s="227">
        <v>6648.51</v>
      </c>
      <c r="AY23" s="227">
        <v>3084.94</v>
      </c>
      <c r="AZ23" s="227">
        <v>23517.69</v>
      </c>
      <c r="BA23" s="227">
        <v>3522.78</v>
      </c>
      <c r="BB23" s="227">
        <v>29526.91</v>
      </c>
      <c r="BC23" s="227">
        <v>23451.37</v>
      </c>
      <c r="BD23" s="227">
        <v>9396.15</v>
      </c>
      <c r="BE23" s="227">
        <v>19716.080000000002</v>
      </c>
      <c r="BF23" s="227">
        <v>3825.72</v>
      </c>
      <c r="BG23" s="226">
        <v>0</v>
      </c>
      <c r="BH23" s="226">
        <v>3504.4</v>
      </c>
      <c r="BI23" s="226">
        <v>11307.23</v>
      </c>
      <c r="BJ23" s="226">
        <v>0</v>
      </c>
      <c r="BK23" s="226">
        <v>862.06</v>
      </c>
      <c r="BL23" s="226">
        <v>7036.5</v>
      </c>
      <c r="BM23" s="227">
        <v>0</v>
      </c>
      <c r="BN23" s="227">
        <v>3054.93</v>
      </c>
      <c r="BO23" s="227">
        <v>9132.91</v>
      </c>
      <c r="BP23" s="227">
        <v>929.82</v>
      </c>
      <c r="BQ23" s="227">
        <v>78462.27</v>
      </c>
      <c r="BR23" s="227">
        <v>67713.3</v>
      </c>
      <c r="BS23" s="227">
        <v>207941.77</v>
      </c>
      <c r="BT23" s="227">
        <v>32774.5</v>
      </c>
      <c r="BU23" s="227">
        <v>0</v>
      </c>
      <c r="BV23" s="334">
        <v>0</v>
      </c>
      <c r="BW23" s="335"/>
      <c r="BX23" s="227">
        <v>0</v>
      </c>
      <c r="BY23" s="227">
        <v>0</v>
      </c>
      <c r="BZ23" s="227">
        <v>0</v>
      </c>
      <c r="CA23" s="227">
        <v>6711</v>
      </c>
      <c r="CB23" s="227">
        <v>5000</v>
      </c>
      <c r="CC23" s="227">
        <v>0</v>
      </c>
      <c r="CD23" s="227">
        <v>6000</v>
      </c>
      <c r="CE23" s="227">
        <v>0</v>
      </c>
      <c r="CF23" s="227">
        <v>7585.25</v>
      </c>
      <c r="CG23" s="227">
        <v>0</v>
      </c>
      <c r="CH23" s="227">
        <v>1244</v>
      </c>
      <c r="CI23" s="226">
        <v>0</v>
      </c>
      <c r="CJ23" s="226">
        <v>0</v>
      </c>
      <c r="CK23" s="226">
        <v>0</v>
      </c>
      <c r="CL23" s="226">
        <v>0</v>
      </c>
      <c r="CM23" s="227">
        <v>0</v>
      </c>
      <c r="CN23" s="227">
        <v>-228252</v>
      </c>
      <c r="CO23" s="227">
        <v>12678</v>
      </c>
      <c r="CP23" s="227">
        <v>5000</v>
      </c>
      <c r="CQ23" s="227">
        <v>0</v>
      </c>
      <c r="CR23" s="227">
        <v>0</v>
      </c>
      <c r="CT23" s="229">
        <f t="shared" si="0"/>
        <v>-228252</v>
      </c>
    </row>
    <row r="24" spans="1:98" ht="15">
      <c r="A24" s="226">
        <v>302</v>
      </c>
      <c r="B24" s="226">
        <v>2029</v>
      </c>
      <c r="C24" s="226" t="s">
        <v>242</v>
      </c>
      <c r="D24" s="226" t="s">
        <v>424</v>
      </c>
      <c r="E24" s="226"/>
      <c r="F24" s="226" t="s">
        <v>420</v>
      </c>
      <c r="G24" s="226">
        <v>0</v>
      </c>
      <c r="H24" s="226">
        <v>1</v>
      </c>
      <c r="I24" s="226" t="s">
        <v>472</v>
      </c>
      <c r="J24" s="226" t="s">
        <v>473</v>
      </c>
      <c r="K24" s="226" t="s">
        <v>421</v>
      </c>
      <c r="L24" s="226" t="s">
        <v>422</v>
      </c>
      <c r="M24" s="226" t="s">
        <v>421</v>
      </c>
      <c r="N24" s="226" t="s">
        <v>423</v>
      </c>
      <c r="O24" s="226" t="s">
        <v>171</v>
      </c>
      <c r="P24" s="226" t="s">
        <v>171</v>
      </c>
      <c r="Q24" s="227">
        <v>-212619.91</v>
      </c>
      <c r="R24" s="227">
        <v>0</v>
      </c>
      <c r="S24" s="227">
        <v>25062.25</v>
      </c>
      <c r="T24" s="227">
        <v>2836196.43</v>
      </c>
      <c r="U24" s="227">
        <v>0</v>
      </c>
      <c r="V24" s="227">
        <v>211799.54</v>
      </c>
      <c r="W24" s="227">
        <v>0</v>
      </c>
      <c r="X24" s="227">
        <v>258920</v>
      </c>
      <c r="Y24" s="227">
        <v>4769.2299999999996</v>
      </c>
      <c r="Z24" s="227">
        <v>67351.320000000007</v>
      </c>
      <c r="AA24" s="227">
        <v>0</v>
      </c>
      <c r="AB24" s="227">
        <v>42256.800000000003</v>
      </c>
      <c r="AC24" s="227">
        <v>7795.54</v>
      </c>
      <c r="AD24" s="227">
        <v>0</v>
      </c>
      <c r="AE24" s="227">
        <v>0</v>
      </c>
      <c r="AF24" s="227">
        <v>36672.93</v>
      </c>
      <c r="AG24" s="227">
        <v>2126.7600000000002</v>
      </c>
      <c r="AH24" s="227">
        <v>0</v>
      </c>
      <c r="AI24" s="227">
        <v>0</v>
      </c>
      <c r="AJ24" s="227">
        <v>0</v>
      </c>
      <c r="AK24" s="227">
        <v>16088.75</v>
      </c>
      <c r="AL24" s="227">
        <v>78733</v>
      </c>
      <c r="AM24" s="227">
        <v>1440332.83</v>
      </c>
      <c r="AN24" s="227">
        <v>0</v>
      </c>
      <c r="AO24" s="227">
        <v>880538.49</v>
      </c>
      <c r="AP24" s="227">
        <v>134766.98000000001</v>
      </c>
      <c r="AQ24" s="227">
        <v>76435.7</v>
      </c>
      <c r="AR24" s="227">
        <v>85821.83</v>
      </c>
      <c r="AS24" s="227">
        <v>225766.52</v>
      </c>
      <c r="AT24" s="227">
        <v>12127.14</v>
      </c>
      <c r="AU24" s="227">
        <v>2688</v>
      </c>
      <c r="AV24" s="227">
        <v>0</v>
      </c>
      <c r="AW24" s="227">
        <v>0</v>
      </c>
      <c r="AX24" s="227">
        <v>37143.919999999998</v>
      </c>
      <c r="AY24" s="227">
        <v>4961.8500000000004</v>
      </c>
      <c r="AZ24" s="227">
        <v>4454.62</v>
      </c>
      <c r="BA24" s="227">
        <v>7446.96</v>
      </c>
      <c r="BB24" s="227">
        <v>60728.56</v>
      </c>
      <c r="BC24" s="227">
        <v>30600</v>
      </c>
      <c r="BD24" s="227">
        <v>32737.17</v>
      </c>
      <c r="BE24" s="227">
        <v>89102.91</v>
      </c>
      <c r="BF24" s="227">
        <v>26083.46</v>
      </c>
      <c r="BG24" s="226">
        <v>0</v>
      </c>
      <c r="BH24" s="226">
        <v>0</v>
      </c>
      <c r="BI24" s="226">
        <v>0</v>
      </c>
      <c r="BJ24" s="226">
        <v>0</v>
      </c>
      <c r="BK24" s="226">
        <v>0</v>
      </c>
      <c r="BL24" s="226">
        <v>0</v>
      </c>
      <c r="BM24" s="227">
        <v>0</v>
      </c>
      <c r="BN24" s="227">
        <v>19497</v>
      </c>
      <c r="BO24" s="227">
        <v>10525</v>
      </c>
      <c r="BP24" s="227">
        <v>17562.98</v>
      </c>
      <c r="BQ24" s="227">
        <v>107347.43</v>
      </c>
      <c r="BR24" s="227">
        <v>66104.600000000006</v>
      </c>
      <c r="BS24" s="227">
        <v>181202.69</v>
      </c>
      <c r="BT24" s="227">
        <v>47364.75</v>
      </c>
      <c r="BU24" s="227">
        <v>0</v>
      </c>
      <c r="BV24" s="334">
        <v>0</v>
      </c>
      <c r="BW24" s="335"/>
      <c r="BX24" s="227">
        <v>0</v>
      </c>
      <c r="BY24" s="227">
        <v>0</v>
      </c>
      <c r="BZ24" s="227">
        <v>0</v>
      </c>
      <c r="CA24" s="227">
        <v>9120.75</v>
      </c>
      <c r="CB24" s="227">
        <v>0</v>
      </c>
      <c r="CC24" s="227">
        <v>0</v>
      </c>
      <c r="CD24" s="227">
        <v>6000</v>
      </c>
      <c r="CE24" s="227">
        <v>0</v>
      </c>
      <c r="CF24" s="227">
        <v>0</v>
      </c>
      <c r="CG24" s="227">
        <v>0</v>
      </c>
      <c r="CH24" s="227">
        <v>7320</v>
      </c>
      <c r="CI24" s="226">
        <v>0</v>
      </c>
      <c r="CJ24" s="226">
        <v>0</v>
      </c>
      <c r="CK24" s="226">
        <v>0</v>
      </c>
      <c r="CL24" s="226">
        <v>0</v>
      </c>
      <c r="CM24" s="227">
        <v>0</v>
      </c>
      <c r="CN24" s="227">
        <v>-251251</v>
      </c>
      <c r="CO24" s="227">
        <v>26863</v>
      </c>
      <c r="CP24" s="227">
        <v>0</v>
      </c>
      <c r="CQ24" s="227">
        <v>0</v>
      </c>
      <c r="CR24" s="227">
        <v>0</v>
      </c>
      <c r="CT24" s="229">
        <f t="shared" si="0"/>
        <v>-251251</v>
      </c>
    </row>
    <row r="25" spans="1:98" ht="15">
      <c r="A25" s="226">
        <v>302</v>
      </c>
      <c r="B25" s="226">
        <v>2031</v>
      </c>
      <c r="C25" s="226" t="s">
        <v>243</v>
      </c>
      <c r="D25" s="226" t="s">
        <v>424</v>
      </c>
      <c r="E25" s="226"/>
      <c r="F25" s="226" t="s">
        <v>420</v>
      </c>
      <c r="G25" s="226">
        <v>0</v>
      </c>
      <c r="H25" s="226">
        <v>1</v>
      </c>
      <c r="I25" s="226" t="s">
        <v>472</v>
      </c>
      <c r="J25" s="226" t="s">
        <v>473</v>
      </c>
      <c r="K25" s="226" t="s">
        <v>421</v>
      </c>
      <c r="L25" s="226" t="s">
        <v>422</v>
      </c>
      <c r="M25" s="226" t="s">
        <v>421</v>
      </c>
      <c r="N25" s="226" t="s">
        <v>423</v>
      </c>
      <c r="O25" s="226" t="s">
        <v>171</v>
      </c>
      <c r="P25" s="226" t="s">
        <v>171</v>
      </c>
      <c r="Q25" s="227">
        <v>-86400.88</v>
      </c>
      <c r="R25" s="227">
        <v>0</v>
      </c>
      <c r="S25" s="227">
        <v>30039.23</v>
      </c>
      <c r="T25" s="227">
        <v>1361901.71</v>
      </c>
      <c r="U25" s="227">
        <v>0</v>
      </c>
      <c r="V25" s="227">
        <v>110746.79</v>
      </c>
      <c r="W25" s="227">
        <v>0</v>
      </c>
      <c r="X25" s="227">
        <v>120080</v>
      </c>
      <c r="Y25" s="227">
        <v>20436.97</v>
      </c>
      <c r="Z25" s="227">
        <v>33712.47</v>
      </c>
      <c r="AA25" s="227">
        <v>14707.93</v>
      </c>
      <c r="AB25" s="227">
        <v>12780.72</v>
      </c>
      <c r="AC25" s="227">
        <v>1060.94</v>
      </c>
      <c r="AD25" s="227">
        <v>0</v>
      </c>
      <c r="AE25" s="227">
        <v>0</v>
      </c>
      <c r="AF25" s="227">
        <v>22718.06</v>
      </c>
      <c r="AG25" s="227">
        <v>3170.5</v>
      </c>
      <c r="AH25" s="227">
        <v>0</v>
      </c>
      <c r="AI25" s="227">
        <v>0</v>
      </c>
      <c r="AJ25" s="227">
        <v>0</v>
      </c>
      <c r="AK25" s="227">
        <v>2946.25</v>
      </c>
      <c r="AL25" s="227">
        <v>37985</v>
      </c>
      <c r="AM25" s="227">
        <v>803739.73</v>
      </c>
      <c r="AN25" s="227">
        <v>0</v>
      </c>
      <c r="AO25" s="227">
        <v>509890.68</v>
      </c>
      <c r="AP25" s="227">
        <v>41895.49</v>
      </c>
      <c r="AQ25" s="227">
        <v>87199.73</v>
      </c>
      <c r="AR25" s="227">
        <v>0</v>
      </c>
      <c r="AS25" s="227">
        <v>43655.040000000001</v>
      </c>
      <c r="AT25" s="227">
        <v>2381.98</v>
      </c>
      <c r="AU25" s="227">
        <v>5311.51</v>
      </c>
      <c r="AV25" s="227">
        <v>315.39999999999998</v>
      </c>
      <c r="AW25" s="227">
        <v>0</v>
      </c>
      <c r="AX25" s="227">
        <v>12162.16</v>
      </c>
      <c r="AY25" s="227">
        <v>4935.42</v>
      </c>
      <c r="AZ25" s="227">
        <v>24554.32</v>
      </c>
      <c r="BA25" s="227">
        <v>4100.1099999999997</v>
      </c>
      <c r="BB25" s="227">
        <v>22329.26</v>
      </c>
      <c r="BC25" s="227">
        <v>23550</v>
      </c>
      <c r="BD25" s="227">
        <v>15607.28</v>
      </c>
      <c r="BE25" s="227">
        <v>33014.269999999997</v>
      </c>
      <c r="BF25" s="227">
        <v>6913.14</v>
      </c>
      <c r="BG25" s="226">
        <v>0</v>
      </c>
      <c r="BH25" s="226">
        <v>637.36</v>
      </c>
      <c r="BI25" s="226">
        <v>4133.18</v>
      </c>
      <c r="BJ25" s="226">
        <v>176.39</v>
      </c>
      <c r="BK25" s="226">
        <v>0</v>
      </c>
      <c r="BL25" s="226">
        <v>450</v>
      </c>
      <c r="BM25" s="227">
        <v>0</v>
      </c>
      <c r="BN25" s="227">
        <v>2360.6799999999998</v>
      </c>
      <c r="BO25" s="227">
        <v>3019.1</v>
      </c>
      <c r="BP25" s="227">
        <v>2944.36</v>
      </c>
      <c r="BQ25" s="227">
        <v>78631.759999999995</v>
      </c>
      <c r="BR25" s="227">
        <v>46986.9</v>
      </c>
      <c r="BS25" s="227">
        <v>109184.46</v>
      </c>
      <c r="BT25" s="227">
        <v>39191.75</v>
      </c>
      <c r="BU25" s="227">
        <v>0</v>
      </c>
      <c r="BV25" s="334">
        <v>0</v>
      </c>
      <c r="BW25" s="335"/>
      <c r="BX25" s="227">
        <v>0</v>
      </c>
      <c r="BY25" s="227">
        <v>0</v>
      </c>
      <c r="BZ25" s="227">
        <v>0</v>
      </c>
      <c r="CA25" s="227">
        <v>90121.1</v>
      </c>
      <c r="CB25" s="227">
        <v>0</v>
      </c>
      <c r="CC25" s="227">
        <v>0</v>
      </c>
      <c r="CD25" s="227">
        <v>6000</v>
      </c>
      <c r="CE25" s="227">
        <v>0</v>
      </c>
      <c r="CF25" s="227">
        <v>67519.33</v>
      </c>
      <c r="CG25" s="227">
        <v>0</v>
      </c>
      <c r="CH25" s="227">
        <v>0</v>
      </c>
      <c r="CI25" s="226">
        <v>0</v>
      </c>
      <c r="CJ25" s="226">
        <v>0</v>
      </c>
      <c r="CK25" s="226">
        <v>0</v>
      </c>
      <c r="CL25" s="226">
        <v>0</v>
      </c>
      <c r="CM25" s="227">
        <v>0</v>
      </c>
      <c r="CN25" s="227">
        <v>-273425</v>
      </c>
      <c r="CO25" s="227">
        <v>52641</v>
      </c>
      <c r="CP25" s="227">
        <v>0</v>
      </c>
      <c r="CQ25" s="227">
        <v>0</v>
      </c>
      <c r="CR25" s="227">
        <v>0</v>
      </c>
      <c r="CT25" s="229">
        <f t="shared" si="0"/>
        <v>-273425</v>
      </c>
    </row>
    <row r="26" spans="1:98" ht="15">
      <c r="A26" s="226">
        <v>302</v>
      </c>
      <c r="B26" s="226">
        <v>2032</v>
      </c>
      <c r="C26" s="226" t="s">
        <v>244</v>
      </c>
      <c r="D26" s="226" t="s">
        <v>424</v>
      </c>
      <c r="E26" s="226"/>
      <c r="F26" s="226" t="s">
        <v>420</v>
      </c>
      <c r="G26" s="226">
        <v>0</v>
      </c>
      <c r="H26" s="226">
        <v>1</v>
      </c>
      <c r="I26" s="226" t="s">
        <v>472</v>
      </c>
      <c r="J26" s="226" t="s">
        <v>473</v>
      </c>
      <c r="K26" s="226" t="s">
        <v>421</v>
      </c>
      <c r="L26" s="226" t="s">
        <v>422</v>
      </c>
      <c r="M26" s="226" t="s">
        <v>421</v>
      </c>
      <c r="N26" s="226" t="s">
        <v>423</v>
      </c>
      <c r="O26" s="226" t="s">
        <v>171</v>
      </c>
      <c r="P26" s="226" t="s">
        <v>171</v>
      </c>
      <c r="Q26" s="227">
        <v>-26000</v>
      </c>
      <c r="R26" s="227">
        <v>0</v>
      </c>
      <c r="S26" s="227">
        <v>0</v>
      </c>
      <c r="T26" s="227">
        <v>2593905.94</v>
      </c>
      <c r="U26" s="227">
        <v>0</v>
      </c>
      <c r="V26" s="227">
        <v>210141.86</v>
      </c>
      <c r="W26" s="227">
        <v>0</v>
      </c>
      <c r="X26" s="227">
        <v>140537.18</v>
      </c>
      <c r="Y26" s="227">
        <v>0</v>
      </c>
      <c r="Z26" s="227">
        <v>106302.24</v>
      </c>
      <c r="AA26" s="227">
        <v>0</v>
      </c>
      <c r="AB26" s="227">
        <v>113349.01</v>
      </c>
      <c r="AC26" s="227">
        <v>5076.74</v>
      </c>
      <c r="AD26" s="227">
        <v>0</v>
      </c>
      <c r="AE26" s="227">
        <v>0</v>
      </c>
      <c r="AF26" s="227">
        <v>101149.05</v>
      </c>
      <c r="AG26" s="227">
        <v>17740.599999999999</v>
      </c>
      <c r="AH26" s="227">
        <v>0</v>
      </c>
      <c r="AI26" s="227">
        <v>0</v>
      </c>
      <c r="AJ26" s="227">
        <v>0</v>
      </c>
      <c r="AK26" s="227">
        <v>0</v>
      </c>
      <c r="AL26" s="227">
        <v>93952</v>
      </c>
      <c r="AM26" s="227">
        <v>1577617.56</v>
      </c>
      <c r="AN26" s="227">
        <v>54551.65</v>
      </c>
      <c r="AO26" s="227">
        <v>691504.56</v>
      </c>
      <c r="AP26" s="227">
        <v>47507.98</v>
      </c>
      <c r="AQ26" s="227">
        <v>54823.839999999997</v>
      </c>
      <c r="AR26" s="227">
        <v>0</v>
      </c>
      <c r="AS26" s="227">
        <v>39956.639999999999</v>
      </c>
      <c r="AT26" s="227">
        <v>12468.76</v>
      </c>
      <c r="AU26" s="227">
        <v>3554.34</v>
      </c>
      <c r="AV26" s="227">
        <v>717.12</v>
      </c>
      <c r="AW26" s="227">
        <v>0</v>
      </c>
      <c r="AX26" s="227">
        <v>15961.67</v>
      </c>
      <c r="AY26" s="227">
        <v>2655.51</v>
      </c>
      <c r="AZ26" s="227">
        <v>67011.360000000001</v>
      </c>
      <c r="BA26" s="227">
        <v>7832.99</v>
      </c>
      <c r="BB26" s="227">
        <v>82197.13</v>
      </c>
      <c r="BC26" s="227">
        <v>31500.01</v>
      </c>
      <c r="BD26" s="227">
        <v>7378.2</v>
      </c>
      <c r="BE26" s="227">
        <v>152835.09</v>
      </c>
      <c r="BF26" s="227">
        <v>18749.169999999998</v>
      </c>
      <c r="BG26" s="226">
        <v>0</v>
      </c>
      <c r="BH26" s="226">
        <v>0</v>
      </c>
      <c r="BI26" s="226">
        <v>0</v>
      </c>
      <c r="BJ26" s="226">
        <v>0</v>
      </c>
      <c r="BK26" s="226">
        <v>0</v>
      </c>
      <c r="BL26" s="226">
        <v>0</v>
      </c>
      <c r="BM26" s="227">
        <v>0</v>
      </c>
      <c r="BN26" s="227">
        <v>20854.63</v>
      </c>
      <c r="BO26" s="227">
        <v>17664.48</v>
      </c>
      <c r="BP26" s="227">
        <v>2250</v>
      </c>
      <c r="BQ26" s="227">
        <v>172852.64</v>
      </c>
      <c r="BR26" s="227">
        <v>162459.34</v>
      </c>
      <c r="BS26" s="227">
        <v>75712.789999999994</v>
      </c>
      <c r="BT26" s="227">
        <v>56372.07</v>
      </c>
      <c r="BU26" s="227">
        <v>0</v>
      </c>
      <c r="BV26" s="334">
        <v>0</v>
      </c>
      <c r="BW26" s="335"/>
      <c r="BX26" s="227">
        <v>0</v>
      </c>
      <c r="BY26" s="227">
        <v>0</v>
      </c>
      <c r="BZ26" s="227">
        <v>0</v>
      </c>
      <c r="CA26" s="227">
        <v>9334.75</v>
      </c>
      <c r="CB26" s="227">
        <v>22640.84</v>
      </c>
      <c r="CC26" s="227">
        <v>0</v>
      </c>
      <c r="CD26" s="227">
        <v>6000</v>
      </c>
      <c r="CE26" s="227">
        <v>0</v>
      </c>
      <c r="CF26" s="227">
        <v>23075.59</v>
      </c>
      <c r="CG26" s="227">
        <v>0</v>
      </c>
      <c r="CH26" s="227">
        <v>8900</v>
      </c>
      <c r="CI26" s="226">
        <v>0</v>
      </c>
      <c r="CJ26" s="226">
        <v>0</v>
      </c>
      <c r="CK26" s="226">
        <v>0</v>
      </c>
      <c r="CL26" s="226">
        <v>0</v>
      </c>
      <c r="CM26" s="227">
        <v>0</v>
      </c>
      <c r="CN26" s="227">
        <v>-20834.91</v>
      </c>
      <c r="CO26" s="227">
        <v>0</v>
      </c>
      <c r="CP26" s="227">
        <v>0</v>
      </c>
      <c r="CQ26" s="227">
        <v>0</v>
      </c>
      <c r="CR26" s="227">
        <v>0</v>
      </c>
      <c r="CT26" s="229">
        <f t="shared" si="0"/>
        <v>-20834.91</v>
      </c>
    </row>
    <row r="27" spans="1:98" ht="30">
      <c r="A27" s="226">
        <v>302</v>
      </c>
      <c r="B27" s="226">
        <v>2036</v>
      </c>
      <c r="C27" s="226" t="s">
        <v>332</v>
      </c>
      <c r="D27" s="226" t="s">
        <v>424</v>
      </c>
      <c r="E27" s="226"/>
      <c r="F27" s="226" t="s">
        <v>420</v>
      </c>
      <c r="G27" s="226">
        <v>0</v>
      </c>
      <c r="H27" s="226">
        <v>0</v>
      </c>
      <c r="I27" s="226" t="s">
        <v>472</v>
      </c>
      <c r="J27" s="226" t="s">
        <v>473</v>
      </c>
      <c r="K27" s="226" t="s">
        <v>421</v>
      </c>
      <c r="L27" s="226" t="s">
        <v>422</v>
      </c>
      <c r="M27" s="226" t="s">
        <v>421</v>
      </c>
      <c r="N27" s="226" t="s">
        <v>423</v>
      </c>
      <c r="O27" s="226" t="s">
        <v>171</v>
      </c>
      <c r="P27" s="226" t="s">
        <v>171</v>
      </c>
      <c r="Q27" s="227">
        <v>841905.61</v>
      </c>
      <c r="R27" s="227">
        <v>0</v>
      </c>
      <c r="S27" s="227">
        <v>0</v>
      </c>
      <c r="T27" s="227">
        <v>1833559.85</v>
      </c>
      <c r="U27" s="227">
        <v>0</v>
      </c>
      <c r="V27" s="227">
        <v>460201.86</v>
      </c>
      <c r="W27" s="227">
        <v>0</v>
      </c>
      <c r="X27" s="227">
        <v>99258</v>
      </c>
      <c r="Y27" s="227">
        <v>0</v>
      </c>
      <c r="Z27" s="227">
        <v>50321.89</v>
      </c>
      <c r="AA27" s="227">
        <v>6757</v>
      </c>
      <c r="AB27" s="227">
        <v>81218.58</v>
      </c>
      <c r="AC27" s="227">
        <v>523.5</v>
      </c>
      <c r="AD27" s="227">
        <v>0</v>
      </c>
      <c r="AE27" s="227">
        <v>0</v>
      </c>
      <c r="AF27" s="227">
        <v>44051.73</v>
      </c>
      <c r="AG27" s="227">
        <v>1570.8</v>
      </c>
      <c r="AH27" s="227">
        <v>0</v>
      </c>
      <c r="AI27" s="227">
        <v>0</v>
      </c>
      <c r="AJ27" s="227">
        <v>0</v>
      </c>
      <c r="AK27" s="227">
        <v>0</v>
      </c>
      <c r="AL27" s="227">
        <v>58716.75</v>
      </c>
      <c r="AM27" s="227">
        <v>1154777.81</v>
      </c>
      <c r="AN27" s="227">
        <v>0</v>
      </c>
      <c r="AO27" s="227">
        <v>641457.97</v>
      </c>
      <c r="AP27" s="227">
        <v>91974.5</v>
      </c>
      <c r="AQ27" s="227">
        <v>71494.31</v>
      </c>
      <c r="AR27" s="227">
        <v>0</v>
      </c>
      <c r="AS27" s="227">
        <v>53587.89</v>
      </c>
      <c r="AT27" s="227">
        <v>14132.89</v>
      </c>
      <c r="AU27" s="227">
        <v>2187.71</v>
      </c>
      <c r="AV27" s="227">
        <v>345.29</v>
      </c>
      <c r="AW27" s="227">
        <v>0</v>
      </c>
      <c r="AX27" s="227">
        <v>33673.24</v>
      </c>
      <c r="AY27" s="227">
        <v>13689.43</v>
      </c>
      <c r="AZ27" s="227">
        <v>7189.07</v>
      </c>
      <c r="BA27" s="227">
        <v>2513.42</v>
      </c>
      <c r="BB27" s="227">
        <v>36517.93</v>
      </c>
      <c r="BC27" s="227">
        <v>28199.99</v>
      </c>
      <c r="BD27" s="227">
        <v>19726.54</v>
      </c>
      <c r="BE27" s="227">
        <v>74266.63</v>
      </c>
      <c r="BF27" s="227">
        <v>47045.68</v>
      </c>
      <c r="BG27" s="226">
        <v>0</v>
      </c>
      <c r="BH27" s="226">
        <v>0</v>
      </c>
      <c r="BI27" s="226">
        <v>0</v>
      </c>
      <c r="BJ27" s="226">
        <v>0</v>
      </c>
      <c r="BK27" s="226">
        <v>0</v>
      </c>
      <c r="BL27" s="226">
        <v>0</v>
      </c>
      <c r="BM27" s="227">
        <v>0</v>
      </c>
      <c r="BN27" s="227">
        <v>28765.27</v>
      </c>
      <c r="BO27" s="227">
        <v>11319.74</v>
      </c>
      <c r="BP27" s="227">
        <v>8033.65</v>
      </c>
      <c r="BQ27" s="227">
        <v>92688.960000000006</v>
      </c>
      <c r="BR27" s="227">
        <v>201</v>
      </c>
      <c r="BS27" s="227">
        <v>158800.26999999999</v>
      </c>
      <c r="BT27" s="227">
        <v>42974.01</v>
      </c>
      <c r="BU27" s="227">
        <v>0</v>
      </c>
      <c r="BV27" s="334">
        <v>0</v>
      </c>
      <c r="BW27" s="335"/>
      <c r="BX27" s="227">
        <v>28635.37</v>
      </c>
      <c r="BY27" s="227">
        <v>0</v>
      </c>
      <c r="BZ27" s="227">
        <v>0</v>
      </c>
      <c r="CA27" s="227">
        <v>6714.63</v>
      </c>
      <c r="CB27" s="227">
        <v>0</v>
      </c>
      <c r="CC27" s="227">
        <v>28635.37</v>
      </c>
      <c r="CD27" s="227">
        <v>6000</v>
      </c>
      <c r="CE27" s="227">
        <v>0</v>
      </c>
      <c r="CF27" s="227">
        <v>20950</v>
      </c>
      <c r="CG27" s="227">
        <v>0</v>
      </c>
      <c r="CH27" s="227">
        <v>14400</v>
      </c>
      <c r="CI27" s="226">
        <v>0</v>
      </c>
      <c r="CJ27" s="226">
        <v>0</v>
      </c>
      <c r="CK27" s="226">
        <v>0</v>
      </c>
      <c r="CL27" s="226">
        <v>0</v>
      </c>
      <c r="CM27" s="227">
        <v>0</v>
      </c>
      <c r="CN27" s="227">
        <v>813887</v>
      </c>
      <c r="CO27" s="227">
        <v>0</v>
      </c>
      <c r="CP27" s="227">
        <v>0</v>
      </c>
      <c r="CQ27" s="227">
        <v>0</v>
      </c>
      <c r="CR27" s="227">
        <v>0</v>
      </c>
      <c r="CT27" s="229">
        <f t="shared" si="0"/>
        <v>813887</v>
      </c>
    </row>
    <row r="28" spans="1:98" ht="15">
      <c r="A28" s="226">
        <v>302</v>
      </c>
      <c r="B28" s="226">
        <v>2037</v>
      </c>
      <c r="C28" s="226" t="s">
        <v>246</v>
      </c>
      <c r="D28" s="226" t="s">
        <v>424</v>
      </c>
      <c r="E28" s="226"/>
      <c r="F28" s="226" t="s">
        <v>420</v>
      </c>
      <c r="G28" s="226">
        <v>0</v>
      </c>
      <c r="H28" s="226">
        <v>1</v>
      </c>
      <c r="I28" s="226" t="s">
        <v>472</v>
      </c>
      <c r="J28" s="226" t="s">
        <v>473</v>
      </c>
      <c r="K28" s="226" t="s">
        <v>421</v>
      </c>
      <c r="L28" s="226" t="s">
        <v>422</v>
      </c>
      <c r="M28" s="226" t="s">
        <v>421</v>
      </c>
      <c r="N28" s="226" t="s">
        <v>423</v>
      </c>
      <c r="O28" s="226" t="s">
        <v>171</v>
      </c>
      <c r="P28" s="226" t="s">
        <v>171</v>
      </c>
      <c r="Q28" s="227">
        <v>105868.75</v>
      </c>
      <c r="R28" s="227">
        <v>0</v>
      </c>
      <c r="S28" s="227">
        <v>19082.13</v>
      </c>
      <c r="T28" s="227">
        <v>1412087.45</v>
      </c>
      <c r="U28" s="227">
        <v>0</v>
      </c>
      <c r="V28" s="227">
        <v>123252.61</v>
      </c>
      <c r="W28" s="227">
        <v>0</v>
      </c>
      <c r="X28" s="227">
        <v>55015</v>
      </c>
      <c r="Y28" s="227">
        <v>314.81</v>
      </c>
      <c r="Z28" s="227">
        <v>48092.31</v>
      </c>
      <c r="AA28" s="227">
        <v>33126.6</v>
      </c>
      <c r="AB28" s="227">
        <v>28210.38</v>
      </c>
      <c r="AC28" s="227">
        <v>324.17</v>
      </c>
      <c r="AD28" s="227">
        <v>0</v>
      </c>
      <c r="AE28" s="227">
        <v>0</v>
      </c>
      <c r="AF28" s="227">
        <v>52888.94</v>
      </c>
      <c r="AG28" s="227">
        <v>6970.47</v>
      </c>
      <c r="AH28" s="227">
        <v>0</v>
      </c>
      <c r="AI28" s="227">
        <v>0</v>
      </c>
      <c r="AJ28" s="227">
        <v>0</v>
      </c>
      <c r="AK28" s="227">
        <v>3521.88</v>
      </c>
      <c r="AL28" s="227">
        <v>53253.5</v>
      </c>
      <c r="AM28" s="227">
        <v>733854.18</v>
      </c>
      <c r="AN28" s="227">
        <v>0</v>
      </c>
      <c r="AO28" s="227">
        <v>488574.23</v>
      </c>
      <c r="AP28" s="227">
        <v>26860.21</v>
      </c>
      <c r="AQ28" s="227">
        <v>56720.03</v>
      </c>
      <c r="AR28" s="227">
        <v>0</v>
      </c>
      <c r="AS28" s="227">
        <v>58970.41</v>
      </c>
      <c r="AT28" s="227">
        <v>10549.73</v>
      </c>
      <c r="AU28" s="227">
        <v>7791.65</v>
      </c>
      <c r="AV28" s="227">
        <v>348.6</v>
      </c>
      <c r="AW28" s="227">
        <v>0</v>
      </c>
      <c r="AX28" s="227">
        <v>26668.68</v>
      </c>
      <c r="AY28" s="227">
        <v>1901</v>
      </c>
      <c r="AZ28" s="227">
        <v>33879.94</v>
      </c>
      <c r="BA28" s="227">
        <v>12765.21</v>
      </c>
      <c r="BB28" s="227">
        <v>64384.76</v>
      </c>
      <c r="BC28" s="227">
        <v>33177.72</v>
      </c>
      <c r="BD28" s="227">
        <v>9723.4</v>
      </c>
      <c r="BE28" s="227">
        <v>61584.58</v>
      </c>
      <c r="BF28" s="227">
        <v>8396.2999999999993</v>
      </c>
      <c r="BG28" s="226">
        <v>4978</v>
      </c>
      <c r="BH28" s="226">
        <v>0</v>
      </c>
      <c r="BI28" s="226">
        <v>6110.74</v>
      </c>
      <c r="BJ28" s="226">
        <v>6988.53</v>
      </c>
      <c r="BK28" s="226">
        <v>6369.92</v>
      </c>
      <c r="BL28" s="226">
        <v>7503.5</v>
      </c>
      <c r="BM28" s="227">
        <v>0</v>
      </c>
      <c r="BN28" s="227">
        <v>403.41</v>
      </c>
      <c r="BO28" s="227">
        <v>13197.78</v>
      </c>
      <c r="BP28" s="227">
        <v>15116.91</v>
      </c>
      <c r="BQ28" s="227">
        <v>96115.94</v>
      </c>
      <c r="BR28" s="227">
        <v>102427.06</v>
      </c>
      <c r="BS28" s="227">
        <v>137429.12</v>
      </c>
      <c r="BT28" s="227">
        <v>26891.42</v>
      </c>
      <c r="BU28" s="227">
        <v>0</v>
      </c>
      <c r="BV28" s="334">
        <v>0</v>
      </c>
      <c r="BW28" s="335"/>
      <c r="BX28" s="227">
        <v>0</v>
      </c>
      <c r="BY28" s="227">
        <v>0</v>
      </c>
      <c r="BZ28" s="227">
        <v>0</v>
      </c>
      <c r="CA28" s="227">
        <v>6587.87</v>
      </c>
      <c r="CB28" s="227">
        <v>0</v>
      </c>
      <c r="CC28" s="227">
        <v>0</v>
      </c>
      <c r="CD28" s="227">
        <v>6000</v>
      </c>
      <c r="CE28" s="227">
        <v>0</v>
      </c>
      <c r="CF28" s="227">
        <v>0</v>
      </c>
      <c r="CG28" s="227">
        <v>0</v>
      </c>
      <c r="CH28" s="227">
        <v>0</v>
      </c>
      <c r="CI28" s="226">
        <v>0</v>
      </c>
      <c r="CJ28" s="226">
        <v>0</v>
      </c>
      <c r="CK28" s="226">
        <v>12540</v>
      </c>
      <c r="CL28" s="226">
        <v>0</v>
      </c>
      <c r="CM28" s="227">
        <v>15636.91</v>
      </c>
      <c r="CN28" s="227">
        <v>-152393</v>
      </c>
      <c r="CO28" s="227">
        <v>13130</v>
      </c>
      <c r="CP28" s="227">
        <v>0</v>
      </c>
      <c r="CQ28" s="227">
        <v>0</v>
      </c>
      <c r="CR28" s="227">
        <v>0</v>
      </c>
      <c r="CT28" s="229">
        <f t="shared" si="0"/>
        <v>-136756.09</v>
      </c>
    </row>
    <row r="29" spans="1:98" ht="15">
      <c r="A29" s="226">
        <v>302</v>
      </c>
      <c r="B29" s="226">
        <v>2042</v>
      </c>
      <c r="C29" s="226" t="s">
        <v>250</v>
      </c>
      <c r="D29" s="226" t="s">
        <v>424</v>
      </c>
      <c r="E29" s="226"/>
      <c r="F29" s="226" t="s">
        <v>420</v>
      </c>
      <c r="G29" s="226">
        <v>0</v>
      </c>
      <c r="H29" s="226">
        <v>0</v>
      </c>
      <c r="I29" s="226" t="s">
        <v>472</v>
      </c>
      <c r="J29" s="226" t="s">
        <v>473</v>
      </c>
      <c r="K29" s="226" t="s">
        <v>421</v>
      </c>
      <c r="L29" s="226" t="s">
        <v>422</v>
      </c>
      <c r="M29" s="226" t="s">
        <v>421</v>
      </c>
      <c r="N29" s="226" t="s">
        <v>423</v>
      </c>
      <c r="O29" s="226" t="s">
        <v>171</v>
      </c>
      <c r="P29" s="226" t="s">
        <v>171</v>
      </c>
      <c r="Q29" s="227">
        <v>279690.2</v>
      </c>
      <c r="R29" s="227">
        <v>0</v>
      </c>
      <c r="S29" s="227">
        <v>25687.27</v>
      </c>
      <c r="T29" s="227">
        <v>2150885.2999999998</v>
      </c>
      <c r="U29" s="227">
        <v>0</v>
      </c>
      <c r="V29" s="227">
        <v>130536.95</v>
      </c>
      <c r="W29" s="227">
        <v>0</v>
      </c>
      <c r="X29" s="227">
        <v>34740</v>
      </c>
      <c r="Y29" s="227">
        <v>0</v>
      </c>
      <c r="Z29" s="227">
        <v>119133.25</v>
      </c>
      <c r="AA29" s="227">
        <v>21563.75</v>
      </c>
      <c r="AB29" s="227">
        <v>168109.9</v>
      </c>
      <c r="AC29" s="227">
        <v>1323.68</v>
      </c>
      <c r="AD29" s="227">
        <v>198</v>
      </c>
      <c r="AE29" s="227">
        <v>0</v>
      </c>
      <c r="AF29" s="227">
        <v>62195.11</v>
      </c>
      <c r="AG29" s="227">
        <v>12818.59</v>
      </c>
      <c r="AH29" s="227">
        <v>0</v>
      </c>
      <c r="AI29" s="227">
        <v>0</v>
      </c>
      <c r="AJ29" s="227">
        <v>0</v>
      </c>
      <c r="AK29" s="227">
        <v>2185.63</v>
      </c>
      <c r="AL29" s="227">
        <v>92196</v>
      </c>
      <c r="AM29" s="227">
        <v>1265849.3799999999</v>
      </c>
      <c r="AN29" s="227">
        <v>0</v>
      </c>
      <c r="AO29" s="227">
        <v>601541.78</v>
      </c>
      <c r="AP29" s="227">
        <v>40204.5</v>
      </c>
      <c r="AQ29" s="227">
        <v>88528.25</v>
      </c>
      <c r="AR29" s="227">
        <v>0</v>
      </c>
      <c r="AS29" s="227">
        <v>193514.32</v>
      </c>
      <c r="AT29" s="227">
        <v>9000.18</v>
      </c>
      <c r="AU29" s="227">
        <v>1582</v>
      </c>
      <c r="AV29" s="227">
        <v>11400.93</v>
      </c>
      <c r="AW29" s="227">
        <v>0</v>
      </c>
      <c r="AX29" s="227">
        <v>10935.12</v>
      </c>
      <c r="AY29" s="227">
        <v>5058.25</v>
      </c>
      <c r="AZ29" s="227">
        <v>47994.559999999998</v>
      </c>
      <c r="BA29" s="227">
        <v>5427.86</v>
      </c>
      <c r="BB29" s="227">
        <v>35861.06</v>
      </c>
      <c r="BC29" s="227">
        <v>36600</v>
      </c>
      <c r="BD29" s="227">
        <v>12570.67</v>
      </c>
      <c r="BE29" s="227">
        <v>98781.25</v>
      </c>
      <c r="BF29" s="227">
        <v>9527.64</v>
      </c>
      <c r="BG29" s="226">
        <v>0</v>
      </c>
      <c r="BH29" s="226">
        <v>0</v>
      </c>
      <c r="BI29" s="226">
        <v>0</v>
      </c>
      <c r="BJ29" s="226">
        <v>0</v>
      </c>
      <c r="BK29" s="226">
        <v>0</v>
      </c>
      <c r="BL29" s="226">
        <v>0</v>
      </c>
      <c r="BM29" s="227">
        <v>0</v>
      </c>
      <c r="BN29" s="227">
        <v>12493.86</v>
      </c>
      <c r="BO29" s="227">
        <v>17132.91</v>
      </c>
      <c r="BP29" s="227">
        <v>11508.79</v>
      </c>
      <c r="BQ29" s="227">
        <v>140207.75</v>
      </c>
      <c r="BR29" s="227">
        <v>43644.07</v>
      </c>
      <c r="BS29" s="227">
        <v>93004.87</v>
      </c>
      <c r="BT29" s="227">
        <v>12245.36</v>
      </c>
      <c r="BU29" s="227">
        <v>0</v>
      </c>
      <c r="BV29" s="334">
        <v>0</v>
      </c>
      <c r="BW29" s="335"/>
      <c r="BX29" s="227">
        <v>0</v>
      </c>
      <c r="BY29" s="227">
        <v>0</v>
      </c>
      <c r="BZ29" s="227">
        <v>0</v>
      </c>
      <c r="CA29" s="227">
        <v>8725</v>
      </c>
      <c r="CB29" s="227">
        <v>0</v>
      </c>
      <c r="CC29" s="227">
        <v>0</v>
      </c>
      <c r="CD29" s="227">
        <v>6000</v>
      </c>
      <c r="CE29" s="227">
        <v>0</v>
      </c>
      <c r="CF29" s="227">
        <v>3290</v>
      </c>
      <c r="CG29" s="227">
        <v>0</v>
      </c>
      <c r="CH29" s="227">
        <v>0</v>
      </c>
      <c r="CI29" s="226">
        <v>0</v>
      </c>
      <c r="CJ29" s="226">
        <v>0</v>
      </c>
      <c r="CK29" s="226">
        <v>0</v>
      </c>
      <c r="CL29" s="226">
        <v>0</v>
      </c>
      <c r="CM29" s="227">
        <v>270961</v>
      </c>
      <c r="CN29" s="227">
        <v>0</v>
      </c>
      <c r="CO29" s="227">
        <v>31122.27</v>
      </c>
      <c r="CP29" s="227">
        <v>0</v>
      </c>
      <c r="CQ29" s="227">
        <v>0</v>
      </c>
      <c r="CR29" s="227">
        <v>0</v>
      </c>
      <c r="CT29" s="229">
        <f t="shared" si="0"/>
        <v>270961</v>
      </c>
    </row>
    <row r="30" spans="1:98" ht="15">
      <c r="A30" s="226">
        <v>302</v>
      </c>
      <c r="B30" s="226">
        <v>2043</v>
      </c>
      <c r="C30" s="226" t="s">
        <v>74</v>
      </c>
      <c r="D30" s="226" t="s">
        <v>424</v>
      </c>
      <c r="E30" s="226"/>
      <c r="F30" s="226" t="s">
        <v>420</v>
      </c>
      <c r="G30" s="226">
        <v>0</v>
      </c>
      <c r="H30" s="226">
        <v>0</v>
      </c>
      <c r="I30" s="226" t="s">
        <v>472</v>
      </c>
      <c r="J30" s="226" t="s">
        <v>473</v>
      </c>
      <c r="K30" s="226" t="s">
        <v>421</v>
      </c>
      <c r="L30" s="226" t="s">
        <v>422</v>
      </c>
      <c r="M30" s="226" t="s">
        <v>421</v>
      </c>
      <c r="N30" s="226" t="s">
        <v>423</v>
      </c>
      <c r="O30" s="226" t="s">
        <v>171</v>
      </c>
      <c r="P30" s="226" t="s">
        <v>171</v>
      </c>
      <c r="Q30" s="227">
        <v>123126.92</v>
      </c>
      <c r="R30" s="227">
        <v>0</v>
      </c>
      <c r="S30" s="227">
        <v>52267</v>
      </c>
      <c r="T30" s="227">
        <v>2605779.79</v>
      </c>
      <c r="U30" s="227">
        <v>0</v>
      </c>
      <c r="V30" s="227">
        <v>140615.89000000001</v>
      </c>
      <c r="W30" s="227">
        <v>0</v>
      </c>
      <c r="X30" s="227">
        <v>125800</v>
      </c>
      <c r="Y30" s="227">
        <v>0</v>
      </c>
      <c r="Z30" s="227">
        <v>6549</v>
      </c>
      <c r="AA30" s="227">
        <v>83705.39</v>
      </c>
      <c r="AB30" s="227">
        <v>38303.54</v>
      </c>
      <c r="AC30" s="227">
        <v>0</v>
      </c>
      <c r="AD30" s="227">
        <v>0</v>
      </c>
      <c r="AE30" s="227">
        <v>0</v>
      </c>
      <c r="AF30" s="227">
        <v>29545.25</v>
      </c>
      <c r="AG30" s="227">
        <v>34299.879999999997</v>
      </c>
      <c r="AH30" s="227">
        <v>0</v>
      </c>
      <c r="AI30" s="227">
        <v>0</v>
      </c>
      <c r="AJ30" s="227">
        <v>0</v>
      </c>
      <c r="AK30" s="227">
        <v>9297.5</v>
      </c>
      <c r="AL30" s="227">
        <v>20445</v>
      </c>
      <c r="AM30" s="227">
        <v>1343513.48</v>
      </c>
      <c r="AN30" s="227">
        <v>0</v>
      </c>
      <c r="AO30" s="227">
        <v>472515.97</v>
      </c>
      <c r="AP30" s="227">
        <v>29156.57</v>
      </c>
      <c r="AQ30" s="227">
        <v>104151.47</v>
      </c>
      <c r="AR30" s="227">
        <v>0</v>
      </c>
      <c r="AS30" s="227">
        <v>27305.29</v>
      </c>
      <c r="AT30" s="227">
        <v>11273.66</v>
      </c>
      <c r="AU30" s="227">
        <v>6404.29</v>
      </c>
      <c r="AV30" s="227">
        <v>747</v>
      </c>
      <c r="AW30" s="227">
        <v>0</v>
      </c>
      <c r="AX30" s="227">
        <v>52072.57</v>
      </c>
      <c r="AY30" s="227">
        <v>10173.43</v>
      </c>
      <c r="AZ30" s="227">
        <v>88182.52</v>
      </c>
      <c r="BA30" s="227">
        <v>1562.23</v>
      </c>
      <c r="BB30" s="227">
        <v>52565.14</v>
      </c>
      <c r="BC30" s="227">
        <v>19200</v>
      </c>
      <c r="BD30" s="227">
        <v>12941.13</v>
      </c>
      <c r="BE30" s="227">
        <v>97687.7</v>
      </c>
      <c r="BF30" s="227">
        <v>0</v>
      </c>
      <c r="BG30" s="226">
        <v>0</v>
      </c>
      <c r="BH30" s="226">
        <v>6005.28</v>
      </c>
      <c r="BI30" s="226">
        <v>0</v>
      </c>
      <c r="BJ30" s="226">
        <v>0</v>
      </c>
      <c r="BK30" s="226">
        <v>0</v>
      </c>
      <c r="BL30" s="226">
        <v>0</v>
      </c>
      <c r="BM30" s="227">
        <v>0</v>
      </c>
      <c r="BN30" s="227">
        <v>36567.75</v>
      </c>
      <c r="BO30" s="227">
        <v>17132.5</v>
      </c>
      <c r="BP30" s="227">
        <v>1667.54</v>
      </c>
      <c r="BQ30" s="227">
        <v>179120.03</v>
      </c>
      <c r="BR30" s="227">
        <v>65618.81</v>
      </c>
      <c r="BS30" s="227">
        <v>168976.99</v>
      </c>
      <c r="BT30" s="227">
        <v>41027.29</v>
      </c>
      <c r="BU30" s="227">
        <v>0</v>
      </c>
      <c r="BV30" s="334">
        <v>0</v>
      </c>
      <c r="BW30" s="335"/>
      <c r="BX30" s="227">
        <v>0</v>
      </c>
      <c r="BY30" s="227">
        <v>0</v>
      </c>
      <c r="BZ30" s="227">
        <v>0</v>
      </c>
      <c r="CA30" s="227">
        <v>8961.25</v>
      </c>
      <c r="CB30" s="227">
        <v>0</v>
      </c>
      <c r="CC30" s="227">
        <v>0</v>
      </c>
      <c r="CD30" s="227">
        <v>6000</v>
      </c>
      <c r="CE30" s="227">
        <v>0</v>
      </c>
      <c r="CF30" s="227">
        <v>52428.84</v>
      </c>
      <c r="CG30" s="227">
        <v>2257</v>
      </c>
      <c r="CH30" s="227">
        <v>0</v>
      </c>
      <c r="CI30" s="226">
        <v>0</v>
      </c>
      <c r="CJ30" s="226">
        <v>0</v>
      </c>
      <c r="CK30" s="226">
        <v>6542.41</v>
      </c>
      <c r="CL30" s="226">
        <v>0</v>
      </c>
      <c r="CM30" s="227">
        <v>0</v>
      </c>
      <c r="CN30" s="227">
        <v>371899.52</v>
      </c>
      <c r="CO30" s="227">
        <v>0</v>
      </c>
      <c r="CP30" s="227">
        <v>0</v>
      </c>
      <c r="CQ30" s="227">
        <v>0</v>
      </c>
      <c r="CR30" s="227">
        <v>0</v>
      </c>
      <c r="CT30" s="229">
        <f t="shared" si="0"/>
        <v>371899.52</v>
      </c>
    </row>
    <row r="31" spans="1:98" ht="15">
      <c r="A31" s="226">
        <v>302</v>
      </c>
      <c r="B31" s="226">
        <v>2044</v>
      </c>
      <c r="C31" s="226" t="s">
        <v>73</v>
      </c>
      <c r="D31" s="226" t="s">
        <v>424</v>
      </c>
      <c r="E31" s="226"/>
      <c r="F31" s="226" t="s">
        <v>420</v>
      </c>
      <c r="G31" s="226">
        <v>0</v>
      </c>
      <c r="H31" s="226">
        <v>1</v>
      </c>
      <c r="I31" s="226" t="s">
        <v>472</v>
      </c>
      <c r="J31" s="226" t="s">
        <v>473</v>
      </c>
      <c r="K31" s="226" t="s">
        <v>421</v>
      </c>
      <c r="L31" s="226" t="s">
        <v>422</v>
      </c>
      <c r="M31" s="226" t="s">
        <v>421</v>
      </c>
      <c r="N31" s="226" t="s">
        <v>423</v>
      </c>
      <c r="O31" s="226" t="s">
        <v>171</v>
      </c>
      <c r="P31" s="226" t="s">
        <v>171</v>
      </c>
      <c r="Q31" s="227">
        <v>116600.92</v>
      </c>
      <c r="R31" s="227">
        <v>0</v>
      </c>
      <c r="S31" s="227">
        <v>49129</v>
      </c>
      <c r="T31" s="227">
        <v>1861491.84</v>
      </c>
      <c r="U31" s="227">
        <v>0</v>
      </c>
      <c r="V31" s="227">
        <v>129768.76</v>
      </c>
      <c r="W31" s="227">
        <v>0</v>
      </c>
      <c r="X31" s="227">
        <v>76333.5</v>
      </c>
      <c r="Y31" s="227">
        <v>2202.2600000000002</v>
      </c>
      <c r="Z31" s="227">
        <v>0</v>
      </c>
      <c r="AA31" s="227">
        <v>40382.080000000002</v>
      </c>
      <c r="AB31" s="227">
        <v>27116.78</v>
      </c>
      <c r="AC31" s="227">
        <v>0</v>
      </c>
      <c r="AD31" s="227">
        <v>0</v>
      </c>
      <c r="AE31" s="227">
        <v>0</v>
      </c>
      <c r="AF31" s="227">
        <v>1098.6400000000001</v>
      </c>
      <c r="AG31" s="227">
        <v>4947.8100000000004</v>
      </c>
      <c r="AH31" s="227">
        <v>0</v>
      </c>
      <c r="AI31" s="227">
        <v>0</v>
      </c>
      <c r="AJ31" s="227">
        <v>0</v>
      </c>
      <c r="AK31" s="227">
        <v>4545</v>
      </c>
      <c r="AL31" s="227">
        <v>135154</v>
      </c>
      <c r="AM31" s="227">
        <v>943012.11</v>
      </c>
      <c r="AN31" s="227">
        <v>0</v>
      </c>
      <c r="AO31" s="227">
        <v>481513.89</v>
      </c>
      <c r="AP31" s="227">
        <v>36473.550000000003</v>
      </c>
      <c r="AQ31" s="227">
        <v>117929.53</v>
      </c>
      <c r="AR31" s="227">
        <v>0</v>
      </c>
      <c r="AS31" s="227">
        <v>60455.29</v>
      </c>
      <c r="AT31" s="227">
        <v>7657.09</v>
      </c>
      <c r="AU31" s="227">
        <v>10921.5</v>
      </c>
      <c r="AV31" s="227">
        <v>522.9</v>
      </c>
      <c r="AW31" s="227">
        <v>0</v>
      </c>
      <c r="AX31" s="227">
        <v>32324.45</v>
      </c>
      <c r="AY31" s="227">
        <v>4620.2</v>
      </c>
      <c r="AZ31" s="227">
        <v>91653.63</v>
      </c>
      <c r="BA31" s="227">
        <v>9865.7099999999991</v>
      </c>
      <c r="BB31" s="227">
        <v>84086.78</v>
      </c>
      <c r="BC31" s="227">
        <v>19200</v>
      </c>
      <c r="BD31" s="227">
        <v>12219.26</v>
      </c>
      <c r="BE31" s="227">
        <v>42932.72</v>
      </c>
      <c r="BF31" s="227">
        <v>0</v>
      </c>
      <c r="BG31" s="226">
        <v>0</v>
      </c>
      <c r="BH31" s="226">
        <v>5204.3900000000003</v>
      </c>
      <c r="BI31" s="226">
        <v>0</v>
      </c>
      <c r="BJ31" s="226">
        <v>0</v>
      </c>
      <c r="BK31" s="226">
        <v>0</v>
      </c>
      <c r="BL31" s="226">
        <v>0</v>
      </c>
      <c r="BM31" s="227">
        <v>0</v>
      </c>
      <c r="BN31" s="227">
        <v>24343.49</v>
      </c>
      <c r="BO31" s="227">
        <v>20279.349999999999</v>
      </c>
      <c r="BP31" s="227">
        <v>14</v>
      </c>
      <c r="BQ31" s="227">
        <v>164903.76</v>
      </c>
      <c r="BR31" s="227">
        <v>54581.63</v>
      </c>
      <c r="BS31" s="227">
        <v>228147.88</v>
      </c>
      <c r="BT31" s="227">
        <v>25709.38</v>
      </c>
      <c r="BU31" s="227">
        <v>0</v>
      </c>
      <c r="BV31" s="334">
        <v>0</v>
      </c>
      <c r="BW31" s="335"/>
      <c r="BX31" s="227">
        <v>0</v>
      </c>
      <c r="BY31" s="227">
        <v>0</v>
      </c>
      <c r="BZ31" s="227">
        <v>0</v>
      </c>
      <c r="CA31" s="227">
        <v>8005</v>
      </c>
      <c r="CB31" s="227">
        <v>0</v>
      </c>
      <c r="CC31" s="227">
        <v>0</v>
      </c>
      <c r="CD31" s="227">
        <v>6000</v>
      </c>
      <c r="CE31" s="227">
        <v>0</v>
      </c>
      <c r="CF31" s="227">
        <v>36412.5</v>
      </c>
      <c r="CG31" s="227">
        <v>0</v>
      </c>
      <c r="CH31" s="227">
        <v>0</v>
      </c>
      <c r="CI31" s="226">
        <v>0</v>
      </c>
      <c r="CJ31" s="226">
        <v>0</v>
      </c>
      <c r="CK31" s="226">
        <v>7279.29</v>
      </c>
      <c r="CL31" s="226">
        <v>0</v>
      </c>
      <c r="CM31" s="227">
        <v>0</v>
      </c>
      <c r="CN31" s="227">
        <v>-78930.899999999994</v>
      </c>
      <c r="CO31" s="227">
        <v>13442.21</v>
      </c>
      <c r="CP31" s="227">
        <v>0</v>
      </c>
      <c r="CQ31" s="227">
        <v>0</v>
      </c>
      <c r="CR31" s="227">
        <v>0</v>
      </c>
      <c r="CT31" s="229">
        <f t="shared" si="0"/>
        <v>-78930.899999999994</v>
      </c>
    </row>
    <row r="32" spans="1:98" ht="15">
      <c r="A32" s="226">
        <v>302</v>
      </c>
      <c r="B32" s="226">
        <v>2045</v>
      </c>
      <c r="C32" s="226" t="s">
        <v>251</v>
      </c>
      <c r="D32" s="226" t="s">
        <v>424</v>
      </c>
      <c r="E32" s="226"/>
      <c r="F32" s="226" t="s">
        <v>420</v>
      </c>
      <c r="G32" s="226">
        <v>0</v>
      </c>
      <c r="H32" s="226">
        <v>1</v>
      </c>
      <c r="I32" s="226" t="s">
        <v>472</v>
      </c>
      <c r="J32" s="226" t="s">
        <v>473</v>
      </c>
      <c r="K32" s="226" t="s">
        <v>421</v>
      </c>
      <c r="L32" s="226" t="s">
        <v>422</v>
      </c>
      <c r="M32" s="226" t="s">
        <v>421</v>
      </c>
      <c r="N32" s="226" t="s">
        <v>423</v>
      </c>
      <c r="O32" s="226" t="s">
        <v>171</v>
      </c>
      <c r="P32" s="226" t="s">
        <v>171</v>
      </c>
      <c r="Q32" s="227">
        <v>-4517.82</v>
      </c>
      <c r="R32" s="227">
        <v>0</v>
      </c>
      <c r="S32" s="227">
        <v>0</v>
      </c>
      <c r="T32" s="227">
        <v>1556149.9</v>
      </c>
      <c r="U32" s="227">
        <v>0</v>
      </c>
      <c r="V32" s="227">
        <v>109850.39</v>
      </c>
      <c r="W32" s="227">
        <v>0</v>
      </c>
      <c r="X32" s="227">
        <v>58280</v>
      </c>
      <c r="Y32" s="227">
        <v>9205.42</v>
      </c>
      <c r="Z32" s="227">
        <v>100680.4</v>
      </c>
      <c r="AA32" s="227">
        <v>10381.85</v>
      </c>
      <c r="AB32" s="227">
        <v>84077.69</v>
      </c>
      <c r="AC32" s="227">
        <v>2466.63</v>
      </c>
      <c r="AD32" s="227">
        <v>0</v>
      </c>
      <c r="AE32" s="227">
        <v>0</v>
      </c>
      <c r="AF32" s="227">
        <v>96323.44</v>
      </c>
      <c r="AG32" s="227">
        <v>21683.65</v>
      </c>
      <c r="AH32" s="227">
        <v>0</v>
      </c>
      <c r="AI32" s="227">
        <v>0</v>
      </c>
      <c r="AJ32" s="227">
        <v>0</v>
      </c>
      <c r="AK32" s="227">
        <v>1198.75</v>
      </c>
      <c r="AL32" s="227">
        <v>52217</v>
      </c>
      <c r="AM32" s="227">
        <v>808247.41</v>
      </c>
      <c r="AN32" s="227">
        <v>0</v>
      </c>
      <c r="AO32" s="227">
        <v>493825.71</v>
      </c>
      <c r="AP32" s="227">
        <v>70971.5</v>
      </c>
      <c r="AQ32" s="227">
        <v>61772.23</v>
      </c>
      <c r="AR32" s="227">
        <v>0</v>
      </c>
      <c r="AS32" s="227">
        <v>77166.66</v>
      </c>
      <c r="AT32" s="227">
        <v>7654.64</v>
      </c>
      <c r="AU32" s="227">
        <v>1840</v>
      </c>
      <c r="AV32" s="227">
        <v>348.6</v>
      </c>
      <c r="AW32" s="227">
        <v>0</v>
      </c>
      <c r="AX32" s="227">
        <v>20115.400000000001</v>
      </c>
      <c r="AY32" s="227">
        <v>2740</v>
      </c>
      <c r="AZ32" s="227">
        <v>495.04</v>
      </c>
      <c r="BA32" s="227">
        <v>4938.07</v>
      </c>
      <c r="BB32" s="227">
        <v>52444.23</v>
      </c>
      <c r="BC32" s="227">
        <v>36556.81</v>
      </c>
      <c r="BD32" s="227">
        <v>10158.68</v>
      </c>
      <c r="BE32" s="227">
        <v>138469.98000000001</v>
      </c>
      <c r="BF32" s="227">
        <v>10326.23</v>
      </c>
      <c r="BG32" s="226">
        <v>0</v>
      </c>
      <c r="BH32" s="226">
        <v>1173</v>
      </c>
      <c r="BI32" s="226">
        <v>8234</v>
      </c>
      <c r="BJ32" s="226">
        <v>1408.94</v>
      </c>
      <c r="BK32" s="226">
        <v>447.08</v>
      </c>
      <c r="BL32" s="226">
        <v>8294.75</v>
      </c>
      <c r="BM32" s="227">
        <v>0</v>
      </c>
      <c r="BN32" s="227">
        <v>629.66999999999996</v>
      </c>
      <c r="BO32" s="227">
        <v>7416.9</v>
      </c>
      <c r="BP32" s="227">
        <v>26020.99</v>
      </c>
      <c r="BQ32" s="227">
        <v>81343.37</v>
      </c>
      <c r="BR32" s="227">
        <v>70659.63</v>
      </c>
      <c r="BS32" s="227">
        <v>69001.509999999995</v>
      </c>
      <c r="BT32" s="227">
        <v>27263.27</v>
      </c>
      <c r="BU32" s="227">
        <v>0</v>
      </c>
      <c r="BV32" s="334">
        <v>0</v>
      </c>
      <c r="BW32" s="335"/>
      <c r="BX32" s="227">
        <v>0</v>
      </c>
      <c r="BY32" s="227">
        <v>0</v>
      </c>
      <c r="BZ32" s="227">
        <v>0</v>
      </c>
      <c r="CA32" s="227">
        <v>6808</v>
      </c>
      <c r="CB32" s="227">
        <v>8542.2000000000007</v>
      </c>
      <c r="CC32" s="227">
        <v>0</v>
      </c>
      <c r="CD32" s="227">
        <v>6000</v>
      </c>
      <c r="CE32" s="227">
        <v>0</v>
      </c>
      <c r="CF32" s="227">
        <v>0</v>
      </c>
      <c r="CG32" s="227">
        <v>0</v>
      </c>
      <c r="CH32" s="227">
        <v>0</v>
      </c>
      <c r="CI32" s="226">
        <v>0</v>
      </c>
      <c r="CJ32" s="226">
        <v>0</v>
      </c>
      <c r="CK32" s="226">
        <v>8542.2000000000007</v>
      </c>
      <c r="CL32" s="226">
        <v>0</v>
      </c>
      <c r="CM32" s="227">
        <v>0</v>
      </c>
      <c r="CN32" s="227">
        <v>-1967</v>
      </c>
      <c r="CO32" s="227">
        <v>6808</v>
      </c>
      <c r="CP32" s="227">
        <v>0</v>
      </c>
      <c r="CQ32" s="227">
        <v>0</v>
      </c>
      <c r="CR32" s="227">
        <v>0</v>
      </c>
      <c r="CT32" s="229">
        <f t="shared" si="0"/>
        <v>-1967</v>
      </c>
    </row>
    <row r="33" spans="1:98" ht="15">
      <c r="A33" s="226">
        <v>302</v>
      </c>
      <c r="B33" s="226">
        <v>2053</v>
      </c>
      <c r="C33" s="226" t="s">
        <v>386</v>
      </c>
      <c r="D33" s="226" t="s">
        <v>424</v>
      </c>
      <c r="E33" s="226"/>
      <c r="F33" s="226" t="s">
        <v>420</v>
      </c>
      <c r="G33" s="226">
        <v>0</v>
      </c>
      <c r="H33" s="226">
        <v>0</v>
      </c>
      <c r="I33" s="226" t="s">
        <v>472</v>
      </c>
      <c r="J33" s="226" t="s">
        <v>473</v>
      </c>
      <c r="K33" s="226" t="s">
        <v>421</v>
      </c>
      <c r="L33" s="226" t="s">
        <v>422</v>
      </c>
      <c r="M33" s="226" t="s">
        <v>421</v>
      </c>
      <c r="N33" s="226" t="s">
        <v>423</v>
      </c>
      <c r="O33" s="226" t="s">
        <v>171</v>
      </c>
      <c r="P33" s="226" t="s">
        <v>171</v>
      </c>
      <c r="Q33" s="227">
        <v>-31184.44</v>
      </c>
      <c r="R33" s="227">
        <v>0</v>
      </c>
      <c r="S33" s="227">
        <v>0</v>
      </c>
      <c r="T33" s="227">
        <v>1285970.47</v>
      </c>
      <c r="U33" s="227">
        <v>0</v>
      </c>
      <c r="V33" s="227">
        <v>84630.64</v>
      </c>
      <c r="W33" s="227">
        <v>0</v>
      </c>
      <c r="X33" s="227">
        <v>7400</v>
      </c>
      <c r="Y33" s="227">
        <v>57613.08</v>
      </c>
      <c r="Z33" s="227">
        <v>178887.7</v>
      </c>
      <c r="AA33" s="227">
        <v>0</v>
      </c>
      <c r="AB33" s="227">
        <v>4448.54</v>
      </c>
      <c r="AC33" s="227">
        <v>0</v>
      </c>
      <c r="AD33" s="227">
        <v>0</v>
      </c>
      <c r="AE33" s="227">
        <v>0</v>
      </c>
      <c r="AF33" s="227">
        <v>12415.66</v>
      </c>
      <c r="AG33" s="227">
        <v>528071.65</v>
      </c>
      <c r="AH33" s="227">
        <v>0</v>
      </c>
      <c r="AI33" s="227">
        <v>0</v>
      </c>
      <c r="AJ33" s="227">
        <v>0</v>
      </c>
      <c r="AK33" s="227">
        <v>842.5</v>
      </c>
      <c r="AL33" s="227">
        <v>58134</v>
      </c>
      <c r="AM33" s="227">
        <v>731395.37</v>
      </c>
      <c r="AN33" s="227">
        <v>7464.43</v>
      </c>
      <c r="AO33" s="227">
        <v>817799.28</v>
      </c>
      <c r="AP33" s="227">
        <v>33558.83</v>
      </c>
      <c r="AQ33" s="227">
        <v>119523.3</v>
      </c>
      <c r="AR33" s="227">
        <v>0</v>
      </c>
      <c r="AS33" s="227">
        <v>0</v>
      </c>
      <c r="AT33" s="227">
        <v>11515.25</v>
      </c>
      <c r="AU33" s="227">
        <v>13563.76</v>
      </c>
      <c r="AV33" s="227">
        <v>343.63</v>
      </c>
      <c r="AW33" s="227">
        <v>0</v>
      </c>
      <c r="AX33" s="227">
        <v>11667.72</v>
      </c>
      <c r="AY33" s="227">
        <v>0</v>
      </c>
      <c r="AZ33" s="227">
        <v>42700.75</v>
      </c>
      <c r="BA33" s="227">
        <v>1896.38</v>
      </c>
      <c r="BB33" s="227">
        <v>27218.67</v>
      </c>
      <c r="BC33" s="227">
        <v>5406.05</v>
      </c>
      <c r="BD33" s="227">
        <v>70395.89</v>
      </c>
      <c r="BE33" s="227">
        <v>65281.85</v>
      </c>
      <c r="BF33" s="227">
        <v>1362.02</v>
      </c>
      <c r="BG33" s="226">
        <v>0</v>
      </c>
      <c r="BH33" s="226">
        <v>3446.79</v>
      </c>
      <c r="BI33" s="226">
        <v>0</v>
      </c>
      <c r="BJ33" s="226">
        <v>545</v>
      </c>
      <c r="BK33" s="226">
        <v>0</v>
      </c>
      <c r="BL33" s="226">
        <v>0</v>
      </c>
      <c r="BM33" s="227">
        <v>0</v>
      </c>
      <c r="BN33" s="227">
        <v>16771.25</v>
      </c>
      <c r="BO33" s="227">
        <v>13310.25</v>
      </c>
      <c r="BP33" s="227">
        <v>486.08</v>
      </c>
      <c r="BQ33" s="227">
        <v>82322.44</v>
      </c>
      <c r="BR33" s="227">
        <v>21895</v>
      </c>
      <c r="BS33" s="227">
        <v>28584.400000000001</v>
      </c>
      <c r="BT33" s="227">
        <v>47815.41</v>
      </c>
      <c r="BU33" s="227">
        <v>0</v>
      </c>
      <c r="BV33" s="334">
        <v>0</v>
      </c>
      <c r="BW33" s="335"/>
      <c r="BX33" s="227">
        <v>0</v>
      </c>
      <c r="BY33" s="227">
        <v>0</v>
      </c>
      <c r="BZ33" s="227">
        <v>0</v>
      </c>
      <c r="CA33" s="227">
        <v>0</v>
      </c>
      <c r="CB33" s="227">
        <v>0</v>
      </c>
      <c r="CC33" s="227">
        <v>0</v>
      </c>
      <c r="CD33" s="227">
        <v>6000</v>
      </c>
      <c r="CE33" s="227">
        <v>0</v>
      </c>
      <c r="CF33" s="227">
        <v>0</v>
      </c>
      <c r="CG33" s="227">
        <v>0</v>
      </c>
      <c r="CH33" s="227">
        <v>0</v>
      </c>
      <c r="CI33" s="226">
        <v>0</v>
      </c>
      <c r="CJ33" s="226">
        <v>0</v>
      </c>
      <c r="CK33" s="226">
        <v>0</v>
      </c>
      <c r="CL33" s="226">
        <v>0</v>
      </c>
      <c r="CM33" s="227">
        <v>0</v>
      </c>
      <c r="CN33" s="227">
        <v>10960</v>
      </c>
      <c r="CO33" s="227">
        <v>0</v>
      </c>
      <c r="CP33" s="227">
        <v>0</v>
      </c>
      <c r="CQ33" s="227">
        <v>0</v>
      </c>
      <c r="CR33" s="227">
        <v>0</v>
      </c>
      <c r="CT33" s="229">
        <f t="shared" si="0"/>
        <v>10960</v>
      </c>
    </row>
    <row r="34" spans="1:98" ht="15">
      <c r="A34" s="226">
        <v>302</v>
      </c>
      <c r="B34" s="226">
        <v>2054</v>
      </c>
      <c r="C34" s="226" t="s">
        <v>311</v>
      </c>
      <c r="D34" s="226" t="s">
        <v>424</v>
      </c>
      <c r="E34" s="226"/>
      <c r="F34" s="226" t="s">
        <v>420</v>
      </c>
      <c r="G34" s="226">
        <v>0</v>
      </c>
      <c r="H34" s="226">
        <v>0</v>
      </c>
      <c r="I34" s="226" t="s">
        <v>472</v>
      </c>
      <c r="J34" s="226" t="s">
        <v>473</v>
      </c>
      <c r="K34" s="226" t="s">
        <v>421</v>
      </c>
      <c r="L34" s="226" t="s">
        <v>422</v>
      </c>
      <c r="M34" s="226" t="s">
        <v>421</v>
      </c>
      <c r="N34" s="226" t="s">
        <v>423</v>
      </c>
      <c r="O34" s="226" t="s">
        <v>171</v>
      </c>
      <c r="P34" s="226" t="s">
        <v>171</v>
      </c>
      <c r="Q34" s="227">
        <v>65267.17</v>
      </c>
      <c r="R34" s="227">
        <v>0</v>
      </c>
      <c r="S34" s="227">
        <v>6954.25</v>
      </c>
      <c r="T34" s="227">
        <v>1156607.51</v>
      </c>
      <c r="U34" s="227">
        <v>0</v>
      </c>
      <c r="V34" s="227">
        <v>71766.679999999993</v>
      </c>
      <c r="W34" s="227">
        <v>0</v>
      </c>
      <c r="X34" s="227">
        <v>15890</v>
      </c>
      <c r="Y34" s="227">
        <v>5514.81</v>
      </c>
      <c r="Z34" s="227">
        <v>59006.03</v>
      </c>
      <c r="AA34" s="227">
        <v>35759.919999999998</v>
      </c>
      <c r="AB34" s="227">
        <v>43356.52</v>
      </c>
      <c r="AC34" s="227">
        <v>1381.44</v>
      </c>
      <c r="AD34" s="227">
        <v>0</v>
      </c>
      <c r="AE34" s="227">
        <v>0</v>
      </c>
      <c r="AF34" s="227">
        <v>27861.01</v>
      </c>
      <c r="AG34" s="227">
        <v>34597.279999999999</v>
      </c>
      <c r="AH34" s="227">
        <v>0</v>
      </c>
      <c r="AI34" s="227">
        <v>0</v>
      </c>
      <c r="AJ34" s="227">
        <v>0</v>
      </c>
      <c r="AK34" s="227">
        <v>1253.1300000000001</v>
      </c>
      <c r="AL34" s="227">
        <v>53741</v>
      </c>
      <c r="AM34" s="227">
        <v>664723.17000000004</v>
      </c>
      <c r="AN34" s="227">
        <v>0</v>
      </c>
      <c r="AO34" s="227">
        <v>168759.2</v>
      </c>
      <c r="AP34" s="227">
        <v>30834.93</v>
      </c>
      <c r="AQ34" s="227">
        <v>54061.53</v>
      </c>
      <c r="AR34" s="227">
        <v>0</v>
      </c>
      <c r="AS34" s="227">
        <v>66291.77</v>
      </c>
      <c r="AT34" s="227">
        <v>4412.55</v>
      </c>
      <c r="AU34" s="227">
        <v>1648.15</v>
      </c>
      <c r="AV34" s="227">
        <v>338.64</v>
      </c>
      <c r="AW34" s="227">
        <v>5368.35</v>
      </c>
      <c r="AX34" s="227">
        <v>19730.330000000002</v>
      </c>
      <c r="AY34" s="227">
        <v>2196.64</v>
      </c>
      <c r="AZ34" s="227">
        <v>20132.939999999999</v>
      </c>
      <c r="BA34" s="227">
        <v>2619.5</v>
      </c>
      <c r="BB34" s="227">
        <v>16488.77</v>
      </c>
      <c r="BC34" s="227">
        <v>22904.1</v>
      </c>
      <c r="BD34" s="227">
        <v>9857.52</v>
      </c>
      <c r="BE34" s="227">
        <v>58345.919999999998</v>
      </c>
      <c r="BF34" s="227">
        <v>7348.97</v>
      </c>
      <c r="BG34" s="226">
        <v>0</v>
      </c>
      <c r="BH34" s="226">
        <v>5426.52</v>
      </c>
      <c r="BI34" s="226">
        <v>7580.32</v>
      </c>
      <c r="BJ34" s="226">
        <v>2262.0500000000002</v>
      </c>
      <c r="BK34" s="226">
        <v>1265.06</v>
      </c>
      <c r="BL34" s="226">
        <v>6240</v>
      </c>
      <c r="BM34" s="227">
        <v>0</v>
      </c>
      <c r="BN34" s="227">
        <v>1386.97</v>
      </c>
      <c r="BO34" s="227">
        <v>8341.56</v>
      </c>
      <c r="BP34" s="227">
        <v>6247.46</v>
      </c>
      <c r="BQ34" s="227">
        <v>82308.19</v>
      </c>
      <c r="BR34" s="227">
        <v>49831.78</v>
      </c>
      <c r="BS34" s="227">
        <v>160290.26</v>
      </c>
      <c r="BT34" s="227">
        <v>25232.35</v>
      </c>
      <c r="BU34" s="227">
        <v>0</v>
      </c>
      <c r="BV34" s="334">
        <v>0</v>
      </c>
      <c r="BW34" s="335"/>
      <c r="BX34" s="227">
        <v>0</v>
      </c>
      <c r="BY34" s="227">
        <v>0</v>
      </c>
      <c r="BZ34" s="227">
        <v>0</v>
      </c>
      <c r="CA34" s="227">
        <v>6283.33</v>
      </c>
      <c r="CB34" s="227">
        <v>0</v>
      </c>
      <c r="CC34" s="227">
        <v>0</v>
      </c>
      <c r="CD34" s="227">
        <v>6000</v>
      </c>
      <c r="CE34" s="227">
        <v>0</v>
      </c>
      <c r="CF34" s="227">
        <v>0</v>
      </c>
      <c r="CG34" s="227">
        <v>0</v>
      </c>
      <c r="CH34" s="227">
        <v>0</v>
      </c>
      <c r="CI34" s="226">
        <v>0</v>
      </c>
      <c r="CJ34" s="226">
        <v>0</v>
      </c>
      <c r="CK34" s="226">
        <v>6436.58</v>
      </c>
      <c r="CL34" s="226">
        <v>0</v>
      </c>
      <c r="CM34" s="227">
        <v>0</v>
      </c>
      <c r="CN34" s="227">
        <v>59527</v>
      </c>
      <c r="CO34" s="227">
        <v>6801</v>
      </c>
      <c r="CP34" s="227">
        <v>0</v>
      </c>
      <c r="CQ34" s="227">
        <v>0</v>
      </c>
      <c r="CR34" s="227">
        <v>0</v>
      </c>
      <c r="CT34" s="229">
        <f t="shared" si="0"/>
        <v>59527</v>
      </c>
    </row>
    <row r="35" spans="1:98" ht="15">
      <c r="A35" s="226">
        <v>302</v>
      </c>
      <c r="B35" s="226">
        <v>2055</v>
      </c>
      <c r="C35" s="226" t="s">
        <v>265</v>
      </c>
      <c r="D35" s="226" t="s">
        <v>424</v>
      </c>
      <c r="E35" s="226"/>
      <c r="F35" s="226" t="s">
        <v>420</v>
      </c>
      <c r="G35" s="226">
        <v>0</v>
      </c>
      <c r="H35" s="226">
        <v>1</v>
      </c>
      <c r="I35" s="226" t="s">
        <v>472</v>
      </c>
      <c r="J35" s="226" t="s">
        <v>473</v>
      </c>
      <c r="K35" s="226" t="s">
        <v>421</v>
      </c>
      <c r="L35" s="226" t="s">
        <v>422</v>
      </c>
      <c r="M35" s="226" t="s">
        <v>421</v>
      </c>
      <c r="N35" s="226" t="s">
        <v>423</v>
      </c>
      <c r="O35" s="226" t="s">
        <v>171</v>
      </c>
      <c r="P35" s="226" t="s">
        <v>171</v>
      </c>
      <c r="Q35" s="227">
        <v>-332763.03000000003</v>
      </c>
      <c r="R35" s="227">
        <v>0</v>
      </c>
      <c r="S35" s="227">
        <v>23620.03</v>
      </c>
      <c r="T35" s="227">
        <v>1318198.51</v>
      </c>
      <c r="U35" s="227">
        <v>0</v>
      </c>
      <c r="V35" s="227">
        <v>94184.02</v>
      </c>
      <c r="W35" s="227">
        <v>0</v>
      </c>
      <c r="X35" s="227">
        <v>60680</v>
      </c>
      <c r="Y35" s="227">
        <v>200</v>
      </c>
      <c r="Z35" s="227">
        <v>52500.21</v>
      </c>
      <c r="AA35" s="227">
        <v>2604</v>
      </c>
      <c r="AB35" s="227">
        <v>14687.4</v>
      </c>
      <c r="AC35" s="227">
        <v>983.29</v>
      </c>
      <c r="AD35" s="227">
        <v>0</v>
      </c>
      <c r="AE35" s="227">
        <v>0</v>
      </c>
      <c r="AF35" s="227">
        <v>15619.23</v>
      </c>
      <c r="AG35" s="227">
        <v>5416.11</v>
      </c>
      <c r="AH35" s="227">
        <v>0</v>
      </c>
      <c r="AI35" s="227">
        <v>0</v>
      </c>
      <c r="AJ35" s="227">
        <v>0</v>
      </c>
      <c r="AK35" s="227">
        <v>1274.5</v>
      </c>
      <c r="AL35" s="227">
        <v>46950</v>
      </c>
      <c r="AM35" s="227">
        <v>856011.31</v>
      </c>
      <c r="AN35" s="227">
        <v>0</v>
      </c>
      <c r="AO35" s="227">
        <v>424788.09</v>
      </c>
      <c r="AP35" s="227">
        <v>28561.1</v>
      </c>
      <c r="AQ35" s="227">
        <v>60422.15</v>
      </c>
      <c r="AR35" s="227">
        <v>0</v>
      </c>
      <c r="AS35" s="227">
        <v>47788.15</v>
      </c>
      <c r="AT35" s="227">
        <v>14964.95</v>
      </c>
      <c r="AU35" s="227">
        <v>4045.61</v>
      </c>
      <c r="AV35" s="227">
        <v>325.36</v>
      </c>
      <c r="AW35" s="227">
        <v>0</v>
      </c>
      <c r="AX35" s="227">
        <v>23039.73</v>
      </c>
      <c r="AY35" s="227">
        <v>5613.48</v>
      </c>
      <c r="AZ35" s="227">
        <v>33332.879999999997</v>
      </c>
      <c r="BA35" s="227">
        <v>5834.8</v>
      </c>
      <c r="BB35" s="227">
        <v>45872.160000000003</v>
      </c>
      <c r="BC35" s="227">
        <v>32448.73</v>
      </c>
      <c r="BD35" s="227">
        <v>11204.13</v>
      </c>
      <c r="BE35" s="227">
        <v>65691.679999999993</v>
      </c>
      <c r="BF35" s="227">
        <v>7689.01</v>
      </c>
      <c r="BG35" s="226">
        <v>4978</v>
      </c>
      <c r="BH35" s="226">
        <v>2060.77</v>
      </c>
      <c r="BI35" s="226">
        <v>8206.0400000000009</v>
      </c>
      <c r="BJ35" s="226">
        <v>4756.1000000000004</v>
      </c>
      <c r="BK35" s="226">
        <v>5592.42</v>
      </c>
      <c r="BL35" s="226">
        <v>6703.5</v>
      </c>
      <c r="BM35" s="227">
        <v>0</v>
      </c>
      <c r="BN35" s="227">
        <v>1941.25</v>
      </c>
      <c r="BO35" s="227">
        <v>13120.44</v>
      </c>
      <c r="BP35" s="227">
        <v>17526.080000000002</v>
      </c>
      <c r="BQ35" s="227">
        <v>77766.63</v>
      </c>
      <c r="BR35" s="227">
        <v>80632.070000000007</v>
      </c>
      <c r="BS35" s="227">
        <v>269613.8</v>
      </c>
      <c r="BT35" s="227">
        <v>20246.23</v>
      </c>
      <c r="BU35" s="227">
        <v>0</v>
      </c>
      <c r="BV35" s="334">
        <v>0</v>
      </c>
      <c r="BW35" s="335"/>
      <c r="BX35" s="227">
        <v>0</v>
      </c>
      <c r="BY35" s="227">
        <v>0</v>
      </c>
      <c r="BZ35" s="227">
        <v>0</v>
      </c>
      <c r="CA35" s="227">
        <v>6670.97</v>
      </c>
      <c r="CB35" s="227">
        <v>0</v>
      </c>
      <c r="CC35" s="227">
        <v>0</v>
      </c>
      <c r="CD35" s="227">
        <v>6000</v>
      </c>
      <c r="CE35" s="227">
        <v>0</v>
      </c>
      <c r="CF35" s="227">
        <v>0</v>
      </c>
      <c r="CG35" s="227">
        <v>0</v>
      </c>
      <c r="CH35" s="227">
        <v>0</v>
      </c>
      <c r="CI35" s="226">
        <v>0</v>
      </c>
      <c r="CJ35" s="226">
        <v>0</v>
      </c>
      <c r="CK35" s="226">
        <v>0</v>
      </c>
      <c r="CL35" s="226">
        <v>0</v>
      </c>
      <c r="CM35" s="227">
        <v>101127.59</v>
      </c>
      <c r="CN35" s="227">
        <v>-1001370</v>
      </c>
      <c r="CO35" s="227">
        <v>30291</v>
      </c>
      <c r="CP35" s="227">
        <v>0</v>
      </c>
      <c r="CQ35" s="227">
        <v>0</v>
      </c>
      <c r="CR35" s="227">
        <v>0</v>
      </c>
      <c r="CT35" s="229">
        <f t="shared" si="0"/>
        <v>-900242.41</v>
      </c>
    </row>
    <row r="36" spans="1:98" ht="15">
      <c r="A36" s="226">
        <v>302</v>
      </c>
      <c r="B36" s="226">
        <v>2057</v>
      </c>
      <c r="C36" s="226" t="s">
        <v>342</v>
      </c>
      <c r="D36" s="226" t="s">
        <v>424</v>
      </c>
      <c r="E36" s="226"/>
      <c r="F36" s="226" t="s">
        <v>420</v>
      </c>
      <c r="G36" s="226">
        <v>0</v>
      </c>
      <c r="H36" s="226">
        <v>0</v>
      </c>
      <c r="I36" s="226" t="s">
        <v>472</v>
      </c>
      <c r="J36" s="226" t="s">
        <v>473</v>
      </c>
      <c r="K36" s="226" t="s">
        <v>421</v>
      </c>
      <c r="L36" s="226" t="s">
        <v>422</v>
      </c>
      <c r="M36" s="226" t="s">
        <v>421</v>
      </c>
      <c r="N36" s="226" t="s">
        <v>423</v>
      </c>
      <c r="O36" s="226" t="s">
        <v>171</v>
      </c>
      <c r="P36" s="226" t="s">
        <v>171</v>
      </c>
      <c r="Q36" s="227">
        <v>453008.1</v>
      </c>
      <c r="R36" s="227">
        <v>17385.93</v>
      </c>
      <c r="S36" s="227">
        <v>23199.39</v>
      </c>
      <c r="T36" s="227">
        <v>3017699.55</v>
      </c>
      <c r="U36" s="227">
        <v>0</v>
      </c>
      <c r="V36" s="227">
        <v>200962.45</v>
      </c>
      <c r="W36" s="227">
        <v>0</v>
      </c>
      <c r="X36" s="227">
        <v>273800</v>
      </c>
      <c r="Y36" s="227">
        <v>22133.95</v>
      </c>
      <c r="Z36" s="227">
        <v>145692.91</v>
      </c>
      <c r="AA36" s="227">
        <v>10269.25</v>
      </c>
      <c r="AB36" s="227">
        <v>68675.58</v>
      </c>
      <c r="AC36" s="227">
        <v>37.28</v>
      </c>
      <c r="AD36" s="227">
        <v>0</v>
      </c>
      <c r="AE36" s="227">
        <v>0</v>
      </c>
      <c r="AF36" s="227">
        <v>31189.24</v>
      </c>
      <c r="AG36" s="227">
        <v>21715.279999999999</v>
      </c>
      <c r="AH36" s="227">
        <v>0</v>
      </c>
      <c r="AI36" s="227">
        <v>206157.6</v>
      </c>
      <c r="AJ36" s="227">
        <v>4248.99</v>
      </c>
      <c r="AK36" s="227">
        <v>13919.75</v>
      </c>
      <c r="AL36" s="227">
        <v>52205</v>
      </c>
      <c r="AM36" s="227">
        <v>1623813.1</v>
      </c>
      <c r="AN36" s="227">
        <v>0</v>
      </c>
      <c r="AO36" s="227">
        <v>802225.48</v>
      </c>
      <c r="AP36" s="227">
        <v>92118.25</v>
      </c>
      <c r="AQ36" s="227">
        <v>106731.33</v>
      </c>
      <c r="AR36" s="227">
        <v>0</v>
      </c>
      <c r="AS36" s="227">
        <v>102542.6</v>
      </c>
      <c r="AT36" s="227">
        <v>15271.87</v>
      </c>
      <c r="AU36" s="227">
        <v>4770.3999999999996</v>
      </c>
      <c r="AV36" s="227">
        <v>755.3</v>
      </c>
      <c r="AW36" s="227">
        <v>0</v>
      </c>
      <c r="AX36" s="227">
        <v>16746.45</v>
      </c>
      <c r="AY36" s="227">
        <v>12835</v>
      </c>
      <c r="AZ36" s="227">
        <v>22796.18</v>
      </c>
      <c r="BA36" s="227">
        <v>14729.09</v>
      </c>
      <c r="BB36" s="227">
        <v>64924.82</v>
      </c>
      <c r="BC36" s="227">
        <v>63600</v>
      </c>
      <c r="BD36" s="227">
        <v>17482.98</v>
      </c>
      <c r="BE36" s="227">
        <v>81400.800000000003</v>
      </c>
      <c r="BF36" s="227">
        <v>5251.61</v>
      </c>
      <c r="BG36" s="226">
        <v>0</v>
      </c>
      <c r="BH36" s="226">
        <v>4524.8500000000004</v>
      </c>
      <c r="BI36" s="226">
        <v>9472.34</v>
      </c>
      <c r="BJ36" s="226">
        <v>829.99</v>
      </c>
      <c r="BK36" s="226">
        <v>22.46</v>
      </c>
      <c r="BL36" s="226">
        <v>16258.38</v>
      </c>
      <c r="BM36" s="227">
        <v>0</v>
      </c>
      <c r="BN36" s="227">
        <v>9546.09</v>
      </c>
      <c r="BO36" s="227">
        <v>18604.95</v>
      </c>
      <c r="BP36" s="227">
        <v>40172.36</v>
      </c>
      <c r="BQ36" s="227">
        <v>156611.26999999999</v>
      </c>
      <c r="BR36" s="227">
        <v>109252.33</v>
      </c>
      <c r="BS36" s="227">
        <v>329659.26</v>
      </c>
      <c r="BT36" s="227">
        <v>39637.800000000003</v>
      </c>
      <c r="BU36" s="227">
        <v>0</v>
      </c>
      <c r="BV36" s="334">
        <v>0</v>
      </c>
      <c r="BW36" s="335"/>
      <c r="BX36" s="227">
        <v>0</v>
      </c>
      <c r="BY36" s="227">
        <v>142213.65</v>
      </c>
      <c r="BZ36" s="227">
        <v>49780.87</v>
      </c>
      <c r="CA36" s="227">
        <v>9937.61</v>
      </c>
      <c r="CB36" s="227">
        <v>0</v>
      </c>
      <c r="CC36" s="227">
        <v>0</v>
      </c>
      <c r="CD36" s="227">
        <v>6000</v>
      </c>
      <c r="CE36" s="227">
        <v>0</v>
      </c>
      <c r="CF36" s="227">
        <v>0</v>
      </c>
      <c r="CG36" s="227">
        <v>0</v>
      </c>
      <c r="CH36" s="227">
        <v>0</v>
      </c>
      <c r="CI36" s="226">
        <v>0</v>
      </c>
      <c r="CJ36" s="226">
        <v>0</v>
      </c>
      <c r="CK36" s="226">
        <v>0</v>
      </c>
      <c r="CL36" s="226">
        <v>0</v>
      </c>
      <c r="CM36" s="227">
        <v>21860</v>
      </c>
      <c r="CN36" s="227">
        <v>506861</v>
      </c>
      <c r="CO36" s="227">
        <v>33137</v>
      </c>
      <c r="CP36" s="227">
        <v>0</v>
      </c>
      <c r="CQ36" s="227">
        <v>35798</v>
      </c>
      <c r="CR36" s="227">
        <v>0</v>
      </c>
      <c r="CT36" s="229">
        <f t="shared" si="0"/>
        <v>564519</v>
      </c>
    </row>
    <row r="37" spans="1:98" ht="15">
      <c r="A37" s="226">
        <v>302</v>
      </c>
      <c r="B37" s="226">
        <v>2060</v>
      </c>
      <c r="C37" s="226" t="s">
        <v>267</v>
      </c>
      <c r="D37" s="226" t="s">
        <v>424</v>
      </c>
      <c r="E37" s="226"/>
      <c r="F37" s="226" t="s">
        <v>420</v>
      </c>
      <c r="G37" s="226">
        <v>0</v>
      </c>
      <c r="H37" s="226">
        <v>0</v>
      </c>
      <c r="I37" s="226" t="s">
        <v>472</v>
      </c>
      <c r="J37" s="226" t="s">
        <v>473</v>
      </c>
      <c r="K37" s="226" t="s">
        <v>421</v>
      </c>
      <c r="L37" s="226" t="s">
        <v>422</v>
      </c>
      <c r="M37" s="226" t="s">
        <v>421</v>
      </c>
      <c r="N37" s="226" t="s">
        <v>423</v>
      </c>
      <c r="O37" s="226" t="s">
        <v>171</v>
      </c>
      <c r="P37" s="226" t="s">
        <v>171</v>
      </c>
      <c r="Q37" s="227">
        <v>312024.27</v>
      </c>
      <c r="R37" s="227">
        <v>0</v>
      </c>
      <c r="S37" s="227">
        <v>16067.15</v>
      </c>
      <c r="T37" s="227">
        <v>2986344.36</v>
      </c>
      <c r="U37" s="227">
        <v>0</v>
      </c>
      <c r="V37" s="227">
        <v>271662.53999999998</v>
      </c>
      <c r="W37" s="227">
        <v>0</v>
      </c>
      <c r="X37" s="227">
        <v>186541</v>
      </c>
      <c r="Y37" s="227">
        <v>10072.34</v>
      </c>
      <c r="Z37" s="227">
        <v>145268.1</v>
      </c>
      <c r="AA37" s="227">
        <v>121057.88</v>
      </c>
      <c r="AB37" s="227">
        <v>59899.25</v>
      </c>
      <c r="AC37" s="227">
        <v>1380.13</v>
      </c>
      <c r="AD37" s="227">
        <v>0</v>
      </c>
      <c r="AE37" s="227">
        <v>0</v>
      </c>
      <c r="AF37" s="227">
        <v>46522.93</v>
      </c>
      <c r="AG37" s="227">
        <v>13984.22</v>
      </c>
      <c r="AH37" s="227">
        <v>0</v>
      </c>
      <c r="AI37" s="227">
        <v>0</v>
      </c>
      <c r="AJ37" s="227">
        <v>0</v>
      </c>
      <c r="AK37" s="227">
        <v>11886.25</v>
      </c>
      <c r="AL37" s="227">
        <v>81278</v>
      </c>
      <c r="AM37" s="227">
        <v>1463539.29</v>
      </c>
      <c r="AN37" s="227">
        <v>0</v>
      </c>
      <c r="AO37" s="227">
        <v>1071954.83</v>
      </c>
      <c r="AP37" s="227">
        <v>61449.82</v>
      </c>
      <c r="AQ37" s="227">
        <v>105941.39</v>
      </c>
      <c r="AR37" s="227">
        <v>0</v>
      </c>
      <c r="AS37" s="227">
        <v>116743.44</v>
      </c>
      <c r="AT37" s="227">
        <v>13186.18</v>
      </c>
      <c r="AU37" s="227">
        <v>5411.22</v>
      </c>
      <c r="AV37" s="227">
        <v>693.88</v>
      </c>
      <c r="AW37" s="227">
        <v>0</v>
      </c>
      <c r="AX37" s="227">
        <v>75241.73</v>
      </c>
      <c r="AY37" s="227">
        <v>8024</v>
      </c>
      <c r="AZ37" s="227">
        <v>44328.59</v>
      </c>
      <c r="BA37" s="227">
        <v>7752.71</v>
      </c>
      <c r="BB37" s="227">
        <v>143291.49</v>
      </c>
      <c r="BC37" s="227">
        <v>111720</v>
      </c>
      <c r="BD37" s="227">
        <v>15811.38</v>
      </c>
      <c r="BE37" s="227">
        <v>88426.92</v>
      </c>
      <c r="BF37" s="227">
        <v>6251.6</v>
      </c>
      <c r="BG37" s="226">
        <v>325</v>
      </c>
      <c r="BH37" s="226">
        <v>5816.31</v>
      </c>
      <c r="BI37" s="226">
        <v>12247.19</v>
      </c>
      <c r="BJ37" s="226">
        <v>769.06</v>
      </c>
      <c r="BK37" s="226">
        <v>1027.17</v>
      </c>
      <c r="BL37" s="226">
        <v>12480</v>
      </c>
      <c r="BM37" s="227">
        <v>0</v>
      </c>
      <c r="BN37" s="227">
        <v>4511</v>
      </c>
      <c r="BO37" s="227">
        <v>18472.02</v>
      </c>
      <c r="BP37" s="227">
        <v>11278.72</v>
      </c>
      <c r="BQ37" s="227">
        <v>171683.13</v>
      </c>
      <c r="BR37" s="227">
        <v>33322.89</v>
      </c>
      <c r="BS37" s="227">
        <v>126981.39</v>
      </c>
      <c r="BT37" s="227">
        <v>46564.92</v>
      </c>
      <c r="BU37" s="227">
        <v>0</v>
      </c>
      <c r="BV37" s="334">
        <v>0</v>
      </c>
      <c r="BW37" s="335"/>
      <c r="BX37" s="227">
        <v>10013</v>
      </c>
      <c r="BY37" s="227">
        <v>0</v>
      </c>
      <c r="BZ37" s="227">
        <v>0</v>
      </c>
      <c r="CA37" s="227">
        <v>9098.83</v>
      </c>
      <c r="CB37" s="227">
        <v>0</v>
      </c>
      <c r="CC37" s="227">
        <v>10013</v>
      </c>
      <c r="CD37" s="227">
        <v>6000</v>
      </c>
      <c r="CE37" s="227">
        <v>0</v>
      </c>
      <c r="CF37" s="227">
        <v>0</v>
      </c>
      <c r="CG37" s="227">
        <v>23088.98</v>
      </c>
      <c r="CH37" s="227">
        <v>0</v>
      </c>
      <c r="CI37" s="226">
        <v>0</v>
      </c>
      <c r="CJ37" s="226">
        <v>0</v>
      </c>
      <c r="CK37" s="226">
        <v>0</v>
      </c>
      <c r="CL37" s="226">
        <v>12090</v>
      </c>
      <c r="CM37" s="227">
        <v>10826</v>
      </c>
      <c r="CN37" s="227">
        <v>441835</v>
      </c>
      <c r="CO37" s="227">
        <v>0</v>
      </c>
      <c r="CP37" s="227">
        <v>0</v>
      </c>
      <c r="CQ37" s="227">
        <v>0</v>
      </c>
      <c r="CR37" s="227">
        <v>0</v>
      </c>
      <c r="CT37" s="229">
        <f t="shared" si="0"/>
        <v>452661</v>
      </c>
    </row>
    <row r="38" spans="1:98" ht="15">
      <c r="A38" s="226">
        <v>302</v>
      </c>
      <c r="B38" s="226">
        <v>2067</v>
      </c>
      <c r="C38" s="226" t="s">
        <v>234</v>
      </c>
      <c r="D38" s="226" t="s">
        <v>424</v>
      </c>
      <c r="E38" s="226"/>
      <c r="F38" s="226" t="s">
        <v>420</v>
      </c>
      <c r="G38" s="226">
        <v>0</v>
      </c>
      <c r="H38" s="226">
        <v>1</v>
      </c>
      <c r="I38" s="226" t="s">
        <v>472</v>
      </c>
      <c r="J38" s="226" t="s">
        <v>473</v>
      </c>
      <c r="K38" s="226" t="s">
        <v>421</v>
      </c>
      <c r="L38" s="226" t="s">
        <v>422</v>
      </c>
      <c r="M38" s="226" t="s">
        <v>421</v>
      </c>
      <c r="N38" s="226" t="s">
        <v>423</v>
      </c>
      <c r="O38" s="226" t="s">
        <v>171</v>
      </c>
      <c r="P38" s="226" t="s">
        <v>171</v>
      </c>
      <c r="Q38" s="227">
        <v>-40014.629999999997</v>
      </c>
      <c r="R38" s="227">
        <v>0</v>
      </c>
      <c r="S38" s="227">
        <v>12848.2</v>
      </c>
      <c r="T38" s="227">
        <v>1412248.21</v>
      </c>
      <c r="U38" s="227">
        <v>0</v>
      </c>
      <c r="V38" s="227">
        <v>401689.92</v>
      </c>
      <c r="W38" s="227">
        <v>0</v>
      </c>
      <c r="X38" s="227">
        <v>53280</v>
      </c>
      <c r="Y38" s="227">
        <v>3229.61</v>
      </c>
      <c r="Z38" s="227">
        <v>64830.78</v>
      </c>
      <c r="AA38" s="227">
        <v>26956.75</v>
      </c>
      <c r="AB38" s="227">
        <v>28856.61</v>
      </c>
      <c r="AC38" s="227">
        <v>896.32</v>
      </c>
      <c r="AD38" s="227">
        <v>0</v>
      </c>
      <c r="AE38" s="227">
        <v>0</v>
      </c>
      <c r="AF38" s="227">
        <v>14568.33</v>
      </c>
      <c r="AG38" s="227">
        <v>7506.78</v>
      </c>
      <c r="AH38" s="227">
        <v>0</v>
      </c>
      <c r="AI38" s="227">
        <v>0</v>
      </c>
      <c r="AJ38" s="227">
        <v>0</v>
      </c>
      <c r="AK38" s="227">
        <v>5897.56</v>
      </c>
      <c r="AL38" s="227">
        <v>60828</v>
      </c>
      <c r="AM38" s="227">
        <v>986003.81</v>
      </c>
      <c r="AN38" s="227">
        <v>540.46</v>
      </c>
      <c r="AO38" s="227">
        <v>431070.01</v>
      </c>
      <c r="AP38" s="227">
        <v>33495.949999999997</v>
      </c>
      <c r="AQ38" s="227">
        <v>88263.62</v>
      </c>
      <c r="AR38" s="227">
        <v>0</v>
      </c>
      <c r="AS38" s="227">
        <v>10140.61</v>
      </c>
      <c r="AT38" s="227">
        <v>8118.39</v>
      </c>
      <c r="AU38" s="227">
        <v>4698.78</v>
      </c>
      <c r="AV38" s="227">
        <v>361.88</v>
      </c>
      <c r="AW38" s="227">
        <v>0</v>
      </c>
      <c r="AX38" s="227">
        <v>23194.38</v>
      </c>
      <c r="AY38" s="227">
        <v>7556</v>
      </c>
      <c r="AZ38" s="227">
        <v>39994.68</v>
      </c>
      <c r="BA38" s="227">
        <v>3199.43</v>
      </c>
      <c r="BB38" s="227">
        <v>36400.25</v>
      </c>
      <c r="BC38" s="227">
        <v>35743.040000000001</v>
      </c>
      <c r="BD38" s="227">
        <v>13001.84</v>
      </c>
      <c r="BE38" s="227">
        <v>51276.01</v>
      </c>
      <c r="BF38" s="227">
        <v>5025</v>
      </c>
      <c r="BG38" s="226">
        <v>195</v>
      </c>
      <c r="BH38" s="226">
        <v>12320.36</v>
      </c>
      <c r="BI38" s="226">
        <v>8041.39</v>
      </c>
      <c r="BJ38" s="226">
        <v>9596</v>
      </c>
      <c r="BK38" s="226">
        <v>4276.33</v>
      </c>
      <c r="BL38" s="226">
        <v>4523</v>
      </c>
      <c r="BM38" s="227">
        <v>0</v>
      </c>
      <c r="BN38" s="227">
        <v>6370.51</v>
      </c>
      <c r="BO38" s="227">
        <v>8914.02</v>
      </c>
      <c r="BP38" s="227">
        <v>9068.56</v>
      </c>
      <c r="BQ38" s="227">
        <v>88724.28</v>
      </c>
      <c r="BR38" s="227">
        <v>22429.98</v>
      </c>
      <c r="BS38" s="227">
        <v>117368.67</v>
      </c>
      <c r="BT38" s="227">
        <v>24216</v>
      </c>
      <c r="BU38" s="227">
        <v>0</v>
      </c>
      <c r="BV38" s="334">
        <v>0</v>
      </c>
      <c r="BW38" s="335"/>
      <c r="BX38" s="227">
        <v>0</v>
      </c>
      <c r="BY38" s="227">
        <v>0</v>
      </c>
      <c r="BZ38" s="227">
        <v>0</v>
      </c>
      <c r="CA38" s="227">
        <v>6497.5</v>
      </c>
      <c r="CB38" s="227">
        <v>0</v>
      </c>
      <c r="CC38" s="227">
        <v>0</v>
      </c>
      <c r="CD38" s="227">
        <v>6000</v>
      </c>
      <c r="CE38" s="227">
        <v>0</v>
      </c>
      <c r="CF38" s="227">
        <v>9770.5</v>
      </c>
      <c r="CG38" s="227">
        <v>0</v>
      </c>
      <c r="CH38" s="227">
        <v>0</v>
      </c>
      <c r="CI38" s="226">
        <v>0</v>
      </c>
      <c r="CJ38" s="226">
        <v>0</v>
      </c>
      <c r="CK38" s="226">
        <v>7427.2</v>
      </c>
      <c r="CL38" s="226">
        <v>1940</v>
      </c>
      <c r="CM38" s="227">
        <v>0</v>
      </c>
      <c r="CN38" s="227">
        <v>-53354</v>
      </c>
      <c r="CO38" s="227">
        <v>208</v>
      </c>
      <c r="CP38" s="227">
        <v>0</v>
      </c>
      <c r="CQ38" s="227">
        <v>0</v>
      </c>
      <c r="CR38" s="227">
        <v>0</v>
      </c>
      <c r="CT38" s="229">
        <f t="shared" si="0"/>
        <v>-53354</v>
      </c>
    </row>
    <row r="39" spans="1:98" ht="15">
      <c r="A39" s="226">
        <v>302</v>
      </c>
      <c r="B39" s="226">
        <v>2070</v>
      </c>
      <c r="C39" s="226" t="s">
        <v>260</v>
      </c>
      <c r="D39" s="226" t="s">
        <v>424</v>
      </c>
      <c r="E39" s="226"/>
      <c r="F39" s="226" t="s">
        <v>420</v>
      </c>
      <c r="G39" s="226">
        <v>0</v>
      </c>
      <c r="H39" s="226">
        <v>0</v>
      </c>
      <c r="I39" s="226" t="s">
        <v>472</v>
      </c>
      <c r="J39" s="226" t="s">
        <v>473</v>
      </c>
      <c r="K39" s="226" t="s">
        <v>421</v>
      </c>
      <c r="L39" s="226" t="s">
        <v>422</v>
      </c>
      <c r="M39" s="226" t="s">
        <v>421</v>
      </c>
      <c r="N39" s="226" t="s">
        <v>423</v>
      </c>
      <c r="O39" s="226" t="s">
        <v>171</v>
      </c>
      <c r="P39" s="226" t="s">
        <v>171</v>
      </c>
      <c r="Q39" s="227">
        <v>298623.09000000003</v>
      </c>
      <c r="R39" s="227">
        <v>0</v>
      </c>
      <c r="S39" s="227">
        <v>0.52</v>
      </c>
      <c r="T39" s="227">
        <v>1566110.08</v>
      </c>
      <c r="U39" s="227">
        <v>0</v>
      </c>
      <c r="V39" s="227">
        <v>126479.7</v>
      </c>
      <c r="W39" s="227">
        <v>0</v>
      </c>
      <c r="X39" s="227">
        <v>94720</v>
      </c>
      <c r="Y39" s="227">
        <v>8513</v>
      </c>
      <c r="Z39" s="227">
        <v>40494.47</v>
      </c>
      <c r="AA39" s="227">
        <v>0</v>
      </c>
      <c r="AB39" s="227">
        <v>13583.45</v>
      </c>
      <c r="AC39" s="227">
        <v>21423.45</v>
      </c>
      <c r="AD39" s="227">
        <v>2078.2600000000002</v>
      </c>
      <c r="AE39" s="227">
        <v>0</v>
      </c>
      <c r="AF39" s="227">
        <v>31986</v>
      </c>
      <c r="AG39" s="227">
        <v>18946.36</v>
      </c>
      <c r="AH39" s="227">
        <v>0</v>
      </c>
      <c r="AI39" s="227">
        <v>0</v>
      </c>
      <c r="AJ39" s="227">
        <v>0</v>
      </c>
      <c r="AK39" s="227">
        <v>7015.63</v>
      </c>
      <c r="AL39" s="227">
        <v>49171</v>
      </c>
      <c r="AM39" s="227">
        <v>950787.68</v>
      </c>
      <c r="AN39" s="227">
        <v>0</v>
      </c>
      <c r="AO39" s="227">
        <v>319154.75</v>
      </c>
      <c r="AP39" s="227">
        <v>66404.100000000006</v>
      </c>
      <c r="AQ39" s="227">
        <v>97408.05</v>
      </c>
      <c r="AR39" s="227">
        <v>0</v>
      </c>
      <c r="AS39" s="227">
        <v>36330.9</v>
      </c>
      <c r="AT39" s="227">
        <v>9394.5499999999993</v>
      </c>
      <c r="AU39" s="227">
        <v>3846.72</v>
      </c>
      <c r="AV39" s="227">
        <v>350.26</v>
      </c>
      <c r="AW39" s="227">
        <v>0</v>
      </c>
      <c r="AX39" s="227">
        <v>29434.639999999999</v>
      </c>
      <c r="AY39" s="227">
        <v>5521.98</v>
      </c>
      <c r="AZ39" s="227">
        <v>7943.25</v>
      </c>
      <c r="BA39" s="227">
        <v>4483.7</v>
      </c>
      <c r="BB39" s="227">
        <v>22698.99</v>
      </c>
      <c r="BC39" s="227">
        <v>30239.4</v>
      </c>
      <c r="BD39" s="227">
        <v>9877.08</v>
      </c>
      <c r="BE39" s="227">
        <v>71759.820000000007</v>
      </c>
      <c r="BF39" s="227">
        <v>5407.33</v>
      </c>
      <c r="BG39" s="226">
        <v>0</v>
      </c>
      <c r="BH39" s="226">
        <v>10211.969999999999</v>
      </c>
      <c r="BI39" s="226">
        <v>3980.06</v>
      </c>
      <c r="BJ39" s="226">
        <v>0</v>
      </c>
      <c r="BK39" s="226">
        <v>2459.04</v>
      </c>
      <c r="BL39" s="226">
        <v>6477.81</v>
      </c>
      <c r="BM39" s="227">
        <v>0</v>
      </c>
      <c r="BN39" s="227">
        <v>9188.2900000000009</v>
      </c>
      <c r="BO39" s="227">
        <v>7960.79</v>
      </c>
      <c r="BP39" s="227">
        <v>8348.0300000000007</v>
      </c>
      <c r="BQ39" s="227">
        <v>87799.12</v>
      </c>
      <c r="BR39" s="227">
        <v>9167.48</v>
      </c>
      <c r="BS39" s="227">
        <v>32745.01</v>
      </c>
      <c r="BT39" s="227">
        <v>27625.69</v>
      </c>
      <c r="BU39" s="227">
        <v>0</v>
      </c>
      <c r="BV39" s="334">
        <v>0</v>
      </c>
      <c r="BW39" s="335"/>
      <c r="BX39" s="227">
        <v>87431</v>
      </c>
      <c r="BY39" s="227">
        <v>0</v>
      </c>
      <c r="BZ39" s="227">
        <v>0</v>
      </c>
      <c r="CA39" s="227">
        <v>6661.75</v>
      </c>
      <c r="CB39" s="227">
        <v>0</v>
      </c>
      <c r="CC39" s="227">
        <v>87431</v>
      </c>
      <c r="CD39" s="227">
        <v>6000</v>
      </c>
      <c r="CE39" s="227">
        <v>0</v>
      </c>
      <c r="CF39" s="227">
        <v>35905.11</v>
      </c>
      <c r="CG39" s="227">
        <v>40673.730000000003</v>
      </c>
      <c r="CH39" s="227">
        <v>17514.43</v>
      </c>
      <c r="CI39" s="226">
        <v>0</v>
      </c>
      <c r="CJ39" s="226">
        <v>0</v>
      </c>
      <c r="CK39" s="226">
        <v>0</v>
      </c>
      <c r="CL39" s="226">
        <v>0</v>
      </c>
      <c r="CM39" s="227">
        <v>50125</v>
      </c>
      <c r="CN39" s="227">
        <v>264582</v>
      </c>
      <c r="CO39" s="227">
        <v>0</v>
      </c>
      <c r="CP39" s="227">
        <v>0</v>
      </c>
      <c r="CQ39" s="227">
        <v>0</v>
      </c>
      <c r="CR39" s="227">
        <v>0</v>
      </c>
      <c r="CT39" s="229">
        <f t="shared" si="0"/>
        <v>314707</v>
      </c>
    </row>
    <row r="40" spans="1:98" ht="15">
      <c r="A40" s="226">
        <v>302</v>
      </c>
      <c r="B40" s="226">
        <v>2072</v>
      </c>
      <c r="C40" s="226" t="s">
        <v>80</v>
      </c>
      <c r="D40" s="226" t="s">
        <v>418</v>
      </c>
      <c r="E40" s="226" t="s">
        <v>425</v>
      </c>
      <c r="F40" s="226" t="s">
        <v>420</v>
      </c>
      <c r="G40" s="226">
        <v>0</v>
      </c>
      <c r="H40" s="226">
        <v>0</v>
      </c>
      <c r="I40" s="226" t="s">
        <v>472</v>
      </c>
      <c r="J40" s="226" t="s">
        <v>473</v>
      </c>
      <c r="K40" s="226" t="s">
        <v>421</v>
      </c>
      <c r="L40" s="226" t="s">
        <v>422</v>
      </c>
      <c r="M40" s="226" t="s">
        <v>421</v>
      </c>
      <c r="N40" s="226" t="s">
        <v>423</v>
      </c>
      <c r="O40" s="226" t="s">
        <v>171</v>
      </c>
      <c r="P40" s="226" t="s">
        <v>171</v>
      </c>
      <c r="Q40" s="227">
        <v>80112.149999999994</v>
      </c>
      <c r="R40" s="227">
        <v>0</v>
      </c>
      <c r="S40" s="227">
        <v>31043.919999999998</v>
      </c>
      <c r="T40" s="227">
        <v>3179212</v>
      </c>
      <c r="U40" s="227">
        <v>0</v>
      </c>
      <c r="V40" s="227">
        <v>839258.57</v>
      </c>
      <c r="W40" s="227">
        <v>0</v>
      </c>
      <c r="X40" s="227">
        <v>222320.84</v>
      </c>
      <c r="Y40" s="227">
        <v>3229.61</v>
      </c>
      <c r="Z40" s="227">
        <v>188168.9</v>
      </c>
      <c r="AA40" s="227">
        <v>38812.31</v>
      </c>
      <c r="AB40" s="227">
        <v>100111.3</v>
      </c>
      <c r="AC40" s="227">
        <v>6752.32</v>
      </c>
      <c r="AD40" s="227">
        <v>21125</v>
      </c>
      <c r="AE40" s="227">
        <v>3556.8</v>
      </c>
      <c r="AF40" s="227">
        <v>28932.48</v>
      </c>
      <c r="AG40" s="227">
        <v>18844.259999999998</v>
      </c>
      <c r="AH40" s="227">
        <v>0</v>
      </c>
      <c r="AI40" s="227">
        <v>0</v>
      </c>
      <c r="AJ40" s="227">
        <v>0</v>
      </c>
      <c r="AK40" s="227">
        <v>12007.76</v>
      </c>
      <c r="AL40" s="227">
        <v>93540</v>
      </c>
      <c r="AM40" s="227">
        <v>1819663.53</v>
      </c>
      <c r="AN40" s="227">
        <v>0</v>
      </c>
      <c r="AO40" s="227">
        <v>1168706.01</v>
      </c>
      <c r="AP40" s="227">
        <v>54566.77</v>
      </c>
      <c r="AQ40" s="227">
        <v>178167.61</v>
      </c>
      <c r="AR40" s="227">
        <v>0</v>
      </c>
      <c r="AS40" s="227">
        <v>75760.12</v>
      </c>
      <c r="AT40" s="227">
        <v>74280.070000000007</v>
      </c>
      <c r="AU40" s="227">
        <v>8827.18</v>
      </c>
      <c r="AV40" s="227">
        <v>15510.37</v>
      </c>
      <c r="AW40" s="227">
        <v>14803.2</v>
      </c>
      <c r="AX40" s="227">
        <v>30076.62</v>
      </c>
      <c r="AY40" s="227">
        <v>10757.6</v>
      </c>
      <c r="AZ40" s="227">
        <v>85608.76</v>
      </c>
      <c r="BA40" s="227">
        <v>10092.129999999999</v>
      </c>
      <c r="BB40" s="227">
        <v>62450.38</v>
      </c>
      <c r="BC40" s="227">
        <v>56190.89</v>
      </c>
      <c r="BD40" s="227">
        <v>22636.97</v>
      </c>
      <c r="BE40" s="227">
        <v>78490.66</v>
      </c>
      <c r="BF40" s="227">
        <v>14068.54</v>
      </c>
      <c r="BG40" s="226">
        <v>0</v>
      </c>
      <c r="BH40" s="226">
        <v>7050.61</v>
      </c>
      <c r="BI40" s="226">
        <v>10699.74</v>
      </c>
      <c r="BJ40" s="226">
        <v>736.68</v>
      </c>
      <c r="BK40" s="226">
        <v>5012.63</v>
      </c>
      <c r="BL40" s="226">
        <v>6786.48</v>
      </c>
      <c r="BM40" s="227">
        <v>0</v>
      </c>
      <c r="BN40" s="227">
        <v>7444.47</v>
      </c>
      <c r="BO40" s="227">
        <v>17419.14</v>
      </c>
      <c r="BP40" s="227">
        <v>7769.31</v>
      </c>
      <c r="BQ40" s="227">
        <v>167109.67000000001</v>
      </c>
      <c r="BR40" s="227">
        <v>91161.24</v>
      </c>
      <c r="BS40" s="227">
        <v>562788.96</v>
      </c>
      <c r="BT40" s="227">
        <v>23742.959999999999</v>
      </c>
      <c r="BU40" s="227">
        <v>0</v>
      </c>
      <c r="BV40" s="334">
        <v>0</v>
      </c>
      <c r="BW40" s="335"/>
      <c r="BX40" s="227">
        <v>4473</v>
      </c>
      <c r="BY40" s="227">
        <v>0</v>
      </c>
      <c r="BZ40" s="227">
        <v>0</v>
      </c>
      <c r="CA40" s="227">
        <v>13294</v>
      </c>
      <c r="CB40" s="227">
        <v>0</v>
      </c>
      <c r="CC40" s="227">
        <v>4473</v>
      </c>
      <c r="CD40" s="227">
        <v>6000</v>
      </c>
      <c r="CE40" s="227">
        <v>0</v>
      </c>
      <c r="CF40" s="227">
        <v>33715.919999999998</v>
      </c>
      <c r="CG40" s="227">
        <v>6090</v>
      </c>
      <c r="CH40" s="227">
        <v>0</v>
      </c>
      <c r="CI40" s="226">
        <v>0</v>
      </c>
      <c r="CJ40" s="226">
        <v>0</v>
      </c>
      <c r="CK40" s="226">
        <v>2635</v>
      </c>
      <c r="CL40" s="226">
        <v>6370</v>
      </c>
      <c r="CM40" s="227">
        <v>18665</v>
      </c>
      <c r="CN40" s="227">
        <v>124467</v>
      </c>
      <c r="CO40" s="227">
        <v>0</v>
      </c>
      <c r="CP40" s="227">
        <v>0</v>
      </c>
      <c r="CQ40" s="227">
        <v>0</v>
      </c>
      <c r="CR40" s="227">
        <v>0</v>
      </c>
      <c r="CT40" s="229">
        <f t="shared" si="0"/>
        <v>143132</v>
      </c>
    </row>
    <row r="41" spans="1:98" ht="15">
      <c r="A41" s="226">
        <v>302</v>
      </c>
      <c r="B41" s="226">
        <v>2073</v>
      </c>
      <c r="C41" s="226" t="s">
        <v>240</v>
      </c>
      <c r="D41" s="226" t="s">
        <v>424</v>
      </c>
      <c r="E41" s="226"/>
      <c r="F41" s="226" t="s">
        <v>420</v>
      </c>
      <c r="G41" s="226">
        <v>0</v>
      </c>
      <c r="H41" s="226">
        <v>1</v>
      </c>
      <c r="I41" s="226" t="s">
        <v>472</v>
      </c>
      <c r="J41" s="226" t="s">
        <v>473</v>
      </c>
      <c r="K41" s="226" t="s">
        <v>421</v>
      </c>
      <c r="L41" s="226" t="s">
        <v>422</v>
      </c>
      <c r="M41" s="226" t="s">
        <v>421</v>
      </c>
      <c r="N41" s="226" t="s">
        <v>423</v>
      </c>
      <c r="O41" s="226" t="s">
        <v>171</v>
      </c>
      <c r="P41" s="226" t="s">
        <v>171</v>
      </c>
      <c r="Q41" s="227">
        <v>-56832.03</v>
      </c>
      <c r="R41" s="227">
        <v>-1965</v>
      </c>
      <c r="S41" s="227">
        <v>12056.07</v>
      </c>
      <c r="T41" s="227">
        <v>3683983.72</v>
      </c>
      <c r="U41" s="227">
        <v>0</v>
      </c>
      <c r="V41" s="227">
        <v>353299.34</v>
      </c>
      <c r="W41" s="227">
        <v>0</v>
      </c>
      <c r="X41" s="227">
        <v>310242</v>
      </c>
      <c r="Y41" s="227">
        <v>11862.87</v>
      </c>
      <c r="Z41" s="227">
        <v>137787.26</v>
      </c>
      <c r="AA41" s="227">
        <v>25535</v>
      </c>
      <c r="AB41" s="227">
        <v>130937.33</v>
      </c>
      <c r="AC41" s="227">
        <v>1164.18</v>
      </c>
      <c r="AD41" s="227">
        <v>0</v>
      </c>
      <c r="AE41" s="227">
        <v>0</v>
      </c>
      <c r="AF41" s="227">
        <v>27998.27</v>
      </c>
      <c r="AG41" s="227">
        <v>4573.3599999999997</v>
      </c>
      <c r="AH41" s="227">
        <v>0</v>
      </c>
      <c r="AI41" s="227">
        <v>0</v>
      </c>
      <c r="AJ41" s="227">
        <v>0</v>
      </c>
      <c r="AK41" s="227">
        <v>19792.5</v>
      </c>
      <c r="AL41" s="227">
        <v>105438</v>
      </c>
      <c r="AM41" s="227">
        <v>1841276.16</v>
      </c>
      <c r="AN41" s="227">
        <v>0</v>
      </c>
      <c r="AO41" s="227">
        <v>1181321.1000000001</v>
      </c>
      <c r="AP41" s="227">
        <v>203584.82</v>
      </c>
      <c r="AQ41" s="227">
        <v>169049.2</v>
      </c>
      <c r="AR41" s="227">
        <v>1331.89</v>
      </c>
      <c r="AS41" s="227">
        <v>238114.21</v>
      </c>
      <c r="AT41" s="227">
        <v>54093.440000000002</v>
      </c>
      <c r="AU41" s="227">
        <v>6910.49</v>
      </c>
      <c r="AV41" s="227">
        <v>1047.46</v>
      </c>
      <c r="AW41" s="227">
        <v>0</v>
      </c>
      <c r="AX41" s="227">
        <v>37068.75</v>
      </c>
      <c r="AY41" s="227">
        <v>16037.51</v>
      </c>
      <c r="AZ41" s="227">
        <v>12642.29</v>
      </c>
      <c r="BA41" s="227">
        <v>8136.51</v>
      </c>
      <c r="BB41" s="227">
        <v>69980.81</v>
      </c>
      <c r="BC41" s="227">
        <v>62598.400000000001</v>
      </c>
      <c r="BD41" s="227">
        <v>34409.99</v>
      </c>
      <c r="BE41" s="227">
        <v>75122.98</v>
      </c>
      <c r="BF41" s="227">
        <v>16017.46</v>
      </c>
      <c r="BG41" s="226">
        <v>0</v>
      </c>
      <c r="BH41" s="226">
        <v>9237.4599999999991</v>
      </c>
      <c r="BI41" s="226">
        <v>10567.3</v>
      </c>
      <c r="BJ41" s="226">
        <v>0</v>
      </c>
      <c r="BK41" s="226">
        <v>6303.35</v>
      </c>
      <c r="BL41" s="226">
        <v>11828</v>
      </c>
      <c r="BM41" s="227">
        <v>0</v>
      </c>
      <c r="BN41" s="227">
        <v>18529</v>
      </c>
      <c r="BO41" s="227">
        <v>28561.66</v>
      </c>
      <c r="BP41" s="227">
        <v>18765.650000000001</v>
      </c>
      <c r="BQ41" s="227">
        <v>282340.37</v>
      </c>
      <c r="BR41" s="227">
        <v>68269.399999999994</v>
      </c>
      <c r="BS41" s="227">
        <v>195478.14</v>
      </c>
      <c r="BT41" s="227">
        <v>34220</v>
      </c>
      <c r="BU41" s="227">
        <v>0</v>
      </c>
      <c r="BV41" s="334">
        <v>0</v>
      </c>
      <c r="BW41" s="335"/>
      <c r="BX41" s="227">
        <v>0</v>
      </c>
      <c r="BY41" s="227">
        <v>0</v>
      </c>
      <c r="BZ41" s="227">
        <v>-1965</v>
      </c>
      <c r="CA41" s="227">
        <v>10941.25</v>
      </c>
      <c r="CB41" s="227">
        <v>10000</v>
      </c>
      <c r="CC41" s="227">
        <v>0</v>
      </c>
      <c r="CD41" s="227">
        <v>6000</v>
      </c>
      <c r="CE41" s="227">
        <v>0</v>
      </c>
      <c r="CF41" s="227">
        <v>32997.32</v>
      </c>
      <c r="CG41" s="227">
        <v>0</v>
      </c>
      <c r="CH41" s="227">
        <v>0</v>
      </c>
      <c r="CI41" s="226">
        <v>0</v>
      </c>
      <c r="CJ41" s="226">
        <v>0</v>
      </c>
      <c r="CK41" s="226">
        <v>0</v>
      </c>
      <c r="CL41" s="226">
        <v>0</v>
      </c>
      <c r="CM41" s="227">
        <v>30000</v>
      </c>
      <c r="CN41" s="227">
        <v>12938</v>
      </c>
      <c r="CO41" s="227">
        <v>0</v>
      </c>
      <c r="CP41" s="227">
        <v>0</v>
      </c>
      <c r="CQ41" s="227">
        <v>0</v>
      </c>
      <c r="CR41" s="227">
        <v>0</v>
      </c>
      <c r="CT41" s="229">
        <f t="shared" si="0"/>
        <v>42938</v>
      </c>
    </row>
    <row r="42" spans="1:98" ht="15">
      <c r="A42" s="226">
        <v>302</v>
      </c>
      <c r="B42" s="226">
        <v>2076</v>
      </c>
      <c r="C42" s="226" t="s">
        <v>312</v>
      </c>
      <c r="D42" s="226" t="s">
        <v>424</v>
      </c>
      <c r="E42" s="226"/>
      <c r="F42" s="226" t="s">
        <v>420</v>
      </c>
      <c r="G42" s="226">
        <v>0</v>
      </c>
      <c r="H42" s="226">
        <v>0</v>
      </c>
      <c r="I42" s="226" t="s">
        <v>472</v>
      </c>
      <c r="J42" s="226" t="s">
        <v>473</v>
      </c>
      <c r="K42" s="226" t="s">
        <v>421</v>
      </c>
      <c r="L42" s="226" t="s">
        <v>422</v>
      </c>
      <c r="M42" s="226" t="s">
        <v>421</v>
      </c>
      <c r="N42" s="226" t="s">
        <v>423</v>
      </c>
      <c r="O42" s="226" t="s">
        <v>171</v>
      </c>
      <c r="P42" s="226" t="s">
        <v>171</v>
      </c>
      <c r="Q42" s="227">
        <v>180558.93</v>
      </c>
      <c r="R42" s="227">
        <v>0</v>
      </c>
      <c r="S42" s="227">
        <v>20407.05</v>
      </c>
      <c r="T42" s="227">
        <v>1777480.14</v>
      </c>
      <c r="U42" s="227">
        <v>0</v>
      </c>
      <c r="V42" s="227">
        <v>186796.9</v>
      </c>
      <c r="W42" s="227">
        <v>0</v>
      </c>
      <c r="X42" s="227">
        <v>125800</v>
      </c>
      <c r="Y42" s="227">
        <v>15213.11</v>
      </c>
      <c r="Z42" s="227">
        <v>133365.42000000001</v>
      </c>
      <c r="AA42" s="227">
        <v>80573.06</v>
      </c>
      <c r="AB42" s="227">
        <v>23632.23</v>
      </c>
      <c r="AC42" s="227">
        <v>323.07</v>
      </c>
      <c r="AD42" s="227">
        <v>0</v>
      </c>
      <c r="AE42" s="227">
        <v>0</v>
      </c>
      <c r="AF42" s="227">
        <v>6302.55</v>
      </c>
      <c r="AG42" s="227">
        <v>13238.88</v>
      </c>
      <c r="AH42" s="227">
        <v>0</v>
      </c>
      <c r="AI42" s="227">
        <v>0</v>
      </c>
      <c r="AJ42" s="227">
        <v>0</v>
      </c>
      <c r="AK42" s="227">
        <v>9236.25</v>
      </c>
      <c r="AL42" s="227">
        <v>50415</v>
      </c>
      <c r="AM42" s="227">
        <v>1030854.02</v>
      </c>
      <c r="AN42" s="227">
        <v>2788.1</v>
      </c>
      <c r="AO42" s="227">
        <v>395050.8</v>
      </c>
      <c r="AP42" s="227">
        <v>30801.48</v>
      </c>
      <c r="AQ42" s="227">
        <v>157286.41</v>
      </c>
      <c r="AR42" s="227">
        <v>0</v>
      </c>
      <c r="AS42" s="227">
        <v>56591.87</v>
      </c>
      <c r="AT42" s="227">
        <v>29997.79</v>
      </c>
      <c r="AU42" s="227">
        <v>1684.89</v>
      </c>
      <c r="AV42" s="227">
        <v>434.92</v>
      </c>
      <c r="AW42" s="227">
        <v>0</v>
      </c>
      <c r="AX42" s="227">
        <v>41306.78</v>
      </c>
      <c r="AY42" s="227">
        <v>1661.61</v>
      </c>
      <c r="AZ42" s="227">
        <v>69353.52</v>
      </c>
      <c r="BA42" s="227">
        <v>20743.009999999998</v>
      </c>
      <c r="BB42" s="227">
        <v>76197.03</v>
      </c>
      <c r="BC42" s="227">
        <v>37500</v>
      </c>
      <c r="BD42" s="227">
        <v>12560.18</v>
      </c>
      <c r="BE42" s="227">
        <v>48058.36</v>
      </c>
      <c r="BF42" s="227">
        <v>7894</v>
      </c>
      <c r="BG42" s="226">
        <v>0</v>
      </c>
      <c r="BH42" s="226">
        <v>8084.67</v>
      </c>
      <c r="BI42" s="226">
        <v>5874.97</v>
      </c>
      <c r="BJ42" s="226">
        <v>374.99</v>
      </c>
      <c r="BK42" s="226">
        <v>149.1</v>
      </c>
      <c r="BL42" s="226">
        <v>12682.58</v>
      </c>
      <c r="BM42" s="227">
        <v>0</v>
      </c>
      <c r="BN42" s="227">
        <v>3889.67</v>
      </c>
      <c r="BO42" s="227">
        <v>11816.76</v>
      </c>
      <c r="BP42" s="227">
        <v>11122.76</v>
      </c>
      <c r="BQ42" s="227">
        <v>101018.49</v>
      </c>
      <c r="BR42" s="227">
        <v>25237.18</v>
      </c>
      <c r="BS42" s="227">
        <v>235294.2</v>
      </c>
      <c r="BT42" s="227">
        <v>33654.400000000001</v>
      </c>
      <c r="BU42" s="227">
        <v>0</v>
      </c>
      <c r="BV42" s="334">
        <v>0</v>
      </c>
      <c r="BW42" s="335"/>
      <c r="BX42" s="227">
        <v>14366</v>
      </c>
      <c r="BY42" s="227">
        <v>0</v>
      </c>
      <c r="BZ42" s="227">
        <v>0</v>
      </c>
      <c r="CA42" s="227">
        <v>7786.75</v>
      </c>
      <c r="CB42" s="227">
        <v>13400</v>
      </c>
      <c r="CC42" s="227">
        <v>14366</v>
      </c>
      <c r="CD42" s="227">
        <v>6000</v>
      </c>
      <c r="CE42" s="227">
        <v>0</v>
      </c>
      <c r="CF42" s="227">
        <v>42558.400000000001</v>
      </c>
      <c r="CG42" s="227">
        <v>13400</v>
      </c>
      <c r="CH42" s="227">
        <v>0</v>
      </c>
      <c r="CI42" s="226">
        <v>0</v>
      </c>
      <c r="CJ42" s="226">
        <v>0</v>
      </c>
      <c r="CK42" s="226">
        <v>0</v>
      </c>
      <c r="CL42" s="226">
        <v>0</v>
      </c>
      <c r="CM42" s="227">
        <v>6528</v>
      </c>
      <c r="CN42" s="227">
        <v>112077</v>
      </c>
      <c r="CO42" s="227">
        <v>1.4</v>
      </c>
      <c r="CP42" s="227">
        <v>0</v>
      </c>
      <c r="CQ42" s="227">
        <v>0</v>
      </c>
      <c r="CR42" s="227">
        <v>0</v>
      </c>
      <c r="CT42" s="229">
        <f t="shared" si="0"/>
        <v>118605</v>
      </c>
    </row>
    <row r="43" spans="1:98" ht="15">
      <c r="A43" s="226">
        <v>302</v>
      </c>
      <c r="B43" s="226">
        <v>2077</v>
      </c>
      <c r="C43" s="226" t="s">
        <v>263</v>
      </c>
      <c r="D43" s="226" t="s">
        <v>424</v>
      </c>
      <c r="E43" s="226"/>
      <c r="F43" s="226" t="s">
        <v>420</v>
      </c>
      <c r="G43" s="226">
        <v>0</v>
      </c>
      <c r="H43" s="226">
        <v>2</v>
      </c>
      <c r="I43" s="226" t="s">
        <v>472</v>
      </c>
      <c r="J43" s="226" t="s">
        <v>473</v>
      </c>
      <c r="K43" s="226" t="s">
        <v>421</v>
      </c>
      <c r="L43" s="226" t="s">
        <v>422</v>
      </c>
      <c r="M43" s="226" t="s">
        <v>421</v>
      </c>
      <c r="N43" s="226" t="s">
        <v>423</v>
      </c>
      <c r="O43" s="226" t="s">
        <v>171</v>
      </c>
      <c r="P43" s="226" t="s">
        <v>171</v>
      </c>
      <c r="Q43" s="227">
        <v>-888937.16</v>
      </c>
      <c r="R43" s="227">
        <v>-796.15</v>
      </c>
      <c r="S43" s="227">
        <v>4432.05</v>
      </c>
      <c r="T43" s="227">
        <v>6163216.8200000003</v>
      </c>
      <c r="U43" s="227">
        <v>0</v>
      </c>
      <c r="V43" s="227">
        <v>827162.28</v>
      </c>
      <c r="W43" s="227">
        <v>0</v>
      </c>
      <c r="X43" s="227">
        <v>598495</v>
      </c>
      <c r="Y43" s="227">
        <v>11633.65</v>
      </c>
      <c r="Z43" s="227">
        <v>1489.47</v>
      </c>
      <c r="AA43" s="227">
        <v>8876.5</v>
      </c>
      <c r="AB43" s="227">
        <v>207592.37</v>
      </c>
      <c r="AC43" s="227">
        <v>14261.49</v>
      </c>
      <c r="AD43" s="227">
        <v>0</v>
      </c>
      <c r="AE43" s="227">
        <v>1565.36</v>
      </c>
      <c r="AF43" s="227">
        <v>74299.850000000006</v>
      </c>
      <c r="AG43" s="227">
        <v>49428.53</v>
      </c>
      <c r="AH43" s="227">
        <v>0</v>
      </c>
      <c r="AI43" s="227">
        <v>0</v>
      </c>
      <c r="AJ43" s="227">
        <v>0</v>
      </c>
      <c r="AK43" s="227">
        <v>42068.56</v>
      </c>
      <c r="AL43" s="227">
        <v>244459.23</v>
      </c>
      <c r="AM43" s="227">
        <v>3486471.52</v>
      </c>
      <c r="AN43" s="227">
        <v>0</v>
      </c>
      <c r="AO43" s="227">
        <v>2055426.73</v>
      </c>
      <c r="AP43" s="227">
        <v>392957.3</v>
      </c>
      <c r="AQ43" s="227">
        <v>279293.36</v>
      </c>
      <c r="AR43" s="227">
        <v>141015.44</v>
      </c>
      <c r="AS43" s="227">
        <v>373383.28</v>
      </c>
      <c r="AT43" s="227">
        <v>34492.21</v>
      </c>
      <c r="AU43" s="227">
        <v>8122.47</v>
      </c>
      <c r="AV43" s="227">
        <v>0</v>
      </c>
      <c r="AW43" s="227">
        <v>0</v>
      </c>
      <c r="AX43" s="227">
        <v>84095.19</v>
      </c>
      <c r="AY43" s="227">
        <v>46506.96</v>
      </c>
      <c r="AZ43" s="227">
        <v>14742.26</v>
      </c>
      <c r="BA43" s="227">
        <v>35222.449999999997</v>
      </c>
      <c r="BB43" s="227">
        <v>175369.9</v>
      </c>
      <c r="BC43" s="227">
        <v>13747.3</v>
      </c>
      <c r="BD43" s="227">
        <v>59692.45</v>
      </c>
      <c r="BE43" s="227">
        <v>266009.57</v>
      </c>
      <c r="BF43" s="227">
        <v>47092.25</v>
      </c>
      <c r="BG43" s="226">
        <v>0</v>
      </c>
      <c r="BH43" s="226">
        <v>0</v>
      </c>
      <c r="BI43" s="226">
        <v>0</v>
      </c>
      <c r="BJ43" s="226">
        <v>0</v>
      </c>
      <c r="BK43" s="226">
        <v>0</v>
      </c>
      <c r="BL43" s="226">
        <v>0</v>
      </c>
      <c r="BM43" s="227">
        <v>0</v>
      </c>
      <c r="BN43" s="227">
        <v>84148.41</v>
      </c>
      <c r="BO43" s="227">
        <v>23629.29</v>
      </c>
      <c r="BP43" s="227">
        <v>77019.460000000006</v>
      </c>
      <c r="BQ43" s="227">
        <v>254408.09</v>
      </c>
      <c r="BR43" s="227">
        <v>158588.26</v>
      </c>
      <c r="BS43" s="227">
        <v>307289.78000000003</v>
      </c>
      <c r="BT43" s="227">
        <v>86623.27</v>
      </c>
      <c r="BU43" s="227">
        <v>0</v>
      </c>
      <c r="BV43" s="334">
        <v>0</v>
      </c>
      <c r="BW43" s="335"/>
      <c r="BX43" s="227">
        <v>6234.75</v>
      </c>
      <c r="BY43" s="227">
        <v>0</v>
      </c>
      <c r="BZ43" s="227">
        <v>-796.15</v>
      </c>
      <c r="CA43" s="227">
        <v>14325.2</v>
      </c>
      <c r="CB43" s="227">
        <v>0</v>
      </c>
      <c r="CC43" s="227">
        <v>6234.75</v>
      </c>
      <c r="CD43" s="227">
        <v>6000</v>
      </c>
      <c r="CE43" s="227">
        <v>0</v>
      </c>
      <c r="CF43" s="227">
        <v>0</v>
      </c>
      <c r="CG43" s="227">
        <v>0</v>
      </c>
      <c r="CH43" s="227">
        <v>20560</v>
      </c>
      <c r="CI43" s="226">
        <v>0</v>
      </c>
      <c r="CJ43" s="226">
        <v>0</v>
      </c>
      <c r="CK43" s="226">
        <v>0</v>
      </c>
      <c r="CL43" s="226">
        <v>0</v>
      </c>
      <c r="CM43" s="227">
        <v>0</v>
      </c>
      <c r="CN43" s="227">
        <v>-1155970</v>
      </c>
      <c r="CO43" s="227">
        <v>4432</v>
      </c>
      <c r="CP43" s="227">
        <v>0</v>
      </c>
      <c r="CQ43" s="227">
        <v>0</v>
      </c>
      <c r="CR43" s="227">
        <v>0</v>
      </c>
      <c r="CT43" s="229">
        <f t="shared" si="0"/>
        <v>-1155970</v>
      </c>
    </row>
    <row r="44" spans="1:98" ht="15">
      <c r="A44" s="226">
        <v>302</v>
      </c>
      <c r="B44" s="226">
        <v>2078</v>
      </c>
      <c r="C44" s="226" t="s">
        <v>253</v>
      </c>
      <c r="D44" s="226" t="s">
        <v>424</v>
      </c>
      <c r="E44" s="226"/>
      <c r="F44" s="226" t="s">
        <v>420</v>
      </c>
      <c r="G44" s="226">
        <v>0</v>
      </c>
      <c r="H44" s="226">
        <v>1</v>
      </c>
      <c r="I44" s="226" t="s">
        <v>472</v>
      </c>
      <c r="J44" s="226" t="s">
        <v>473</v>
      </c>
      <c r="K44" s="226" t="s">
        <v>421</v>
      </c>
      <c r="L44" s="226" t="s">
        <v>422</v>
      </c>
      <c r="M44" s="226" t="s">
        <v>421</v>
      </c>
      <c r="N44" s="226" t="s">
        <v>423</v>
      </c>
      <c r="O44" s="226" t="s">
        <v>171</v>
      </c>
      <c r="P44" s="226" t="s">
        <v>171</v>
      </c>
      <c r="Q44" s="227">
        <v>-256243.17</v>
      </c>
      <c r="R44" s="227">
        <v>0</v>
      </c>
      <c r="S44" s="227">
        <v>1378</v>
      </c>
      <c r="T44" s="227">
        <v>1807042.92</v>
      </c>
      <c r="U44" s="227">
        <v>0</v>
      </c>
      <c r="V44" s="227">
        <v>65673.95</v>
      </c>
      <c r="W44" s="227">
        <v>0</v>
      </c>
      <c r="X44" s="227">
        <v>24280</v>
      </c>
      <c r="Y44" s="227">
        <v>62552.78</v>
      </c>
      <c r="Z44" s="227">
        <v>138665.9</v>
      </c>
      <c r="AA44" s="227">
        <v>17201.849999999999</v>
      </c>
      <c r="AB44" s="227">
        <v>0</v>
      </c>
      <c r="AC44" s="227">
        <v>35111.56</v>
      </c>
      <c r="AD44" s="227">
        <v>0</v>
      </c>
      <c r="AE44" s="227">
        <v>1400</v>
      </c>
      <c r="AF44" s="227">
        <v>20939.53</v>
      </c>
      <c r="AG44" s="227">
        <v>233015.1</v>
      </c>
      <c r="AH44" s="227">
        <v>0</v>
      </c>
      <c r="AI44" s="227">
        <v>0</v>
      </c>
      <c r="AJ44" s="227">
        <v>0</v>
      </c>
      <c r="AK44" s="227">
        <v>5230.83</v>
      </c>
      <c r="AL44" s="227">
        <v>41026</v>
      </c>
      <c r="AM44" s="227">
        <v>1163642.6299999999</v>
      </c>
      <c r="AN44" s="227">
        <v>0</v>
      </c>
      <c r="AO44" s="227">
        <v>293666.90000000002</v>
      </c>
      <c r="AP44" s="227">
        <v>35331.75</v>
      </c>
      <c r="AQ44" s="227">
        <v>181693.57</v>
      </c>
      <c r="AR44" s="227">
        <v>0</v>
      </c>
      <c r="AS44" s="227">
        <v>37261.379999999997</v>
      </c>
      <c r="AT44" s="227">
        <v>5282.39</v>
      </c>
      <c r="AU44" s="227">
        <v>6578.72</v>
      </c>
      <c r="AV44" s="227">
        <v>4399.6099999999997</v>
      </c>
      <c r="AW44" s="227">
        <v>0</v>
      </c>
      <c r="AX44" s="227">
        <v>34230.47</v>
      </c>
      <c r="AY44" s="227">
        <v>0</v>
      </c>
      <c r="AZ44" s="227">
        <v>46705.56</v>
      </c>
      <c r="BA44" s="227">
        <v>2860.28</v>
      </c>
      <c r="BB44" s="227">
        <v>44516.87</v>
      </c>
      <c r="BC44" s="227">
        <v>23102.400000000001</v>
      </c>
      <c r="BD44" s="227">
        <v>72093.94</v>
      </c>
      <c r="BE44" s="227">
        <v>119712.43</v>
      </c>
      <c r="BF44" s="227">
        <v>8914.67</v>
      </c>
      <c r="BG44" s="226">
        <v>0</v>
      </c>
      <c r="BH44" s="226">
        <v>0</v>
      </c>
      <c r="BI44" s="226">
        <v>0</v>
      </c>
      <c r="BJ44" s="226">
        <v>0</v>
      </c>
      <c r="BK44" s="226">
        <v>0</v>
      </c>
      <c r="BL44" s="226">
        <v>0</v>
      </c>
      <c r="BM44" s="227">
        <v>0</v>
      </c>
      <c r="BN44" s="227">
        <v>16021.73</v>
      </c>
      <c r="BO44" s="227">
        <v>5656.84</v>
      </c>
      <c r="BP44" s="227">
        <v>17991.45</v>
      </c>
      <c r="BQ44" s="227">
        <v>127234.41</v>
      </c>
      <c r="BR44" s="227">
        <v>55569.88</v>
      </c>
      <c r="BS44" s="227">
        <v>73707.86</v>
      </c>
      <c r="BT44" s="227">
        <v>11032.51</v>
      </c>
      <c r="BU44" s="227">
        <v>0</v>
      </c>
      <c r="BV44" s="334">
        <v>0</v>
      </c>
      <c r="BW44" s="335"/>
      <c r="BX44" s="227">
        <v>0</v>
      </c>
      <c r="BY44" s="227">
        <v>0</v>
      </c>
      <c r="BZ44" s="227">
        <v>0</v>
      </c>
      <c r="CA44" s="227">
        <v>0</v>
      </c>
      <c r="CB44" s="227">
        <v>0</v>
      </c>
      <c r="CC44" s="227">
        <v>0</v>
      </c>
      <c r="CD44" s="227">
        <v>6000</v>
      </c>
      <c r="CE44" s="227">
        <v>0</v>
      </c>
      <c r="CF44" s="227">
        <v>0</v>
      </c>
      <c r="CG44" s="227">
        <v>0</v>
      </c>
      <c r="CH44" s="227">
        <v>0</v>
      </c>
      <c r="CI44" s="226">
        <v>0</v>
      </c>
      <c r="CJ44" s="226">
        <v>0</v>
      </c>
      <c r="CK44" s="226">
        <v>0</v>
      </c>
      <c r="CL44" s="226">
        <v>0</v>
      </c>
      <c r="CM44" s="227">
        <v>0</v>
      </c>
      <c r="CN44" s="227">
        <v>-191311</v>
      </c>
      <c r="CO44" s="227">
        <v>0</v>
      </c>
      <c r="CP44" s="227">
        <v>1378</v>
      </c>
      <c r="CQ44" s="227">
        <v>0</v>
      </c>
      <c r="CR44" s="227">
        <v>0</v>
      </c>
      <c r="CT44" s="229">
        <f t="shared" si="0"/>
        <v>-191311</v>
      </c>
    </row>
    <row r="45" spans="1:98" ht="15">
      <c r="A45" s="226">
        <v>302</v>
      </c>
      <c r="B45" s="226">
        <v>2079</v>
      </c>
      <c r="C45" s="226" t="s">
        <v>231</v>
      </c>
      <c r="D45" s="226" t="s">
        <v>424</v>
      </c>
      <c r="E45" s="226"/>
      <c r="F45" s="226" t="s">
        <v>420</v>
      </c>
      <c r="G45" s="226">
        <v>0</v>
      </c>
      <c r="H45" s="226">
        <v>0</v>
      </c>
      <c r="I45" s="226" t="s">
        <v>472</v>
      </c>
      <c r="J45" s="226" t="s">
        <v>473</v>
      </c>
      <c r="K45" s="226" t="s">
        <v>421</v>
      </c>
      <c r="L45" s="226" t="s">
        <v>422</v>
      </c>
      <c r="M45" s="226" t="s">
        <v>421</v>
      </c>
      <c r="N45" s="226" t="s">
        <v>423</v>
      </c>
      <c r="O45" s="226" t="s">
        <v>171</v>
      </c>
      <c r="P45" s="226" t="s">
        <v>171</v>
      </c>
      <c r="Q45" s="227">
        <v>11719.19</v>
      </c>
      <c r="R45" s="227">
        <v>0</v>
      </c>
      <c r="S45" s="227">
        <v>0</v>
      </c>
      <c r="T45" s="227">
        <v>2324713.67</v>
      </c>
      <c r="U45" s="227">
        <v>0</v>
      </c>
      <c r="V45" s="227">
        <v>41305.51</v>
      </c>
      <c r="W45" s="227">
        <v>0</v>
      </c>
      <c r="X45" s="227">
        <v>14800</v>
      </c>
      <c r="Y45" s="227">
        <v>3300</v>
      </c>
      <c r="Z45" s="227">
        <v>176967.3</v>
      </c>
      <c r="AA45" s="227">
        <v>0</v>
      </c>
      <c r="AB45" s="227">
        <v>0</v>
      </c>
      <c r="AC45" s="227">
        <v>0</v>
      </c>
      <c r="AD45" s="227">
        <v>0</v>
      </c>
      <c r="AE45" s="227">
        <v>0</v>
      </c>
      <c r="AF45" s="227">
        <v>5403.51</v>
      </c>
      <c r="AG45" s="227">
        <v>0</v>
      </c>
      <c r="AH45" s="227">
        <v>0</v>
      </c>
      <c r="AI45" s="227">
        <v>0</v>
      </c>
      <c r="AJ45" s="227">
        <v>0</v>
      </c>
      <c r="AK45" s="227">
        <v>1373.13</v>
      </c>
      <c r="AL45" s="227">
        <v>106688.53</v>
      </c>
      <c r="AM45" s="227">
        <v>1447343.74</v>
      </c>
      <c r="AN45" s="227">
        <v>0</v>
      </c>
      <c r="AO45" s="227">
        <v>190955.45</v>
      </c>
      <c r="AP45" s="227">
        <v>60329.35</v>
      </c>
      <c r="AQ45" s="227">
        <v>128022.35</v>
      </c>
      <c r="AR45" s="227">
        <v>0</v>
      </c>
      <c r="AS45" s="227">
        <v>22194.18</v>
      </c>
      <c r="AT45" s="227">
        <v>39330.480000000003</v>
      </c>
      <c r="AU45" s="227">
        <v>1128.5999999999999</v>
      </c>
      <c r="AV45" s="227">
        <v>687.24</v>
      </c>
      <c r="AW45" s="227">
        <v>0</v>
      </c>
      <c r="AX45" s="227">
        <v>40874.400000000001</v>
      </c>
      <c r="AY45" s="227">
        <v>0</v>
      </c>
      <c r="AZ45" s="227">
        <v>70421.63</v>
      </c>
      <c r="BA45" s="227">
        <v>5712.27</v>
      </c>
      <c r="BB45" s="227">
        <v>53079.21</v>
      </c>
      <c r="BC45" s="227">
        <v>34473.599999999999</v>
      </c>
      <c r="BD45" s="227">
        <v>22584.41</v>
      </c>
      <c r="BE45" s="227">
        <v>200725.16</v>
      </c>
      <c r="BF45" s="227">
        <v>22609.68</v>
      </c>
      <c r="BG45" s="226">
        <v>0</v>
      </c>
      <c r="BH45" s="226">
        <v>0</v>
      </c>
      <c r="BI45" s="226">
        <v>0</v>
      </c>
      <c r="BJ45" s="226">
        <v>0</v>
      </c>
      <c r="BK45" s="226">
        <v>0</v>
      </c>
      <c r="BL45" s="226">
        <v>0</v>
      </c>
      <c r="BM45" s="227">
        <v>0</v>
      </c>
      <c r="BN45" s="227">
        <v>23094.25</v>
      </c>
      <c r="BO45" s="227">
        <v>18178.46</v>
      </c>
      <c r="BP45" s="227">
        <v>100870.34</v>
      </c>
      <c r="BQ45" s="227">
        <v>37416.26</v>
      </c>
      <c r="BR45" s="227">
        <v>0</v>
      </c>
      <c r="BS45" s="227">
        <v>37104.97</v>
      </c>
      <c r="BT45" s="227">
        <v>0</v>
      </c>
      <c r="BU45" s="227">
        <v>45457.83</v>
      </c>
      <c r="BV45" s="334">
        <v>0</v>
      </c>
      <c r="BW45" s="335"/>
      <c r="BX45" s="227">
        <v>0</v>
      </c>
      <c r="BY45" s="227">
        <v>0</v>
      </c>
      <c r="BZ45" s="227">
        <v>0</v>
      </c>
      <c r="CA45" s="227">
        <v>0</v>
      </c>
      <c r="CB45" s="227">
        <v>0</v>
      </c>
      <c r="CC45" s="227">
        <v>0</v>
      </c>
      <c r="CD45" s="227">
        <v>6000</v>
      </c>
      <c r="CE45" s="227">
        <v>0</v>
      </c>
      <c r="CF45" s="227">
        <v>0</v>
      </c>
      <c r="CG45" s="227">
        <v>0</v>
      </c>
      <c r="CH45" s="227">
        <v>0</v>
      </c>
      <c r="CI45" s="226">
        <v>0</v>
      </c>
      <c r="CJ45" s="226">
        <v>0</v>
      </c>
      <c r="CK45" s="226">
        <v>0</v>
      </c>
      <c r="CL45" s="226">
        <v>0</v>
      </c>
      <c r="CM45" s="227">
        <v>0</v>
      </c>
      <c r="CN45" s="227">
        <v>83676.98</v>
      </c>
      <c r="CO45" s="227">
        <v>0</v>
      </c>
      <c r="CP45" s="227">
        <v>0</v>
      </c>
      <c r="CQ45" s="227">
        <v>0</v>
      </c>
      <c r="CR45" s="227">
        <v>0</v>
      </c>
      <c r="CT45" s="229">
        <f t="shared" si="0"/>
        <v>83676.98</v>
      </c>
    </row>
    <row r="46" spans="1:98" ht="15">
      <c r="A46" s="226">
        <v>302</v>
      </c>
      <c r="B46" s="226">
        <v>3300</v>
      </c>
      <c r="C46" s="226" t="s">
        <v>334</v>
      </c>
      <c r="D46" s="226" t="s">
        <v>424</v>
      </c>
      <c r="E46" s="226"/>
      <c r="F46" s="226" t="s">
        <v>420</v>
      </c>
      <c r="G46" s="226">
        <v>0</v>
      </c>
      <c r="H46" s="226">
        <v>0</v>
      </c>
      <c r="I46" s="226" t="s">
        <v>472</v>
      </c>
      <c r="J46" s="226" t="s">
        <v>473</v>
      </c>
      <c r="K46" s="226" t="s">
        <v>421</v>
      </c>
      <c r="L46" s="226" t="s">
        <v>422</v>
      </c>
      <c r="M46" s="226" t="s">
        <v>421</v>
      </c>
      <c r="N46" s="226" t="s">
        <v>423</v>
      </c>
      <c r="O46" s="226" t="s">
        <v>171</v>
      </c>
      <c r="P46" s="226" t="s">
        <v>171</v>
      </c>
      <c r="Q46" s="227">
        <v>120907.87</v>
      </c>
      <c r="R46" s="227">
        <v>0</v>
      </c>
      <c r="S46" s="227">
        <v>0</v>
      </c>
      <c r="T46" s="227">
        <v>1156846.51</v>
      </c>
      <c r="U46" s="227">
        <v>0</v>
      </c>
      <c r="V46" s="227">
        <v>114252.07</v>
      </c>
      <c r="W46" s="227">
        <v>0</v>
      </c>
      <c r="X46" s="227">
        <v>131720</v>
      </c>
      <c r="Y46" s="227">
        <v>4544.42</v>
      </c>
      <c r="Z46" s="227">
        <v>27997.83</v>
      </c>
      <c r="AA46" s="227">
        <v>0</v>
      </c>
      <c r="AB46" s="227">
        <v>15416.38</v>
      </c>
      <c r="AC46" s="227">
        <v>410.54</v>
      </c>
      <c r="AD46" s="227">
        <v>0</v>
      </c>
      <c r="AE46" s="227">
        <v>1507.2</v>
      </c>
      <c r="AF46" s="227">
        <v>11889.75</v>
      </c>
      <c r="AG46" s="227">
        <v>4731.92</v>
      </c>
      <c r="AH46" s="227">
        <v>0</v>
      </c>
      <c r="AI46" s="227">
        <v>0</v>
      </c>
      <c r="AJ46" s="227">
        <v>0</v>
      </c>
      <c r="AK46" s="227">
        <v>5256.25</v>
      </c>
      <c r="AL46" s="227">
        <v>36644</v>
      </c>
      <c r="AM46" s="227">
        <v>640957.51</v>
      </c>
      <c r="AN46" s="227">
        <v>0</v>
      </c>
      <c r="AO46" s="227">
        <v>170586.71</v>
      </c>
      <c r="AP46" s="227">
        <v>42174.57</v>
      </c>
      <c r="AQ46" s="227">
        <v>37108.99</v>
      </c>
      <c r="AR46" s="227">
        <v>0</v>
      </c>
      <c r="AS46" s="227">
        <v>10796.24</v>
      </c>
      <c r="AT46" s="227">
        <v>2457.94</v>
      </c>
      <c r="AU46" s="227">
        <v>1875.25</v>
      </c>
      <c r="AV46" s="227">
        <v>267.26</v>
      </c>
      <c r="AW46" s="227">
        <v>0</v>
      </c>
      <c r="AX46" s="227">
        <v>8662.33</v>
      </c>
      <c r="AY46" s="227">
        <v>1498.61</v>
      </c>
      <c r="AZ46" s="227">
        <v>27437.3</v>
      </c>
      <c r="BA46" s="227">
        <v>6145.93</v>
      </c>
      <c r="BB46" s="227">
        <v>22607.53</v>
      </c>
      <c r="BC46" s="227">
        <v>3681.6</v>
      </c>
      <c r="BD46" s="227">
        <v>6289.18</v>
      </c>
      <c r="BE46" s="227">
        <v>46668.97</v>
      </c>
      <c r="BF46" s="227">
        <v>5716.21</v>
      </c>
      <c r="BG46" s="226">
        <v>0</v>
      </c>
      <c r="BH46" s="226">
        <v>1857.26</v>
      </c>
      <c r="BI46" s="226">
        <v>3638.25</v>
      </c>
      <c r="BJ46" s="226">
        <v>27.09</v>
      </c>
      <c r="BK46" s="226">
        <v>1339.67</v>
      </c>
      <c r="BL46" s="226">
        <v>5856.96</v>
      </c>
      <c r="BM46" s="227">
        <v>0</v>
      </c>
      <c r="BN46" s="227">
        <v>2719.94</v>
      </c>
      <c r="BO46" s="227">
        <v>6583.29</v>
      </c>
      <c r="BP46" s="227">
        <v>2048.61</v>
      </c>
      <c r="BQ46" s="227">
        <v>71092.820000000007</v>
      </c>
      <c r="BR46" s="227">
        <v>9354.19</v>
      </c>
      <c r="BS46" s="227">
        <v>306395</v>
      </c>
      <c r="BT46" s="227">
        <v>24818.53</v>
      </c>
      <c r="BU46" s="227">
        <v>0</v>
      </c>
      <c r="BV46" s="334">
        <v>0</v>
      </c>
      <c r="BW46" s="335"/>
      <c r="BX46" s="227">
        <v>0</v>
      </c>
      <c r="BY46" s="227">
        <v>0</v>
      </c>
      <c r="BZ46" s="227">
        <v>0</v>
      </c>
      <c r="CA46" s="227">
        <v>0</v>
      </c>
      <c r="CB46" s="227">
        <v>0</v>
      </c>
      <c r="CC46" s="227">
        <v>0</v>
      </c>
      <c r="CD46" s="227">
        <v>6000</v>
      </c>
      <c r="CE46" s="227">
        <v>0</v>
      </c>
      <c r="CF46" s="227">
        <v>0</v>
      </c>
      <c r="CG46" s="227">
        <v>0</v>
      </c>
      <c r="CH46" s="227">
        <v>0</v>
      </c>
      <c r="CI46" s="226">
        <v>0</v>
      </c>
      <c r="CJ46" s="226">
        <v>0</v>
      </c>
      <c r="CK46" s="226">
        <v>0</v>
      </c>
      <c r="CL46" s="226">
        <v>0</v>
      </c>
      <c r="CM46" s="227">
        <v>18642</v>
      </c>
      <c r="CN46" s="227">
        <v>142819</v>
      </c>
      <c r="CO46" s="227">
        <v>0</v>
      </c>
      <c r="CP46" s="227">
        <v>0</v>
      </c>
      <c r="CQ46" s="227">
        <v>0</v>
      </c>
      <c r="CR46" s="227">
        <v>0</v>
      </c>
      <c r="CT46" s="229">
        <f t="shared" si="0"/>
        <v>161461</v>
      </c>
    </row>
    <row r="47" spans="1:98" ht="15">
      <c r="A47" s="226">
        <v>302</v>
      </c>
      <c r="B47" s="226">
        <v>3302</v>
      </c>
      <c r="C47" s="226" t="s">
        <v>235</v>
      </c>
      <c r="D47" s="226" t="s">
        <v>424</v>
      </c>
      <c r="E47" s="226"/>
      <c r="F47" s="226" t="s">
        <v>420</v>
      </c>
      <c r="G47" s="226">
        <v>0</v>
      </c>
      <c r="H47" s="226">
        <v>0</v>
      </c>
      <c r="I47" s="226" t="s">
        <v>472</v>
      </c>
      <c r="J47" s="226" t="s">
        <v>473</v>
      </c>
      <c r="K47" s="226" t="s">
        <v>421</v>
      </c>
      <c r="L47" s="226" t="s">
        <v>422</v>
      </c>
      <c r="M47" s="226" t="s">
        <v>421</v>
      </c>
      <c r="N47" s="226" t="s">
        <v>423</v>
      </c>
      <c r="O47" s="226" t="s">
        <v>171</v>
      </c>
      <c r="P47" s="226" t="s">
        <v>171</v>
      </c>
      <c r="Q47" s="227">
        <v>347635.9</v>
      </c>
      <c r="R47" s="227">
        <v>0</v>
      </c>
      <c r="S47" s="227">
        <v>0</v>
      </c>
      <c r="T47" s="227">
        <v>1228480.99</v>
      </c>
      <c r="U47" s="227">
        <v>0</v>
      </c>
      <c r="V47" s="227">
        <v>92551.98</v>
      </c>
      <c r="W47" s="227">
        <v>0</v>
      </c>
      <c r="X47" s="227">
        <v>38790</v>
      </c>
      <c r="Y47" s="227">
        <v>0</v>
      </c>
      <c r="Z47" s="227">
        <v>57533.89</v>
      </c>
      <c r="AA47" s="227">
        <v>7003.39</v>
      </c>
      <c r="AB47" s="227">
        <v>55306.8</v>
      </c>
      <c r="AC47" s="227">
        <v>4942.3100000000004</v>
      </c>
      <c r="AD47" s="227">
        <v>400</v>
      </c>
      <c r="AE47" s="227">
        <v>3584</v>
      </c>
      <c r="AF47" s="227">
        <v>59414.5</v>
      </c>
      <c r="AG47" s="227">
        <v>18503.16</v>
      </c>
      <c r="AH47" s="227">
        <v>0</v>
      </c>
      <c r="AI47" s="227">
        <v>0</v>
      </c>
      <c r="AJ47" s="227">
        <v>0</v>
      </c>
      <c r="AK47" s="227">
        <v>2487.5</v>
      </c>
      <c r="AL47" s="227">
        <v>47987</v>
      </c>
      <c r="AM47" s="227">
        <v>836864.29</v>
      </c>
      <c r="AN47" s="227">
        <v>0</v>
      </c>
      <c r="AO47" s="227">
        <v>332805.65999999997</v>
      </c>
      <c r="AP47" s="227">
        <v>44417.47</v>
      </c>
      <c r="AQ47" s="227">
        <v>61543.55</v>
      </c>
      <c r="AR47" s="227">
        <v>0</v>
      </c>
      <c r="AS47" s="227">
        <v>39364.85</v>
      </c>
      <c r="AT47" s="227">
        <v>2174.92</v>
      </c>
      <c r="AU47" s="227">
        <v>3974.98</v>
      </c>
      <c r="AV47" s="227">
        <v>8423.59</v>
      </c>
      <c r="AW47" s="227">
        <v>0</v>
      </c>
      <c r="AX47" s="227">
        <v>15450.74</v>
      </c>
      <c r="AY47" s="227">
        <v>2229.52</v>
      </c>
      <c r="AZ47" s="227">
        <v>22002.639999999999</v>
      </c>
      <c r="BA47" s="227">
        <v>1655.46</v>
      </c>
      <c r="BB47" s="227">
        <v>26300.9</v>
      </c>
      <c r="BC47" s="227">
        <v>5652.34</v>
      </c>
      <c r="BD47" s="227">
        <v>2720.01</v>
      </c>
      <c r="BE47" s="227">
        <v>68385.820000000007</v>
      </c>
      <c r="BF47" s="227">
        <v>5184.8999999999996</v>
      </c>
      <c r="BG47" s="226">
        <v>0</v>
      </c>
      <c r="BH47" s="226">
        <v>12682.81</v>
      </c>
      <c r="BI47" s="226">
        <v>7503.26</v>
      </c>
      <c r="BJ47" s="226">
        <v>8313.9</v>
      </c>
      <c r="BK47" s="226">
        <v>1226.95</v>
      </c>
      <c r="BL47" s="226">
        <v>2766</v>
      </c>
      <c r="BM47" s="227">
        <v>0</v>
      </c>
      <c r="BN47" s="227">
        <v>377.69</v>
      </c>
      <c r="BO47" s="227">
        <v>10670.9</v>
      </c>
      <c r="BP47" s="227">
        <v>11313.61</v>
      </c>
      <c r="BQ47" s="227">
        <v>93248.22</v>
      </c>
      <c r="BR47" s="227">
        <v>0</v>
      </c>
      <c r="BS47" s="227">
        <v>17033.68</v>
      </c>
      <c r="BT47" s="227">
        <v>22880.76</v>
      </c>
      <c r="BU47" s="227">
        <v>0</v>
      </c>
      <c r="BV47" s="334">
        <v>0</v>
      </c>
      <c r="BW47" s="335"/>
      <c r="BX47" s="227">
        <v>0</v>
      </c>
      <c r="BY47" s="227">
        <v>0</v>
      </c>
      <c r="BZ47" s="227">
        <v>0</v>
      </c>
      <c r="CA47" s="227">
        <v>0</v>
      </c>
      <c r="CB47" s="227">
        <v>0</v>
      </c>
      <c r="CC47" s="227">
        <v>0</v>
      </c>
      <c r="CD47" s="227">
        <v>6000</v>
      </c>
      <c r="CE47" s="227">
        <v>0</v>
      </c>
      <c r="CF47" s="227">
        <v>0</v>
      </c>
      <c r="CG47" s="227">
        <v>0</v>
      </c>
      <c r="CH47" s="227">
        <v>0</v>
      </c>
      <c r="CI47" s="226">
        <v>0</v>
      </c>
      <c r="CJ47" s="226">
        <v>0</v>
      </c>
      <c r="CK47" s="226">
        <v>0</v>
      </c>
      <c r="CL47" s="226">
        <v>0</v>
      </c>
      <c r="CM47" s="227">
        <v>10753</v>
      </c>
      <c r="CN47" s="227">
        <v>286699</v>
      </c>
      <c r="CO47" s="227">
        <v>0</v>
      </c>
      <c r="CP47" s="227">
        <v>0</v>
      </c>
      <c r="CQ47" s="227">
        <v>0</v>
      </c>
      <c r="CR47" s="227">
        <v>0</v>
      </c>
      <c r="CT47" s="229">
        <f t="shared" si="0"/>
        <v>297452</v>
      </c>
    </row>
    <row r="48" spans="1:98" ht="15">
      <c r="A48" s="226">
        <v>302</v>
      </c>
      <c r="B48" s="226">
        <v>3304</v>
      </c>
      <c r="C48" s="226" t="s">
        <v>245</v>
      </c>
      <c r="D48" s="226" t="s">
        <v>424</v>
      </c>
      <c r="E48" s="226"/>
      <c r="F48" s="226" t="s">
        <v>420</v>
      </c>
      <c r="G48" s="226">
        <v>0</v>
      </c>
      <c r="H48" s="226">
        <v>0</v>
      </c>
      <c r="I48" s="226" t="s">
        <v>472</v>
      </c>
      <c r="J48" s="226" t="s">
        <v>473</v>
      </c>
      <c r="K48" s="226" t="s">
        <v>421</v>
      </c>
      <c r="L48" s="226" t="s">
        <v>422</v>
      </c>
      <c r="M48" s="226" t="s">
        <v>421</v>
      </c>
      <c r="N48" s="226" t="s">
        <v>423</v>
      </c>
      <c r="O48" s="226" t="s">
        <v>171</v>
      </c>
      <c r="P48" s="226" t="s">
        <v>171</v>
      </c>
      <c r="Q48" s="227">
        <v>41237.660000000003</v>
      </c>
      <c r="R48" s="227">
        <v>0</v>
      </c>
      <c r="S48" s="227">
        <v>0</v>
      </c>
      <c r="T48" s="227">
        <v>1306198.1399999999</v>
      </c>
      <c r="U48" s="227">
        <v>0</v>
      </c>
      <c r="V48" s="227">
        <v>134138.07</v>
      </c>
      <c r="W48" s="227">
        <v>0</v>
      </c>
      <c r="X48" s="227">
        <v>70650</v>
      </c>
      <c r="Y48" s="227">
        <v>30911.42</v>
      </c>
      <c r="Z48" s="227">
        <v>43716.78</v>
      </c>
      <c r="AA48" s="227">
        <v>2909</v>
      </c>
      <c r="AB48" s="227">
        <v>61231.7</v>
      </c>
      <c r="AC48" s="227">
        <v>936.25</v>
      </c>
      <c r="AD48" s="227">
        <v>0</v>
      </c>
      <c r="AE48" s="227">
        <v>0</v>
      </c>
      <c r="AF48" s="227">
        <v>22340.73</v>
      </c>
      <c r="AG48" s="227">
        <v>10548.24</v>
      </c>
      <c r="AH48" s="227">
        <v>0</v>
      </c>
      <c r="AI48" s="227">
        <v>0</v>
      </c>
      <c r="AJ48" s="227">
        <v>0</v>
      </c>
      <c r="AK48" s="227">
        <v>1523.75</v>
      </c>
      <c r="AL48" s="227">
        <v>46248</v>
      </c>
      <c r="AM48" s="227">
        <v>717890.91</v>
      </c>
      <c r="AN48" s="227">
        <v>15522.29</v>
      </c>
      <c r="AO48" s="227">
        <v>332818.87</v>
      </c>
      <c r="AP48" s="227">
        <v>39532.53</v>
      </c>
      <c r="AQ48" s="227">
        <v>65592.899999999994</v>
      </c>
      <c r="AR48" s="227">
        <v>0</v>
      </c>
      <c r="AS48" s="227">
        <v>39268.33</v>
      </c>
      <c r="AT48" s="227">
        <v>6525.49</v>
      </c>
      <c r="AU48" s="227">
        <v>8029.29</v>
      </c>
      <c r="AV48" s="227">
        <v>335.32</v>
      </c>
      <c r="AW48" s="227">
        <v>0</v>
      </c>
      <c r="AX48" s="227">
        <v>19283.3</v>
      </c>
      <c r="AY48" s="227">
        <v>875</v>
      </c>
      <c r="AZ48" s="227">
        <v>24367.87</v>
      </c>
      <c r="BA48" s="227">
        <v>2611.91</v>
      </c>
      <c r="BB48" s="227">
        <v>29918.42</v>
      </c>
      <c r="BC48" s="227">
        <v>4336.8</v>
      </c>
      <c r="BD48" s="227">
        <v>14036.52</v>
      </c>
      <c r="BE48" s="227">
        <v>50637.02</v>
      </c>
      <c r="BF48" s="227">
        <v>4368.75</v>
      </c>
      <c r="BG48" s="226">
        <v>0</v>
      </c>
      <c r="BH48" s="226">
        <v>759.5</v>
      </c>
      <c r="BI48" s="226">
        <v>6723.54</v>
      </c>
      <c r="BJ48" s="226">
        <v>245.85</v>
      </c>
      <c r="BK48" s="226">
        <v>387.98</v>
      </c>
      <c r="BL48" s="226">
        <v>7326</v>
      </c>
      <c r="BM48" s="227">
        <v>0</v>
      </c>
      <c r="BN48" s="227">
        <v>14632.65</v>
      </c>
      <c r="BO48" s="227">
        <v>8497.2800000000007</v>
      </c>
      <c r="BP48" s="227">
        <v>5898.17</v>
      </c>
      <c r="BQ48" s="227">
        <v>79341.67</v>
      </c>
      <c r="BR48" s="227">
        <v>66844.490000000005</v>
      </c>
      <c r="BS48" s="227">
        <v>62139.45</v>
      </c>
      <c r="BT48" s="227">
        <v>71186.64</v>
      </c>
      <c r="BU48" s="227">
        <v>0</v>
      </c>
      <c r="BV48" s="334">
        <v>0</v>
      </c>
      <c r="BW48" s="335"/>
      <c r="BX48" s="227">
        <v>7559</v>
      </c>
      <c r="BY48" s="227">
        <v>0</v>
      </c>
      <c r="BZ48" s="227">
        <v>0</v>
      </c>
      <c r="CA48" s="227">
        <v>0</v>
      </c>
      <c r="CB48" s="227">
        <v>0</v>
      </c>
      <c r="CC48" s="227">
        <v>7559.1</v>
      </c>
      <c r="CD48" s="227">
        <v>6000</v>
      </c>
      <c r="CE48" s="227">
        <v>0</v>
      </c>
      <c r="CF48" s="227">
        <v>0</v>
      </c>
      <c r="CG48" s="227">
        <v>0</v>
      </c>
      <c r="CH48" s="227">
        <v>0</v>
      </c>
      <c r="CI48" s="226">
        <v>0</v>
      </c>
      <c r="CJ48" s="226">
        <v>0</v>
      </c>
      <c r="CK48" s="226">
        <v>7559.1</v>
      </c>
      <c r="CL48" s="226">
        <v>0</v>
      </c>
      <c r="CM48" s="227">
        <v>0</v>
      </c>
      <c r="CN48" s="227">
        <v>65096</v>
      </c>
      <c r="CO48" s="227">
        <v>0</v>
      </c>
      <c r="CP48" s="227">
        <v>0</v>
      </c>
      <c r="CQ48" s="227">
        <v>0</v>
      </c>
      <c r="CR48" s="227">
        <v>0</v>
      </c>
      <c r="CT48" s="229">
        <f t="shared" si="0"/>
        <v>65096</v>
      </c>
    </row>
    <row r="49" spans="1:98" ht="15">
      <c r="A49" s="226">
        <v>302</v>
      </c>
      <c r="B49" s="226">
        <v>3305</v>
      </c>
      <c r="C49" s="226" t="s">
        <v>249</v>
      </c>
      <c r="D49" s="226" t="s">
        <v>424</v>
      </c>
      <c r="E49" s="226"/>
      <c r="F49" s="226" t="s">
        <v>420</v>
      </c>
      <c r="G49" s="226">
        <v>0</v>
      </c>
      <c r="H49" s="226">
        <v>0</v>
      </c>
      <c r="I49" s="226" t="s">
        <v>472</v>
      </c>
      <c r="J49" s="226" t="s">
        <v>473</v>
      </c>
      <c r="K49" s="226" t="s">
        <v>421</v>
      </c>
      <c r="L49" s="226" t="s">
        <v>422</v>
      </c>
      <c r="M49" s="226" t="s">
        <v>421</v>
      </c>
      <c r="N49" s="226" t="s">
        <v>423</v>
      </c>
      <c r="O49" s="226" t="s">
        <v>171</v>
      </c>
      <c r="P49" s="226" t="s">
        <v>171</v>
      </c>
      <c r="Q49" s="227">
        <v>57475.88</v>
      </c>
      <c r="R49" s="227">
        <v>0</v>
      </c>
      <c r="S49" s="227">
        <v>0</v>
      </c>
      <c r="T49" s="227">
        <v>882813.8</v>
      </c>
      <c r="U49" s="227">
        <v>0</v>
      </c>
      <c r="V49" s="227">
        <v>35285.29</v>
      </c>
      <c r="W49" s="227">
        <v>0</v>
      </c>
      <c r="X49" s="227">
        <v>38090</v>
      </c>
      <c r="Y49" s="227">
        <v>0</v>
      </c>
      <c r="Z49" s="227">
        <v>90797.89</v>
      </c>
      <c r="AA49" s="227">
        <v>1950</v>
      </c>
      <c r="AB49" s="227">
        <v>15268.25</v>
      </c>
      <c r="AC49" s="227">
        <v>983.41</v>
      </c>
      <c r="AD49" s="227">
        <v>0</v>
      </c>
      <c r="AE49" s="227">
        <v>0</v>
      </c>
      <c r="AF49" s="227">
        <v>25048.560000000001</v>
      </c>
      <c r="AG49" s="227">
        <v>45117.43</v>
      </c>
      <c r="AH49" s="227">
        <v>0</v>
      </c>
      <c r="AI49" s="227">
        <v>0</v>
      </c>
      <c r="AJ49" s="227">
        <v>0</v>
      </c>
      <c r="AK49" s="227">
        <v>1880</v>
      </c>
      <c r="AL49" s="227">
        <v>36776</v>
      </c>
      <c r="AM49" s="227">
        <v>573324.29</v>
      </c>
      <c r="AN49" s="227">
        <v>0</v>
      </c>
      <c r="AO49" s="227">
        <v>153995.07999999999</v>
      </c>
      <c r="AP49" s="227">
        <v>46554.83</v>
      </c>
      <c r="AQ49" s="227">
        <v>43764.15</v>
      </c>
      <c r="AR49" s="227">
        <v>0</v>
      </c>
      <c r="AS49" s="227">
        <v>31907.45</v>
      </c>
      <c r="AT49" s="227">
        <v>4281.67</v>
      </c>
      <c r="AU49" s="227">
        <v>1506.32</v>
      </c>
      <c r="AV49" s="227">
        <v>247.34</v>
      </c>
      <c r="AW49" s="227">
        <v>0</v>
      </c>
      <c r="AX49" s="227">
        <v>48568.66</v>
      </c>
      <c r="AY49" s="227">
        <v>0</v>
      </c>
      <c r="AZ49" s="227">
        <v>628.65</v>
      </c>
      <c r="BA49" s="227">
        <v>1422.07</v>
      </c>
      <c r="BB49" s="227">
        <v>20573.490000000002</v>
      </c>
      <c r="BC49" s="227">
        <v>1904.64</v>
      </c>
      <c r="BD49" s="227">
        <v>6374.72</v>
      </c>
      <c r="BE49" s="227">
        <v>42842.28</v>
      </c>
      <c r="BF49" s="227">
        <v>3907.28</v>
      </c>
      <c r="BG49" s="226">
        <v>0</v>
      </c>
      <c r="BH49" s="226">
        <v>2169.7800000000002</v>
      </c>
      <c r="BI49" s="226">
        <v>6304.46</v>
      </c>
      <c r="BJ49" s="226">
        <v>0</v>
      </c>
      <c r="BK49" s="226">
        <v>0</v>
      </c>
      <c r="BL49" s="226">
        <v>5393</v>
      </c>
      <c r="BM49" s="227">
        <v>0</v>
      </c>
      <c r="BN49" s="227">
        <v>3217.8</v>
      </c>
      <c r="BO49" s="227">
        <v>3436.33</v>
      </c>
      <c r="BP49" s="227">
        <v>4175.4399999999996</v>
      </c>
      <c r="BQ49" s="227">
        <v>49441.83</v>
      </c>
      <c r="BR49" s="227">
        <v>0</v>
      </c>
      <c r="BS49" s="227">
        <v>30862.57</v>
      </c>
      <c r="BT49" s="227">
        <v>23971.38</v>
      </c>
      <c r="BU49" s="227">
        <v>0</v>
      </c>
      <c r="BV49" s="334">
        <v>0</v>
      </c>
      <c r="BW49" s="335"/>
      <c r="BX49" s="227">
        <v>0</v>
      </c>
      <c r="BY49" s="227">
        <v>0</v>
      </c>
      <c r="BZ49" s="227">
        <v>0</v>
      </c>
      <c r="CA49" s="227">
        <v>0</v>
      </c>
      <c r="CB49" s="227">
        <v>0</v>
      </c>
      <c r="CC49" s="227">
        <v>0</v>
      </c>
      <c r="CD49" s="227">
        <v>6000</v>
      </c>
      <c r="CE49" s="227">
        <v>0</v>
      </c>
      <c r="CF49" s="227">
        <v>0</v>
      </c>
      <c r="CG49" s="227">
        <v>0</v>
      </c>
      <c r="CH49" s="227">
        <v>0</v>
      </c>
      <c r="CI49" s="226">
        <v>0</v>
      </c>
      <c r="CJ49" s="226">
        <v>0</v>
      </c>
      <c r="CK49" s="226">
        <v>0</v>
      </c>
      <c r="CL49" s="226">
        <v>0</v>
      </c>
      <c r="CM49" s="227">
        <v>0</v>
      </c>
      <c r="CN49" s="227">
        <v>120711</v>
      </c>
      <c r="CO49" s="227">
        <v>0</v>
      </c>
      <c r="CP49" s="227">
        <v>0</v>
      </c>
      <c r="CQ49" s="227">
        <v>0</v>
      </c>
      <c r="CR49" s="227">
        <v>0</v>
      </c>
      <c r="CT49" s="229">
        <f t="shared" si="0"/>
        <v>120711</v>
      </c>
    </row>
    <row r="50" spans="1:98" ht="30">
      <c r="A50" s="226">
        <v>302</v>
      </c>
      <c r="B50" s="226">
        <v>3307</v>
      </c>
      <c r="C50" s="226" t="s">
        <v>452</v>
      </c>
      <c r="D50" s="226" t="s">
        <v>424</v>
      </c>
      <c r="E50" s="226"/>
      <c r="F50" s="226" t="s">
        <v>420</v>
      </c>
      <c r="G50" s="226">
        <v>0</v>
      </c>
      <c r="H50" s="226">
        <v>0</v>
      </c>
      <c r="I50" s="226" t="s">
        <v>472</v>
      </c>
      <c r="J50" s="226" t="s">
        <v>473</v>
      </c>
      <c r="K50" s="226" t="s">
        <v>421</v>
      </c>
      <c r="L50" s="226" t="s">
        <v>422</v>
      </c>
      <c r="M50" s="226" t="s">
        <v>421</v>
      </c>
      <c r="N50" s="226" t="s">
        <v>423</v>
      </c>
      <c r="O50" s="226" t="s">
        <v>171</v>
      </c>
      <c r="P50" s="226" t="s">
        <v>171</v>
      </c>
      <c r="Q50" s="227">
        <v>165385.20000000001</v>
      </c>
      <c r="R50" s="227">
        <v>0</v>
      </c>
      <c r="S50" s="227">
        <v>0</v>
      </c>
      <c r="T50" s="227">
        <v>1339695.77</v>
      </c>
      <c r="U50" s="227">
        <v>0</v>
      </c>
      <c r="V50" s="227">
        <v>83314.27</v>
      </c>
      <c r="W50" s="227">
        <v>0</v>
      </c>
      <c r="X50" s="227">
        <v>49150</v>
      </c>
      <c r="Y50" s="227">
        <v>0</v>
      </c>
      <c r="Z50" s="227">
        <v>55671.08</v>
      </c>
      <c r="AA50" s="227">
        <v>36999.839999999997</v>
      </c>
      <c r="AB50" s="227">
        <v>6192.61</v>
      </c>
      <c r="AC50" s="227">
        <v>1397.14</v>
      </c>
      <c r="AD50" s="227">
        <v>0</v>
      </c>
      <c r="AE50" s="227">
        <v>0</v>
      </c>
      <c r="AF50" s="227">
        <v>50354.76</v>
      </c>
      <c r="AG50" s="227">
        <v>7371.4</v>
      </c>
      <c r="AH50" s="227">
        <v>0</v>
      </c>
      <c r="AI50" s="227">
        <v>0</v>
      </c>
      <c r="AJ50" s="227">
        <v>0</v>
      </c>
      <c r="AK50" s="227">
        <v>2777.5</v>
      </c>
      <c r="AL50" s="227">
        <v>48351</v>
      </c>
      <c r="AM50" s="227">
        <v>610280.59</v>
      </c>
      <c r="AN50" s="227">
        <v>0</v>
      </c>
      <c r="AO50" s="227">
        <v>332678.37</v>
      </c>
      <c r="AP50" s="227">
        <v>64467.5</v>
      </c>
      <c r="AQ50" s="227">
        <v>67918.23</v>
      </c>
      <c r="AR50" s="227">
        <v>0</v>
      </c>
      <c r="AS50" s="227">
        <v>20559.18</v>
      </c>
      <c r="AT50" s="227">
        <v>683.02</v>
      </c>
      <c r="AU50" s="227">
        <v>2427.77</v>
      </c>
      <c r="AV50" s="227">
        <v>350.26</v>
      </c>
      <c r="AW50" s="227">
        <v>0</v>
      </c>
      <c r="AX50" s="227">
        <v>43183.47</v>
      </c>
      <c r="AY50" s="227">
        <v>1687.52</v>
      </c>
      <c r="AZ50" s="227">
        <v>11935.52</v>
      </c>
      <c r="BA50" s="227">
        <v>12040.83</v>
      </c>
      <c r="BB50" s="227">
        <v>42495.1</v>
      </c>
      <c r="BC50" s="227">
        <v>5024.87</v>
      </c>
      <c r="BD50" s="227">
        <v>7243.09</v>
      </c>
      <c r="BE50" s="227">
        <v>52294.42</v>
      </c>
      <c r="BF50" s="227">
        <v>8843.08</v>
      </c>
      <c r="BG50" s="226">
        <v>0</v>
      </c>
      <c r="BH50" s="226">
        <v>3738.99</v>
      </c>
      <c r="BI50" s="226">
        <v>9435.7999999999993</v>
      </c>
      <c r="BJ50" s="226">
        <v>2681.65</v>
      </c>
      <c r="BK50" s="226">
        <v>1297.1300000000001</v>
      </c>
      <c r="BL50" s="226">
        <v>8482</v>
      </c>
      <c r="BM50" s="227">
        <v>0</v>
      </c>
      <c r="BN50" s="227">
        <v>3084.5</v>
      </c>
      <c r="BO50" s="227">
        <v>9015.2900000000009</v>
      </c>
      <c r="BP50" s="227">
        <v>1778.55</v>
      </c>
      <c r="BQ50" s="227">
        <v>83715.710000000006</v>
      </c>
      <c r="BR50" s="227">
        <v>79945.31</v>
      </c>
      <c r="BS50" s="227">
        <v>100319.29</v>
      </c>
      <c r="BT50" s="227">
        <v>31680.1</v>
      </c>
      <c r="BU50" s="227">
        <v>0</v>
      </c>
      <c r="BV50" s="334">
        <v>0</v>
      </c>
      <c r="BW50" s="335"/>
      <c r="BX50" s="227">
        <v>0</v>
      </c>
      <c r="BY50" s="227">
        <v>0</v>
      </c>
      <c r="BZ50" s="227">
        <v>0</v>
      </c>
      <c r="CA50" s="227">
        <v>0</v>
      </c>
      <c r="CB50" s="227">
        <v>0</v>
      </c>
      <c r="CC50" s="227">
        <v>0</v>
      </c>
      <c r="CD50" s="227">
        <v>6000</v>
      </c>
      <c r="CE50" s="227">
        <v>0</v>
      </c>
      <c r="CF50" s="227">
        <v>0</v>
      </c>
      <c r="CG50" s="227">
        <v>0</v>
      </c>
      <c r="CH50" s="227">
        <v>0</v>
      </c>
      <c r="CI50" s="226">
        <v>0</v>
      </c>
      <c r="CJ50" s="226">
        <v>0</v>
      </c>
      <c r="CK50" s="226">
        <v>0</v>
      </c>
      <c r="CL50" s="226">
        <v>0</v>
      </c>
      <c r="CM50" s="227">
        <v>0</v>
      </c>
      <c r="CN50" s="227">
        <v>227373.43</v>
      </c>
      <c r="CO50" s="227">
        <v>0</v>
      </c>
      <c r="CP50" s="227">
        <v>0</v>
      </c>
      <c r="CQ50" s="227">
        <v>0</v>
      </c>
      <c r="CR50" s="227">
        <v>0</v>
      </c>
      <c r="CT50" s="229">
        <f t="shared" si="0"/>
        <v>227373.43</v>
      </c>
    </row>
    <row r="51" spans="1:98" ht="30">
      <c r="A51" s="226">
        <v>302</v>
      </c>
      <c r="B51" s="226">
        <v>3309</v>
      </c>
      <c r="C51" s="226" t="s">
        <v>453</v>
      </c>
      <c r="D51" s="226" t="s">
        <v>424</v>
      </c>
      <c r="E51" s="226"/>
      <c r="F51" s="226" t="s">
        <v>420</v>
      </c>
      <c r="G51" s="226">
        <v>0</v>
      </c>
      <c r="H51" s="226">
        <v>0</v>
      </c>
      <c r="I51" s="226" t="s">
        <v>472</v>
      </c>
      <c r="J51" s="226" t="s">
        <v>473</v>
      </c>
      <c r="K51" s="226" t="s">
        <v>421</v>
      </c>
      <c r="L51" s="226" t="s">
        <v>422</v>
      </c>
      <c r="M51" s="226" t="s">
        <v>421</v>
      </c>
      <c r="N51" s="226" t="s">
        <v>423</v>
      </c>
      <c r="O51" s="226" t="s">
        <v>171</v>
      </c>
      <c r="P51" s="226" t="s">
        <v>171</v>
      </c>
      <c r="Q51" s="227">
        <v>155004.99</v>
      </c>
      <c r="R51" s="227">
        <v>0</v>
      </c>
      <c r="S51" s="227">
        <v>0</v>
      </c>
      <c r="T51" s="227">
        <v>1285627.58</v>
      </c>
      <c r="U51" s="227">
        <v>0</v>
      </c>
      <c r="V51" s="227">
        <v>95203.96</v>
      </c>
      <c r="W51" s="227">
        <v>0</v>
      </c>
      <c r="X51" s="227">
        <v>40270</v>
      </c>
      <c r="Y51" s="227">
        <v>10888.84</v>
      </c>
      <c r="Z51" s="227">
        <v>52418.48</v>
      </c>
      <c r="AA51" s="227">
        <v>12994</v>
      </c>
      <c r="AB51" s="227">
        <v>100629.21</v>
      </c>
      <c r="AC51" s="227">
        <v>4740.05</v>
      </c>
      <c r="AD51" s="227">
        <v>0</v>
      </c>
      <c r="AE51" s="227">
        <v>0</v>
      </c>
      <c r="AF51" s="227">
        <v>82735.12</v>
      </c>
      <c r="AG51" s="227">
        <v>52400.02</v>
      </c>
      <c r="AH51" s="227">
        <v>0</v>
      </c>
      <c r="AI51" s="227">
        <v>0</v>
      </c>
      <c r="AJ51" s="227">
        <v>0</v>
      </c>
      <c r="AK51" s="227">
        <v>943</v>
      </c>
      <c r="AL51" s="227">
        <v>53947</v>
      </c>
      <c r="AM51" s="227">
        <v>809681.94</v>
      </c>
      <c r="AN51" s="227">
        <v>0</v>
      </c>
      <c r="AO51" s="227">
        <v>267912.87</v>
      </c>
      <c r="AP51" s="227">
        <v>21185.91</v>
      </c>
      <c r="AQ51" s="227">
        <v>62343.06</v>
      </c>
      <c r="AR51" s="227">
        <v>0</v>
      </c>
      <c r="AS51" s="227">
        <v>48138.27</v>
      </c>
      <c r="AT51" s="227">
        <v>7040.65</v>
      </c>
      <c r="AU51" s="227">
        <v>7479.86</v>
      </c>
      <c r="AV51" s="227">
        <v>341.96</v>
      </c>
      <c r="AW51" s="227">
        <v>0</v>
      </c>
      <c r="AX51" s="227">
        <v>59700.84</v>
      </c>
      <c r="AY51" s="227">
        <v>3718.25</v>
      </c>
      <c r="AZ51" s="227">
        <v>25826.89</v>
      </c>
      <c r="BA51" s="227">
        <v>2276.58</v>
      </c>
      <c r="BB51" s="227">
        <v>27608.13</v>
      </c>
      <c r="BC51" s="227">
        <v>5694.43</v>
      </c>
      <c r="BD51" s="227">
        <v>8659.69</v>
      </c>
      <c r="BE51" s="227">
        <v>92345.98</v>
      </c>
      <c r="BF51" s="227">
        <v>4995</v>
      </c>
      <c r="BG51" s="226">
        <v>0</v>
      </c>
      <c r="BH51" s="226">
        <v>0</v>
      </c>
      <c r="BI51" s="226">
        <v>10672.61</v>
      </c>
      <c r="BJ51" s="226">
        <v>3348.8</v>
      </c>
      <c r="BK51" s="226">
        <v>435.76</v>
      </c>
      <c r="BL51" s="226">
        <v>5945</v>
      </c>
      <c r="BM51" s="227">
        <v>0</v>
      </c>
      <c r="BN51" s="227">
        <v>6254.96</v>
      </c>
      <c r="BO51" s="227">
        <v>8685.84</v>
      </c>
      <c r="BP51" s="227">
        <v>8150.86</v>
      </c>
      <c r="BQ51" s="227">
        <v>102145.7</v>
      </c>
      <c r="BR51" s="227">
        <v>9987.69</v>
      </c>
      <c r="BS51" s="227">
        <v>165819.70000000001</v>
      </c>
      <c r="BT51" s="227">
        <v>25152.02</v>
      </c>
      <c r="BU51" s="227">
        <v>0</v>
      </c>
      <c r="BV51" s="334">
        <v>0</v>
      </c>
      <c r="BW51" s="335"/>
      <c r="BX51" s="227">
        <v>0</v>
      </c>
      <c r="BY51" s="227">
        <v>0</v>
      </c>
      <c r="BZ51" s="227">
        <v>0</v>
      </c>
      <c r="CA51" s="227">
        <v>0</v>
      </c>
      <c r="CB51" s="227">
        <v>0</v>
      </c>
      <c r="CC51" s="227">
        <v>0</v>
      </c>
      <c r="CD51" s="227">
        <v>6000</v>
      </c>
      <c r="CE51" s="227">
        <v>0</v>
      </c>
      <c r="CF51" s="227">
        <v>0</v>
      </c>
      <c r="CG51" s="227">
        <v>0</v>
      </c>
      <c r="CH51" s="227">
        <v>0</v>
      </c>
      <c r="CI51" s="226">
        <v>0</v>
      </c>
      <c r="CJ51" s="226">
        <v>0</v>
      </c>
      <c r="CK51" s="226">
        <v>0</v>
      </c>
      <c r="CL51" s="226">
        <v>0</v>
      </c>
      <c r="CM51" s="227">
        <v>2587</v>
      </c>
      <c r="CN51" s="227">
        <v>143666</v>
      </c>
      <c r="CO51" s="227">
        <v>0</v>
      </c>
      <c r="CP51" s="227">
        <v>0</v>
      </c>
      <c r="CQ51" s="227">
        <v>0</v>
      </c>
      <c r="CR51" s="227">
        <v>0</v>
      </c>
      <c r="CT51" s="229">
        <f t="shared" si="0"/>
        <v>146253</v>
      </c>
    </row>
    <row r="52" spans="1:98" ht="15">
      <c r="A52" s="226">
        <v>302</v>
      </c>
      <c r="B52" s="226">
        <v>3311</v>
      </c>
      <c r="C52" s="226" t="s">
        <v>454</v>
      </c>
      <c r="D52" s="226" t="s">
        <v>424</v>
      </c>
      <c r="E52" s="226"/>
      <c r="F52" s="226" t="s">
        <v>420</v>
      </c>
      <c r="G52" s="226">
        <v>0</v>
      </c>
      <c r="H52" s="226">
        <v>1</v>
      </c>
      <c r="I52" s="226" t="s">
        <v>472</v>
      </c>
      <c r="J52" s="226" t="s">
        <v>473</v>
      </c>
      <c r="K52" s="226" t="s">
        <v>421</v>
      </c>
      <c r="L52" s="226" t="s">
        <v>422</v>
      </c>
      <c r="M52" s="226" t="s">
        <v>421</v>
      </c>
      <c r="N52" s="226" t="s">
        <v>423</v>
      </c>
      <c r="O52" s="226" t="s">
        <v>171</v>
      </c>
      <c r="P52" s="226" t="s">
        <v>171</v>
      </c>
      <c r="Q52" s="227">
        <v>-22446.28</v>
      </c>
      <c r="R52" s="227">
        <v>0</v>
      </c>
      <c r="S52" s="227">
        <v>0</v>
      </c>
      <c r="T52" s="227">
        <v>2459731.17</v>
      </c>
      <c r="U52" s="227">
        <v>0</v>
      </c>
      <c r="V52" s="227">
        <v>72231.67</v>
      </c>
      <c r="W52" s="227">
        <v>0</v>
      </c>
      <c r="X52" s="227">
        <v>95030</v>
      </c>
      <c r="Y52" s="227">
        <v>4574.03</v>
      </c>
      <c r="Z52" s="227">
        <v>117223.65</v>
      </c>
      <c r="AA52" s="227">
        <v>57336.77</v>
      </c>
      <c r="AB52" s="227">
        <v>2733.05</v>
      </c>
      <c r="AC52" s="227">
        <v>11523.55</v>
      </c>
      <c r="AD52" s="227">
        <v>0</v>
      </c>
      <c r="AE52" s="227">
        <v>0</v>
      </c>
      <c r="AF52" s="227">
        <v>86936.26</v>
      </c>
      <c r="AG52" s="227">
        <v>22560.799999999999</v>
      </c>
      <c r="AH52" s="227">
        <v>0</v>
      </c>
      <c r="AI52" s="227">
        <v>0</v>
      </c>
      <c r="AJ52" s="227">
        <v>0</v>
      </c>
      <c r="AK52" s="227">
        <v>6790</v>
      </c>
      <c r="AL52" s="227">
        <v>84102</v>
      </c>
      <c r="AM52" s="227">
        <v>1401099.75</v>
      </c>
      <c r="AN52" s="227">
        <v>0</v>
      </c>
      <c r="AO52" s="227">
        <v>556526.5</v>
      </c>
      <c r="AP52" s="227">
        <v>43179.18</v>
      </c>
      <c r="AQ52" s="227">
        <v>102176.01</v>
      </c>
      <c r="AR52" s="227">
        <v>0</v>
      </c>
      <c r="AS52" s="227">
        <v>36598.050000000003</v>
      </c>
      <c r="AT52" s="227">
        <v>10196.969999999999</v>
      </c>
      <c r="AU52" s="227">
        <v>5958.49</v>
      </c>
      <c r="AV52" s="227">
        <v>680.6</v>
      </c>
      <c r="AW52" s="227">
        <v>0</v>
      </c>
      <c r="AX52" s="227">
        <v>40532.85</v>
      </c>
      <c r="AY52" s="227">
        <v>3480</v>
      </c>
      <c r="AZ52" s="227">
        <v>67582.45</v>
      </c>
      <c r="BA52" s="227">
        <v>6438.58</v>
      </c>
      <c r="BB52" s="227">
        <v>50141.87</v>
      </c>
      <c r="BC52" s="227">
        <v>29111.040000000001</v>
      </c>
      <c r="BD52" s="227">
        <v>18477.259999999998</v>
      </c>
      <c r="BE52" s="227">
        <v>98697.5</v>
      </c>
      <c r="BF52" s="227">
        <v>8125.46</v>
      </c>
      <c r="BG52" s="226">
        <v>0</v>
      </c>
      <c r="BH52" s="226">
        <v>13771.56</v>
      </c>
      <c r="BI52" s="226">
        <v>14199.34</v>
      </c>
      <c r="BJ52" s="226">
        <v>1938.34</v>
      </c>
      <c r="BK52" s="226">
        <v>27.89</v>
      </c>
      <c r="BL52" s="226">
        <v>6450</v>
      </c>
      <c r="BM52" s="227">
        <v>0</v>
      </c>
      <c r="BN52" s="227">
        <v>5419.39</v>
      </c>
      <c r="BO52" s="227">
        <v>17389.900000000001</v>
      </c>
      <c r="BP52" s="227">
        <v>2388.87</v>
      </c>
      <c r="BQ52" s="227">
        <v>159710.54999999999</v>
      </c>
      <c r="BR52" s="227">
        <v>158337.56</v>
      </c>
      <c r="BS52" s="227">
        <v>160748.34</v>
      </c>
      <c r="BT52" s="227">
        <v>44467.86</v>
      </c>
      <c r="BU52" s="227">
        <v>867.51</v>
      </c>
      <c r="BV52" s="334">
        <v>0</v>
      </c>
      <c r="BW52" s="335"/>
      <c r="BX52" s="227">
        <v>8210</v>
      </c>
      <c r="BY52" s="227">
        <v>0</v>
      </c>
      <c r="BZ52" s="227">
        <v>0</v>
      </c>
      <c r="CA52" s="227">
        <v>0</v>
      </c>
      <c r="CB52" s="227">
        <v>0</v>
      </c>
      <c r="CC52" s="227">
        <v>8210</v>
      </c>
      <c r="CD52" s="227">
        <v>6000</v>
      </c>
      <c r="CE52" s="227">
        <v>0</v>
      </c>
      <c r="CF52" s="227">
        <v>0</v>
      </c>
      <c r="CG52" s="227">
        <v>0</v>
      </c>
      <c r="CH52" s="227">
        <v>0</v>
      </c>
      <c r="CI52" s="226">
        <v>0</v>
      </c>
      <c r="CJ52" s="226">
        <v>0</v>
      </c>
      <c r="CK52" s="226">
        <v>0</v>
      </c>
      <c r="CL52" s="226">
        <v>0</v>
      </c>
      <c r="CM52" s="227">
        <v>0</v>
      </c>
      <c r="CN52" s="227">
        <v>-74603</v>
      </c>
      <c r="CO52" s="227">
        <v>0</v>
      </c>
      <c r="CP52" s="227">
        <v>8210</v>
      </c>
      <c r="CQ52" s="227">
        <v>0</v>
      </c>
      <c r="CR52" s="227">
        <v>0</v>
      </c>
      <c r="CT52" s="229">
        <f t="shared" si="0"/>
        <v>-74603</v>
      </c>
    </row>
    <row r="53" spans="1:98" ht="30">
      <c r="A53" s="226">
        <v>302</v>
      </c>
      <c r="B53" s="226">
        <v>3312</v>
      </c>
      <c r="C53" s="226" t="s">
        <v>474</v>
      </c>
      <c r="D53" s="226" t="s">
        <v>424</v>
      </c>
      <c r="E53" s="226"/>
      <c r="F53" s="226" t="s">
        <v>420</v>
      </c>
      <c r="G53" s="226">
        <v>0</v>
      </c>
      <c r="H53" s="226">
        <v>0</v>
      </c>
      <c r="I53" s="226" t="s">
        <v>472</v>
      </c>
      <c r="J53" s="226" t="s">
        <v>473</v>
      </c>
      <c r="K53" s="226" t="s">
        <v>421</v>
      </c>
      <c r="L53" s="226" t="s">
        <v>422</v>
      </c>
      <c r="M53" s="226" t="s">
        <v>421</v>
      </c>
      <c r="N53" s="226" t="s">
        <v>423</v>
      </c>
      <c r="O53" s="226" t="s">
        <v>171</v>
      </c>
      <c r="P53" s="226" t="s">
        <v>171</v>
      </c>
      <c r="Q53" s="227">
        <v>129135.47</v>
      </c>
      <c r="R53" s="227">
        <v>0</v>
      </c>
      <c r="S53" s="227">
        <v>0</v>
      </c>
      <c r="T53" s="227">
        <v>1170353.5900000001</v>
      </c>
      <c r="U53" s="227">
        <v>0</v>
      </c>
      <c r="V53" s="227">
        <v>84571.43</v>
      </c>
      <c r="W53" s="227">
        <v>0</v>
      </c>
      <c r="X53" s="227">
        <v>45800</v>
      </c>
      <c r="Y53" s="227">
        <v>520</v>
      </c>
      <c r="Z53" s="227">
        <v>54999.45</v>
      </c>
      <c r="AA53" s="227">
        <v>0</v>
      </c>
      <c r="AB53" s="227">
        <v>17816.599999999999</v>
      </c>
      <c r="AC53" s="227">
        <v>2093.46</v>
      </c>
      <c r="AD53" s="227">
        <v>1591.2</v>
      </c>
      <c r="AE53" s="227">
        <v>5055</v>
      </c>
      <c r="AF53" s="227">
        <v>41597.360000000001</v>
      </c>
      <c r="AG53" s="227">
        <v>38224.870000000003</v>
      </c>
      <c r="AH53" s="227">
        <v>0</v>
      </c>
      <c r="AI53" s="227">
        <v>0</v>
      </c>
      <c r="AJ53" s="227">
        <v>0</v>
      </c>
      <c r="AK53" s="227">
        <v>1055</v>
      </c>
      <c r="AL53" s="227">
        <v>54489</v>
      </c>
      <c r="AM53" s="227">
        <v>735978.21</v>
      </c>
      <c r="AN53" s="227">
        <v>0</v>
      </c>
      <c r="AO53" s="227">
        <v>384331.32</v>
      </c>
      <c r="AP53" s="227">
        <v>39383.24</v>
      </c>
      <c r="AQ53" s="227">
        <v>64703.23</v>
      </c>
      <c r="AR53" s="227">
        <v>0</v>
      </c>
      <c r="AS53" s="227">
        <v>5794.49</v>
      </c>
      <c r="AT53" s="227">
        <v>1689.7</v>
      </c>
      <c r="AU53" s="227">
        <v>0</v>
      </c>
      <c r="AV53" s="227">
        <v>346.94</v>
      </c>
      <c r="AW53" s="227">
        <v>8211.84</v>
      </c>
      <c r="AX53" s="227">
        <v>2718.39</v>
      </c>
      <c r="AY53" s="227">
        <v>240.24</v>
      </c>
      <c r="AZ53" s="227">
        <v>21223.84</v>
      </c>
      <c r="BA53" s="227">
        <v>0</v>
      </c>
      <c r="BB53" s="227">
        <v>15865.49</v>
      </c>
      <c r="BC53" s="227">
        <v>4336.8</v>
      </c>
      <c r="BD53" s="227">
        <v>8225.68</v>
      </c>
      <c r="BE53" s="227">
        <v>102105.71</v>
      </c>
      <c r="BF53" s="227">
        <v>5162.1899999999996</v>
      </c>
      <c r="BG53" s="226">
        <v>0</v>
      </c>
      <c r="BH53" s="226">
        <v>2308.61</v>
      </c>
      <c r="BI53" s="226">
        <v>10182.200000000001</v>
      </c>
      <c r="BJ53" s="226">
        <v>763.66</v>
      </c>
      <c r="BK53" s="226">
        <v>155.56</v>
      </c>
      <c r="BL53" s="226">
        <v>10450</v>
      </c>
      <c r="BM53" s="227">
        <v>0</v>
      </c>
      <c r="BN53" s="227">
        <v>589.92999999999995</v>
      </c>
      <c r="BO53" s="227">
        <v>8546.01</v>
      </c>
      <c r="BP53" s="227">
        <v>917.95</v>
      </c>
      <c r="BQ53" s="227">
        <v>89508.57</v>
      </c>
      <c r="BR53" s="227">
        <v>0</v>
      </c>
      <c r="BS53" s="227">
        <v>31822.89</v>
      </c>
      <c r="BT53" s="227">
        <v>23663.74</v>
      </c>
      <c r="BU53" s="227">
        <v>0</v>
      </c>
      <c r="BV53" s="334">
        <v>0</v>
      </c>
      <c r="BW53" s="335"/>
      <c r="BX53" s="227">
        <v>0</v>
      </c>
      <c r="BY53" s="227">
        <v>0</v>
      </c>
      <c r="BZ53" s="227">
        <v>0</v>
      </c>
      <c r="CA53" s="227">
        <v>0</v>
      </c>
      <c r="CB53" s="227">
        <v>0</v>
      </c>
      <c r="CC53" s="227">
        <v>0</v>
      </c>
      <c r="CD53" s="227">
        <v>6000</v>
      </c>
      <c r="CE53" s="227">
        <v>0</v>
      </c>
      <c r="CF53" s="227">
        <v>0</v>
      </c>
      <c r="CG53" s="227">
        <v>0</v>
      </c>
      <c r="CH53" s="227">
        <v>0</v>
      </c>
      <c r="CI53" s="226">
        <v>0</v>
      </c>
      <c r="CJ53" s="226">
        <v>0</v>
      </c>
      <c r="CK53" s="226">
        <v>0</v>
      </c>
      <c r="CL53" s="226">
        <v>0</v>
      </c>
      <c r="CM53" s="227">
        <v>0</v>
      </c>
      <c r="CN53" s="227">
        <v>68076</v>
      </c>
      <c r="CO53" s="227">
        <v>0</v>
      </c>
      <c r="CP53" s="227">
        <v>0</v>
      </c>
      <c r="CQ53" s="227">
        <v>0</v>
      </c>
      <c r="CR53" s="227">
        <v>0</v>
      </c>
      <c r="CT53" s="229">
        <f t="shared" si="0"/>
        <v>68076</v>
      </c>
    </row>
    <row r="54" spans="1:98" ht="15">
      <c r="A54" s="226">
        <v>302</v>
      </c>
      <c r="B54" s="226">
        <v>3313</v>
      </c>
      <c r="C54" s="226" t="s">
        <v>259</v>
      </c>
      <c r="D54" s="226" t="s">
        <v>424</v>
      </c>
      <c r="E54" s="226"/>
      <c r="F54" s="226" t="s">
        <v>420</v>
      </c>
      <c r="G54" s="226">
        <v>0</v>
      </c>
      <c r="H54" s="226">
        <v>0</v>
      </c>
      <c r="I54" s="226" t="s">
        <v>472</v>
      </c>
      <c r="J54" s="226" t="s">
        <v>473</v>
      </c>
      <c r="K54" s="226" t="s">
        <v>421</v>
      </c>
      <c r="L54" s="226" t="s">
        <v>422</v>
      </c>
      <c r="M54" s="226" t="s">
        <v>421</v>
      </c>
      <c r="N54" s="226" t="s">
        <v>423</v>
      </c>
      <c r="O54" s="226" t="s">
        <v>171</v>
      </c>
      <c r="P54" s="226" t="s">
        <v>171</v>
      </c>
      <c r="Q54" s="227">
        <v>181780.9</v>
      </c>
      <c r="R54" s="227">
        <v>0</v>
      </c>
      <c r="S54" s="227">
        <v>0</v>
      </c>
      <c r="T54" s="227">
        <v>1364537.95</v>
      </c>
      <c r="U54" s="227">
        <v>0</v>
      </c>
      <c r="V54" s="227">
        <v>117194.4</v>
      </c>
      <c r="W54" s="227">
        <v>0</v>
      </c>
      <c r="X54" s="227">
        <v>77660</v>
      </c>
      <c r="Y54" s="227">
        <v>5400</v>
      </c>
      <c r="Z54" s="227">
        <v>39698.410000000003</v>
      </c>
      <c r="AA54" s="227">
        <v>1407.12</v>
      </c>
      <c r="AB54" s="227">
        <v>16054.75</v>
      </c>
      <c r="AC54" s="227">
        <v>105.03</v>
      </c>
      <c r="AD54" s="227">
        <v>0</v>
      </c>
      <c r="AE54" s="227">
        <v>0</v>
      </c>
      <c r="AF54" s="227">
        <v>17498.400000000001</v>
      </c>
      <c r="AG54" s="227">
        <v>10504.44</v>
      </c>
      <c r="AH54" s="227">
        <v>0</v>
      </c>
      <c r="AI54" s="227">
        <v>0</v>
      </c>
      <c r="AJ54" s="227">
        <v>0</v>
      </c>
      <c r="AK54" s="227">
        <v>1749.38</v>
      </c>
      <c r="AL54" s="227">
        <v>46996</v>
      </c>
      <c r="AM54" s="227">
        <v>681399.7</v>
      </c>
      <c r="AN54" s="227">
        <v>30285.19</v>
      </c>
      <c r="AO54" s="227">
        <v>422758.54</v>
      </c>
      <c r="AP54" s="227">
        <v>44267.92</v>
      </c>
      <c r="AQ54" s="227">
        <v>68381.279999999999</v>
      </c>
      <c r="AR54" s="227">
        <v>0</v>
      </c>
      <c r="AS54" s="227">
        <v>13873.7</v>
      </c>
      <c r="AT54" s="227">
        <v>6555.77</v>
      </c>
      <c r="AU54" s="227">
        <v>3239.85</v>
      </c>
      <c r="AV54" s="227">
        <v>8431.44</v>
      </c>
      <c r="AW54" s="227">
        <v>0</v>
      </c>
      <c r="AX54" s="227">
        <v>35479.31</v>
      </c>
      <c r="AY54" s="227">
        <v>1600.82</v>
      </c>
      <c r="AZ54" s="227">
        <v>24478.73</v>
      </c>
      <c r="BA54" s="227">
        <v>2849.28</v>
      </c>
      <c r="BB54" s="227">
        <v>30214.22</v>
      </c>
      <c r="BC54" s="227">
        <v>5699.7</v>
      </c>
      <c r="BD54" s="227">
        <v>8359.43</v>
      </c>
      <c r="BE54" s="227">
        <v>48062.559999999998</v>
      </c>
      <c r="BF54" s="227">
        <v>0</v>
      </c>
      <c r="BG54" s="226">
        <v>4447.6899999999996</v>
      </c>
      <c r="BH54" s="226">
        <v>50</v>
      </c>
      <c r="BI54" s="226">
        <v>1543.74</v>
      </c>
      <c r="BJ54" s="226">
        <v>0</v>
      </c>
      <c r="BK54" s="226">
        <v>4064.09</v>
      </c>
      <c r="BL54" s="226">
        <v>3120</v>
      </c>
      <c r="BM54" s="227">
        <v>0</v>
      </c>
      <c r="BN54" s="227">
        <v>6870.35</v>
      </c>
      <c r="BO54" s="227">
        <v>8232.2800000000007</v>
      </c>
      <c r="BP54" s="227">
        <v>5824.06</v>
      </c>
      <c r="BQ54" s="227">
        <v>77832.399999999994</v>
      </c>
      <c r="BR54" s="227">
        <v>17105.93</v>
      </c>
      <c r="BS54" s="227">
        <v>123149.23</v>
      </c>
      <c r="BT54" s="227">
        <v>31708.57</v>
      </c>
      <c r="BU54" s="227">
        <v>0</v>
      </c>
      <c r="BV54" s="334">
        <v>0</v>
      </c>
      <c r="BW54" s="335"/>
      <c r="BX54" s="227">
        <v>0</v>
      </c>
      <c r="BY54" s="227">
        <v>0</v>
      </c>
      <c r="BZ54" s="227">
        <v>0</v>
      </c>
      <c r="CA54" s="227">
        <v>0</v>
      </c>
      <c r="CB54" s="227">
        <v>0</v>
      </c>
      <c r="CC54" s="227">
        <v>0</v>
      </c>
      <c r="CD54" s="227">
        <v>6000</v>
      </c>
      <c r="CE54" s="227">
        <v>0</v>
      </c>
      <c r="CF54" s="227">
        <v>0</v>
      </c>
      <c r="CG54" s="227">
        <v>0</v>
      </c>
      <c r="CH54" s="227">
        <v>0</v>
      </c>
      <c r="CI54" s="226">
        <v>0</v>
      </c>
      <c r="CJ54" s="226">
        <v>0</v>
      </c>
      <c r="CK54" s="226">
        <v>0</v>
      </c>
      <c r="CL54" s="226">
        <v>0</v>
      </c>
      <c r="CM54" s="227">
        <v>4391</v>
      </c>
      <c r="CN54" s="227">
        <v>156310</v>
      </c>
      <c r="CO54" s="227">
        <v>0</v>
      </c>
      <c r="CP54" s="227">
        <v>0</v>
      </c>
      <c r="CQ54" s="227">
        <v>0</v>
      </c>
      <c r="CR54" s="227">
        <v>0</v>
      </c>
      <c r="CT54" s="229">
        <f t="shared" si="0"/>
        <v>160701</v>
      </c>
    </row>
    <row r="55" spans="1:98" ht="15">
      <c r="A55" s="226">
        <v>302</v>
      </c>
      <c r="B55" s="226">
        <v>3314</v>
      </c>
      <c r="C55" s="226" t="s">
        <v>299</v>
      </c>
      <c r="D55" s="226" t="s">
        <v>424</v>
      </c>
      <c r="E55" s="226"/>
      <c r="F55" s="226" t="s">
        <v>420</v>
      </c>
      <c r="G55" s="226">
        <v>0</v>
      </c>
      <c r="H55" s="226">
        <v>0</v>
      </c>
      <c r="I55" s="226" t="s">
        <v>472</v>
      </c>
      <c r="J55" s="226" t="s">
        <v>473</v>
      </c>
      <c r="K55" s="226" t="s">
        <v>421</v>
      </c>
      <c r="L55" s="226" t="s">
        <v>422</v>
      </c>
      <c r="M55" s="226" t="s">
        <v>421</v>
      </c>
      <c r="N55" s="226" t="s">
        <v>423</v>
      </c>
      <c r="O55" s="226" t="s">
        <v>171</v>
      </c>
      <c r="P55" s="226" t="s">
        <v>171</v>
      </c>
      <c r="Q55" s="227">
        <v>36396.1</v>
      </c>
      <c r="R55" s="227">
        <v>0</v>
      </c>
      <c r="S55" s="227">
        <v>0</v>
      </c>
      <c r="T55" s="227">
        <v>1173354.1599999999</v>
      </c>
      <c r="U55" s="227">
        <v>0</v>
      </c>
      <c r="V55" s="227">
        <v>108560.87</v>
      </c>
      <c r="W55" s="227">
        <v>0</v>
      </c>
      <c r="X55" s="227">
        <v>64730</v>
      </c>
      <c r="Y55" s="227">
        <v>6459.23</v>
      </c>
      <c r="Z55" s="227">
        <v>151892.03</v>
      </c>
      <c r="AA55" s="227">
        <v>0</v>
      </c>
      <c r="AB55" s="227">
        <v>41475.269999999997</v>
      </c>
      <c r="AC55" s="227">
        <v>934.82</v>
      </c>
      <c r="AD55" s="227">
        <v>0</v>
      </c>
      <c r="AE55" s="227">
        <v>8736.84</v>
      </c>
      <c r="AF55" s="227">
        <v>21109.55</v>
      </c>
      <c r="AG55" s="227">
        <v>35821.910000000003</v>
      </c>
      <c r="AH55" s="227">
        <v>0</v>
      </c>
      <c r="AI55" s="227">
        <v>0</v>
      </c>
      <c r="AJ55" s="227">
        <v>0</v>
      </c>
      <c r="AK55" s="227">
        <v>4186.25</v>
      </c>
      <c r="AL55" s="227">
        <v>50558</v>
      </c>
      <c r="AM55" s="227">
        <v>755041.46</v>
      </c>
      <c r="AN55" s="227">
        <v>0</v>
      </c>
      <c r="AO55" s="227">
        <v>263851.99</v>
      </c>
      <c r="AP55" s="227">
        <v>47538.37</v>
      </c>
      <c r="AQ55" s="227">
        <v>58992.13</v>
      </c>
      <c r="AR55" s="227">
        <v>0</v>
      </c>
      <c r="AS55" s="227">
        <v>67958.92</v>
      </c>
      <c r="AT55" s="227">
        <v>6534.03</v>
      </c>
      <c r="AU55" s="227">
        <v>2567.98</v>
      </c>
      <c r="AV55" s="227">
        <v>341.96</v>
      </c>
      <c r="AW55" s="227">
        <v>0</v>
      </c>
      <c r="AX55" s="227">
        <v>22342.39</v>
      </c>
      <c r="AY55" s="227">
        <v>322.27999999999997</v>
      </c>
      <c r="AZ55" s="227">
        <v>4825.78</v>
      </c>
      <c r="BA55" s="227">
        <v>4143.84</v>
      </c>
      <c r="BB55" s="227">
        <v>27138.41</v>
      </c>
      <c r="BC55" s="227">
        <v>3681.6</v>
      </c>
      <c r="BD55" s="227">
        <v>9428.74</v>
      </c>
      <c r="BE55" s="227">
        <v>71054.89</v>
      </c>
      <c r="BF55" s="227">
        <v>4515.6400000000003</v>
      </c>
      <c r="BG55" s="226">
        <v>0</v>
      </c>
      <c r="BH55" s="226">
        <v>5908.45</v>
      </c>
      <c r="BI55" s="226">
        <v>6838.27</v>
      </c>
      <c r="BJ55" s="226">
        <v>3561.25</v>
      </c>
      <c r="BK55" s="226">
        <v>2873.42</v>
      </c>
      <c r="BL55" s="226">
        <v>8361</v>
      </c>
      <c r="BM55" s="227">
        <v>0</v>
      </c>
      <c r="BN55" s="227">
        <v>5774.15</v>
      </c>
      <c r="BO55" s="227">
        <v>8415.35</v>
      </c>
      <c r="BP55" s="227">
        <v>11530.01</v>
      </c>
      <c r="BQ55" s="227">
        <v>94454.43</v>
      </c>
      <c r="BR55" s="227">
        <v>1051.6600000000001</v>
      </c>
      <c r="BS55" s="227">
        <v>112408.71</v>
      </c>
      <c r="BT55" s="227">
        <v>31225.919999999998</v>
      </c>
      <c r="BU55" s="227">
        <v>0</v>
      </c>
      <c r="BV55" s="334">
        <v>0</v>
      </c>
      <c r="BW55" s="335"/>
      <c r="BX55" s="227">
        <v>0</v>
      </c>
      <c r="BY55" s="227">
        <v>0</v>
      </c>
      <c r="BZ55" s="227">
        <v>0</v>
      </c>
      <c r="CA55" s="227">
        <v>0</v>
      </c>
      <c r="CB55" s="227">
        <v>0</v>
      </c>
      <c r="CC55" s="227">
        <v>0</v>
      </c>
      <c r="CD55" s="227">
        <v>6000</v>
      </c>
      <c r="CE55" s="227">
        <v>0</v>
      </c>
      <c r="CF55" s="227">
        <v>0</v>
      </c>
      <c r="CG55" s="227">
        <v>0</v>
      </c>
      <c r="CH55" s="227">
        <v>0</v>
      </c>
      <c r="CI55" s="226">
        <v>0</v>
      </c>
      <c r="CJ55" s="226">
        <v>0</v>
      </c>
      <c r="CK55" s="226">
        <v>0</v>
      </c>
      <c r="CL55" s="226">
        <v>0</v>
      </c>
      <c r="CM55" s="227">
        <v>0</v>
      </c>
      <c r="CN55" s="227">
        <v>61532</v>
      </c>
      <c r="CO55" s="227">
        <v>0</v>
      </c>
      <c r="CP55" s="227">
        <v>0</v>
      </c>
      <c r="CQ55" s="227">
        <v>0</v>
      </c>
      <c r="CR55" s="227">
        <v>0</v>
      </c>
      <c r="CT55" s="229">
        <f t="shared" si="0"/>
        <v>61532</v>
      </c>
    </row>
    <row r="56" spans="1:98" ht="30">
      <c r="A56" s="226">
        <v>302</v>
      </c>
      <c r="B56" s="226">
        <v>3315</v>
      </c>
      <c r="C56" s="226" t="s">
        <v>337</v>
      </c>
      <c r="D56" s="226" t="s">
        <v>424</v>
      </c>
      <c r="E56" s="226"/>
      <c r="F56" s="226" t="s">
        <v>420</v>
      </c>
      <c r="G56" s="226">
        <v>0</v>
      </c>
      <c r="H56" s="226">
        <v>0</v>
      </c>
      <c r="I56" s="226" t="s">
        <v>472</v>
      </c>
      <c r="J56" s="226" t="s">
        <v>473</v>
      </c>
      <c r="K56" s="226" t="s">
        <v>421</v>
      </c>
      <c r="L56" s="226" t="s">
        <v>422</v>
      </c>
      <c r="M56" s="226" t="s">
        <v>421</v>
      </c>
      <c r="N56" s="226" t="s">
        <v>423</v>
      </c>
      <c r="O56" s="226" t="s">
        <v>171</v>
      </c>
      <c r="P56" s="226" t="s">
        <v>171</v>
      </c>
      <c r="Q56" s="227">
        <v>102311.72</v>
      </c>
      <c r="R56" s="227">
        <v>0</v>
      </c>
      <c r="S56" s="227">
        <v>0</v>
      </c>
      <c r="T56" s="227">
        <v>1126791.3500000001</v>
      </c>
      <c r="U56" s="227">
        <v>0</v>
      </c>
      <c r="V56" s="227">
        <v>27454.05</v>
      </c>
      <c r="W56" s="227">
        <v>0</v>
      </c>
      <c r="X56" s="227">
        <v>17370</v>
      </c>
      <c r="Y56" s="227">
        <v>196.97</v>
      </c>
      <c r="Z56" s="227">
        <v>61282.36</v>
      </c>
      <c r="AA56" s="227">
        <v>91092.479999999996</v>
      </c>
      <c r="AB56" s="227">
        <v>0</v>
      </c>
      <c r="AC56" s="227">
        <v>1093.42</v>
      </c>
      <c r="AD56" s="227">
        <v>0</v>
      </c>
      <c r="AE56" s="227">
        <v>0</v>
      </c>
      <c r="AF56" s="227">
        <v>30499.599999999999</v>
      </c>
      <c r="AG56" s="227">
        <v>12690.3</v>
      </c>
      <c r="AH56" s="227">
        <v>0</v>
      </c>
      <c r="AI56" s="227">
        <v>0</v>
      </c>
      <c r="AJ56" s="227">
        <v>0</v>
      </c>
      <c r="AK56" s="227">
        <v>0</v>
      </c>
      <c r="AL56" s="227">
        <v>51443.38</v>
      </c>
      <c r="AM56" s="227">
        <v>735054.18</v>
      </c>
      <c r="AN56" s="227">
        <v>0</v>
      </c>
      <c r="AO56" s="227">
        <v>223124.04</v>
      </c>
      <c r="AP56" s="227">
        <v>41378.04</v>
      </c>
      <c r="AQ56" s="227">
        <v>69534.509999999995</v>
      </c>
      <c r="AR56" s="227">
        <v>0</v>
      </c>
      <c r="AS56" s="227">
        <v>36479.06</v>
      </c>
      <c r="AT56" s="227">
        <v>336.66</v>
      </c>
      <c r="AU56" s="227">
        <v>1404.56</v>
      </c>
      <c r="AV56" s="227">
        <v>335.32</v>
      </c>
      <c r="AW56" s="227">
        <v>5948.6</v>
      </c>
      <c r="AX56" s="227">
        <v>33332.300000000003</v>
      </c>
      <c r="AY56" s="227">
        <v>0</v>
      </c>
      <c r="AZ56" s="227">
        <v>2015.19</v>
      </c>
      <c r="BA56" s="227">
        <v>4450.04</v>
      </c>
      <c r="BB56" s="227">
        <v>23966.44</v>
      </c>
      <c r="BC56" s="227">
        <v>4180.8</v>
      </c>
      <c r="BD56" s="227">
        <v>7602.26</v>
      </c>
      <c r="BE56" s="227">
        <v>59821.21</v>
      </c>
      <c r="BF56" s="227">
        <v>10653.37</v>
      </c>
      <c r="BG56" s="226">
        <v>0</v>
      </c>
      <c r="BH56" s="226">
        <v>0</v>
      </c>
      <c r="BI56" s="226">
        <v>0</v>
      </c>
      <c r="BJ56" s="226">
        <v>0</v>
      </c>
      <c r="BK56" s="226">
        <v>0</v>
      </c>
      <c r="BL56" s="226">
        <v>0</v>
      </c>
      <c r="BM56" s="227">
        <v>0</v>
      </c>
      <c r="BN56" s="227">
        <v>10676.85</v>
      </c>
      <c r="BO56" s="227">
        <v>8259.7800000000007</v>
      </c>
      <c r="BP56" s="227">
        <v>19097.39</v>
      </c>
      <c r="BQ56" s="227">
        <v>85538.15</v>
      </c>
      <c r="BR56" s="227">
        <v>20250</v>
      </c>
      <c r="BS56" s="227">
        <v>33046.080000000002</v>
      </c>
      <c r="BT56" s="227">
        <v>40817</v>
      </c>
      <c r="BU56" s="227">
        <v>280.8</v>
      </c>
      <c r="BV56" s="334">
        <v>0</v>
      </c>
      <c r="BW56" s="335"/>
      <c r="BX56" s="227">
        <v>0</v>
      </c>
      <c r="BY56" s="227">
        <v>0</v>
      </c>
      <c r="BZ56" s="227">
        <v>0</v>
      </c>
      <c r="CA56" s="227">
        <v>0</v>
      </c>
      <c r="CB56" s="227">
        <v>0</v>
      </c>
      <c r="CC56" s="227">
        <v>0</v>
      </c>
      <c r="CD56" s="227">
        <v>6000</v>
      </c>
      <c r="CE56" s="227">
        <v>0</v>
      </c>
      <c r="CF56" s="227">
        <v>0</v>
      </c>
      <c r="CG56" s="227">
        <v>0</v>
      </c>
      <c r="CH56" s="227">
        <v>0</v>
      </c>
      <c r="CI56" s="226">
        <v>0</v>
      </c>
      <c r="CJ56" s="226">
        <v>0</v>
      </c>
      <c r="CK56" s="226">
        <v>0</v>
      </c>
      <c r="CL56" s="226">
        <v>0</v>
      </c>
      <c r="CM56" s="227">
        <v>0</v>
      </c>
      <c r="CN56" s="227">
        <v>44643</v>
      </c>
      <c r="CO56" s="227">
        <v>0</v>
      </c>
      <c r="CP56" s="227">
        <v>0</v>
      </c>
      <c r="CQ56" s="227">
        <v>0</v>
      </c>
      <c r="CR56" s="227">
        <v>0</v>
      </c>
      <c r="CT56" s="229">
        <f t="shared" si="0"/>
        <v>44643</v>
      </c>
    </row>
    <row r="57" spans="1:98" ht="15">
      <c r="A57" s="226">
        <v>302</v>
      </c>
      <c r="B57" s="226">
        <v>3316</v>
      </c>
      <c r="C57" s="226" t="s">
        <v>475</v>
      </c>
      <c r="D57" s="226" t="s">
        <v>424</v>
      </c>
      <c r="E57" s="226"/>
      <c r="F57" s="226" t="s">
        <v>420</v>
      </c>
      <c r="G57" s="226">
        <v>0</v>
      </c>
      <c r="H57" s="226">
        <v>1</v>
      </c>
      <c r="I57" s="226" t="s">
        <v>472</v>
      </c>
      <c r="J57" s="226" t="s">
        <v>473</v>
      </c>
      <c r="K57" s="226" t="s">
        <v>421</v>
      </c>
      <c r="L57" s="226" t="s">
        <v>422</v>
      </c>
      <c r="M57" s="226" t="s">
        <v>421</v>
      </c>
      <c r="N57" s="226" t="s">
        <v>423</v>
      </c>
      <c r="O57" s="226" t="s">
        <v>171</v>
      </c>
      <c r="P57" s="226" t="s">
        <v>171</v>
      </c>
      <c r="Q57" s="227">
        <v>-39320.699999999997</v>
      </c>
      <c r="R57" s="227">
        <v>0</v>
      </c>
      <c r="S57" s="227">
        <v>0</v>
      </c>
      <c r="T57" s="227">
        <v>1159686.83</v>
      </c>
      <c r="U57" s="227">
        <v>0</v>
      </c>
      <c r="V57" s="227">
        <v>91785.09</v>
      </c>
      <c r="W57" s="227">
        <v>0</v>
      </c>
      <c r="X57" s="227">
        <v>29140</v>
      </c>
      <c r="Y57" s="227">
        <v>3224.45</v>
      </c>
      <c r="Z57" s="227">
        <v>54905.15</v>
      </c>
      <c r="AA57" s="227">
        <v>0</v>
      </c>
      <c r="AB57" s="227">
        <v>51052.11</v>
      </c>
      <c r="AC57" s="227">
        <v>1721.67</v>
      </c>
      <c r="AD57" s="227">
        <v>0</v>
      </c>
      <c r="AE57" s="227">
        <v>0</v>
      </c>
      <c r="AF57" s="227">
        <v>25057.39</v>
      </c>
      <c r="AG57" s="227">
        <v>18619.939999999999</v>
      </c>
      <c r="AH57" s="227">
        <v>0</v>
      </c>
      <c r="AI57" s="227">
        <v>0</v>
      </c>
      <c r="AJ57" s="227">
        <v>0</v>
      </c>
      <c r="AK57" s="227">
        <v>1855.63</v>
      </c>
      <c r="AL57" s="227">
        <v>53837</v>
      </c>
      <c r="AM57" s="227">
        <v>767831.77</v>
      </c>
      <c r="AN57" s="227">
        <v>0</v>
      </c>
      <c r="AO57" s="227">
        <v>257129.92</v>
      </c>
      <c r="AP57" s="227">
        <v>22147.71</v>
      </c>
      <c r="AQ57" s="227">
        <v>50625.3</v>
      </c>
      <c r="AR57" s="227">
        <v>0</v>
      </c>
      <c r="AS57" s="227">
        <v>56742.92</v>
      </c>
      <c r="AT57" s="227">
        <v>3658.33</v>
      </c>
      <c r="AU57" s="227">
        <v>4192.22</v>
      </c>
      <c r="AV57" s="227">
        <v>345.28</v>
      </c>
      <c r="AW57" s="227">
        <v>918</v>
      </c>
      <c r="AX57" s="227">
        <v>6616.12</v>
      </c>
      <c r="AY57" s="227">
        <v>7.15</v>
      </c>
      <c r="AZ57" s="227">
        <v>13010.55</v>
      </c>
      <c r="BA57" s="227">
        <v>3030</v>
      </c>
      <c r="BB57" s="227">
        <v>19338.77</v>
      </c>
      <c r="BC57" s="227">
        <v>4992</v>
      </c>
      <c r="BD57" s="227">
        <v>8805.5300000000007</v>
      </c>
      <c r="BE57" s="227">
        <v>45253.62</v>
      </c>
      <c r="BF57" s="227">
        <v>5475.03</v>
      </c>
      <c r="BG57" s="226">
        <v>0</v>
      </c>
      <c r="BH57" s="226">
        <v>0</v>
      </c>
      <c r="BI57" s="226">
        <v>1859</v>
      </c>
      <c r="BJ57" s="226">
        <v>1576.9</v>
      </c>
      <c r="BK57" s="226">
        <v>0</v>
      </c>
      <c r="BL57" s="226">
        <v>0</v>
      </c>
      <c r="BM57" s="227">
        <v>0</v>
      </c>
      <c r="BN57" s="227">
        <v>10965.8</v>
      </c>
      <c r="BO57" s="227">
        <v>3474.12</v>
      </c>
      <c r="BP57" s="227">
        <v>17760.52</v>
      </c>
      <c r="BQ57" s="227">
        <v>80061.27</v>
      </c>
      <c r="BR57" s="227">
        <v>5221.1099999999997</v>
      </c>
      <c r="BS57" s="227">
        <v>43519.23</v>
      </c>
      <c r="BT57" s="227">
        <v>66377.39</v>
      </c>
      <c r="BU57" s="227">
        <v>0</v>
      </c>
      <c r="BV57" s="334">
        <v>0</v>
      </c>
      <c r="BW57" s="335"/>
      <c r="BX57" s="227">
        <v>0</v>
      </c>
      <c r="BY57" s="227">
        <v>0</v>
      </c>
      <c r="BZ57" s="227">
        <v>0</v>
      </c>
      <c r="CA57" s="227">
        <v>0</v>
      </c>
      <c r="CB57" s="227">
        <v>0</v>
      </c>
      <c r="CC57" s="227">
        <v>0</v>
      </c>
      <c r="CD57" s="227">
        <v>6000</v>
      </c>
      <c r="CE57" s="227">
        <v>0</v>
      </c>
      <c r="CF57" s="227">
        <v>0</v>
      </c>
      <c r="CG57" s="227">
        <v>0</v>
      </c>
      <c r="CH57" s="227">
        <v>0</v>
      </c>
      <c r="CI57" s="226">
        <v>0</v>
      </c>
      <c r="CJ57" s="226">
        <v>0</v>
      </c>
      <c r="CK57" s="226">
        <v>0</v>
      </c>
      <c r="CL57" s="226">
        <v>0</v>
      </c>
      <c r="CM57" s="227">
        <v>0</v>
      </c>
      <c r="CN57" s="227">
        <v>-49371</v>
      </c>
      <c r="CO57" s="227">
        <v>0</v>
      </c>
      <c r="CP57" s="227">
        <v>0</v>
      </c>
      <c r="CQ57" s="227">
        <v>0</v>
      </c>
      <c r="CR57" s="227">
        <v>0</v>
      </c>
      <c r="CT57" s="229">
        <f t="shared" si="0"/>
        <v>-49371</v>
      </c>
    </row>
    <row r="58" spans="1:98" ht="30">
      <c r="A58" s="226">
        <v>302</v>
      </c>
      <c r="B58" s="226">
        <v>3317</v>
      </c>
      <c r="C58" s="226" t="s">
        <v>476</v>
      </c>
      <c r="D58" s="226" t="s">
        <v>424</v>
      </c>
      <c r="E58" s="226"/>
      <c r="F58" s="226" t="s">
        <v>420</v>
      </c>
      <c r="G58" s="226">
        <v>0</v>
      </c>
      <c r="H58" s="226">
        <v>1</v>
      </c>
      <c r="I58" s="226" t="s">
        <v>472</v>
      </c>
      <c r="J58" s="226" t="s">
        <v>473</v>
      </c>
      <c r="K58" s="226" t="s">
        <v>421</v>
      </c>
      <c r="L58" s="226" t="s">
        <v>422</v>
      </c>
      <c r="M58" s="226" t="s">
        <v>421</v>
      </c>
      <c r="N58" s="226" t="s">
        <v>423</v>
      </c>
      <c r="O58" s="226" t="s">
        <v>171</v>
      </c>
      <c r="P58" s="226" t="s">
        <v>171</v>
      </c>
      <c r="Q58" s="227">
        <v>84128.22</v>
      </c>
      <c r="R58" s="227">
        <v>-2791</v>
      </c>
      <c r="S58" s="227">
        <v>0</v>
      </c>
      <c r="T58" s="227">
        <v>1366575.77</v>
      </c>
      <c r="U58" s="227">
        <v>0</v>
      </c>
      <c r="V58" s="227">
        <v>163244.94</v>
      </c>
      <c r="W58" s="227">
        <v>0</v>
      </c>
      <c r="X58" s="227">
        <v>82668</v>
      </c>
      <c r="Y58" s="227">
        <v>27548</v>
      </c>
      <c r="Z58" s="227">
        <v>58836.66</v>
      </c>
      <c r="AA58" s="227">
        <v>35300.9</v>
      </c>
      <c r="AB58" s="227">
        <v>31607.279999999999</v>
      </c>
      <c r="AC58" s="227">
        <v>2214.08</v>
      </c>
      <c r="AD58" s="227">
        <v>0</v>
      </c>
      <c r="AE58" s="227">
        <v>3000</v>
      </c>
      <c r="AF58" s="227">
        <v>35396.94</v>
      </c>
      <c r="AG58" s="227">
        <v>42898.19</v>
      </c>
      <c r="AH58" s="227">
        <v>0</v>
      </c>
      <c r="AI58" s="227">
        <v>0</v>
      </c>
      <c r="AJ58" s="227">
        <v>0</v>
      </c>
      <c r="AK58" s="227">
        <v>6240</v>
      </c>
      <c r="AL58" s="227">
        <v>49787</v>
      </c>
      <c r="AM58" s="227">
        <v>786493.19</v>
      </c>
      <c r="AN58" s="227">
        <v>23993.23</v>
      </c>
      <c r="AO58" s="227">
        <v>401364.8</v>
      </c>
      <c r="AP58" s="227">
        <v>42298.05</v>
      </c>
      <c r="AQ58" s="227">
        <v>60871.18</v>
      </c>
      <c r="AR58" s="227">
        <v>0</v>
      </c>
      <c r="AS58" s="227">
        <v>46335.42</v>
      </c>
      <c r="AT58" s="227">
        <v>379.23</v>
      </c>
      <c r="AU58" s="227">
        <v>1870.8</v>
      </c>
      <c r="AV58" s="227">
        <v>7864.4</v>
      </c>
      <c r="AW58" s="227">
        <v>0</v>
      </c>
      <c r="AX58" s="227">
        <v>13863.05</v>
      </c>
      <c r="AY58" s="227">
        <v>2363.11</v>
      </c>
      <c r="AZ58" s="227">
        <v>35407.980000000003</v>
      </c>
      <c r="BA58" s="227">
        <v>4840.76</v>
      </c>
      <c r="BB58" s="227">
        <v>37395.26</v>
      </c>
      <c r="BC58" s="227">
        <v>4680</v>
      </c>
      <c r="BD58" s="227">
        <v>10893.42</v>
      </c>
      <c r="BE58" s="227">
        <v>62445.21</v>
      </c>
      <c r="BF58" s="227">
        <v>8346.26</v>
      </c>
      <c r="BG58" s="226">
        <v>0</v>
      </c>
      <c r="BH58" s="226">
        <v>1815.27</v>
      </c>
      <c r="BI58" s="226">
        <v>9796.68</v>
      </c>
      <c r="BJ58" s="226">
        <v>454.99</v>
      </c>
      <c r="BK58" s="226">
        <v>4351.66</v>
      </c>
      <c r="BL58" s="226">
        <v>7690</v>
      </c>
      <c r="BM58" s="227">
        <v>0</v>
      </c>
      <c r="BN58" s="227">
        <v>3400.48</v>
      </c>
      <c r="BO58" s="227">
        <v>10115.84</v>
      </c>
      <c r="BP58" s="227">
        <v>10333.25</v>
      </c>
      <c r="BQ58" s="227">
        <v>91620.83</v>
      </c>
      <c r="BR58" s="227">
        <v>26050.95</v>
      </c>
      <c r="BS58" s="227">
        <v>65862.3</v>
      </c>
      <c r="BT58" s="227">
        <v>29606.66</v>
      </c>
      <c r="BU58" s="227">
        <v>0</v>
      </c>
      <c r="BV58" s="334">
        <v>0</v>
      </c>
      <c r="BW58" s="335"/>
      <c r="BX58" s="227">
        <v>0</v>
      </c>
      <c r="BY58" s="227">
        <v>0</v>
      </c>
      <c r="BZ58" s="227">
        <v>-2791</v>
      </c>
      <c r="CA58" s="227">
        <v>0</v>
      </c>
      <c r="CB58" s="227">
        <v>0</v>
      </c>
      <c r="CC58" s="227">
        <v>0</v>
      </c>
      <c r="CD58" s="227">
        <v>6000</v>
      </c>
      <c r="CE58" s="227">
        <v>0</v>
      </c>
      <c r="CF58" s="227">
        <v>0</v>
      </c>
      <c r="CG58" s="227">
        <v>0</v>
      </c>
      <c r="CH58" s="227">
        <v>0</v>
      </c>
      <c r="CI58" s="226">
        <v>0</v>
      </c>
      <c r="CJ58" s="226">
        <v>0</v>
      </c>
      <c r="CK58" s="226">
        <v>0</v>
      </c>
      <c r="CL58" s="226">
        <v>0</v>
      </c>
      <c r="CM58" s="227">
        <v>0</v>
      </c>
      <c r="CN58" s="227">
        <v>176641.72</v>
      </c>
      <c r="CO58" s="227">
        <v>0</v>
      </c>
      <c r="CP58" s="227">
        <v>0</v>
      </c>
      <c r="CQ58" s="227">
        <v>0</v>
      </c>
      <c r="CR58" s="227">
        <v>0</v>
      </c>
      <c r="CT58" s="229">
        <f t="shared" si="0"/>
        <v>176641.72</v>
      </c>
    </row>
    <row r="59" spans="1:98" ht="30">
      <c r="A59" s="226">
        <v>302</v>
      </c>
      <c r="B59" s="226">
        <v>3500</v>
      </c>
      <c r="C59" s="226" t="s">
        <v>313</v>
      </c>
      <c r="D59" s="226" t="s">
        <v>424</v>
      </c>
      <c r="E59" s="226"/>
      <c r="F59" s="226" t="s">
        <v>420</v>
      </c>
      <c r="G59" s="226">
        <v>0</v>
      </c>
      <c r="H59" s="226">
        <v>0</v>
      </c>
      <c r="I59" s="226" t="s">
        <v>472</v>
      </c>
      <c r="J59" s="226" t="s">
        <v>473</v>
      </c>
      <c r="K59" s="226" t="s">
        <v>421</v>
      </c>
      <c r="L59" s="226" t="s">
        <v>422</v>
      </c>
      <c r="M59" s="226" t="s">
        <v>421</v>
      </c>
      <c r="N59" s="226" t="s">
        <v>423</v>
      </c>
      <c r="O59" s="226" t="s">
        <v>171</v>
      </c>
      <c r="P59" s="226" t="s">
        <v>171</v>
      </c>
      <c r="Q59" s="227">
        <v>3286.32</v>
      </c>
      <c r="R59" s="227">
        <v>0</v>
      </c>
      <c r="S59" s="227">
        <v>0</v>
      </c>
      <c r="T59" s="227">
        <v>1204129.8400000001</v>
      </c>
      <c r="U59" s="227">
        <v>0</v>
      </c>
      <c r="V59" s="227">
        <v>96028.34</v>
      </c>
      <c r="W59" s="227">
        <v>0</v>
      </c>
      <c r="X59" s="227">
        <v>56240</v>
      </c>
      <c r="Y59" s="227">
        <v>0</v>
      </c>
      <c r="Z59" s="227">
        <v>13433.18</v>
      </c>
      <c r="AA59" s="227">
        <v>0</v>
      </c>
      <c r="AB59" s="227">
        <v>15247.1</v>
      </c>
      <c r="AC59" s="227">
        <v>0</v>
      </c>
      <c r="AD59" s="227">
        <v>0</v>
      </c>
      <c r="AE59" s="227">
        <v>0</v>
      </c>
      <c r="AF59" s="227">
        <v>10993</v>
      </c>
      <c r="AG59" s="227">
        <v>838.5</v>
      </c>
      <c r="AH59" s="227">
        <v>0</v>
      </c>
      <c r="AI59" s="227">
        <v>0</v>
      </c>
      <c r="AJ59" s="227">
        <v>0</v>
      </c>
      <c r="AK59" s="227">
        <v>2854.38</v>
      </c>
      <c r="AL59" s="227">
        <v>61732</v>
      </c>
      <c r="AM59" s="227">
        <v>530482.78</v>
      </c>
      <c r="AN59" s="227">
        <v>334.57</v>
      </c>
      <c r="AO59" s="227">
        <v>175624.57</v>
      </c>
      <c r="AP59" s="227">
        <v>30152.42</v>
      </c>
      <c r="AQ59" s="227">
        <v>44701.98</v>
      </c>
      <c r="AR59" s="227">
        <v>0</v>
      </c>
      <c r="AS59" s="227">
        <v>13824.32</v>
      </c>
      <c r="AT59" s="227">
        <v>2172.8000000000002</v>
      </c>
      <c r="AU59" s="227">
        <v>2869.36</v>
      </c>
      <c r="AV59" s="227">
        <v>268.92</v>
      </c>
      <c r="AW59" s="227">
        <v>0</v>
      </c>
      <c r="AX59" s="227">
        <v>23714.23</v>
      </c>
      <c r="AY59" s="227">
        <v>2.89</v>
      </c>
      <c r="AZ59" s="227">
        <v>12179.72</v>
      </c>
      <c r="BA59" s="227">
        <v>2387</v>
      </c>
      <c r="BB59" s="227">
        <v>19186.5</v>
      </c>
      <c r="BC59" s="227">
        <v>3001.42</v>
      </c>
      <c r="BD59" s="227">
        <v>5062.78</v>
      </c>
      <c r="BE59" s="227">
        <v>9285.6299999999992</v>
      </c>
      <c r="BF59" s="227">
        <v>5887.92</v>
      </c>
      <c r="BG59" s="226">
        <v>0</v>
      </c>
      <c r="BH59" s="226">
        <v>2204.83</v>
      </c>
      <c r="BI59" s="226">
        <v>12659.94</v>
      </c>
      <c r="BJ59" s="226">
        <v>4763.8</v>
      </c>
      <c r="BK59" s="226">
        <v>896.69</v>
      </c>
      <c r="BL59" s="226">
        <v>10048</v>
      </c>
      <c r="BM59" s="227">
        <v>0</v>
      </c>
      <c r="BN59" s="227">
        <v>1424.04</v>
      </c>
      <c r="BO59" s="227">
        <v>7086.68</v>
      </c>
      <c r="BP59" s="227">
        <v>8045.28</v>
      </c>
      <c r="BQ59" s="227">
        <v>57597.79</v>
      </c>
      <c r="BR59" s="227">
        <v>74318.11</v>
      </c>
      <c r="BS59" s="227">
        <v>142838.51</v>
      </c>
      <c r="BT59" s="227">
        <v>13681.06</v>
      </c>
      <c r="BU59" s="227">
        <v>0</v>
      </c>
      <c r="BV59" s="334">
        <v>0</v>
      </c>
      <c r="BW59" s="335"/>
      <c r="BX59" s="227">
        <v>0</v>
      </c>
      <c r="BY59" s="227">
        <v>0</v>
      </c>
      <c r="BZ59" s="227">
        <v>0</v>
      </c>
      <c r="CA59" s="227">
        <v>0</v>
      </c>
      <c r="CB59" s="227">
        <v>0</v>
      </c>
      <c r="CC59" s="227">
        <v>0</v>
      </c>
      <c r="CD59" s="227">
        <v>6000</v>
      </c>
      <c r="CE59" s="227">
        <v>0</v>
      </c>
      <c r="CF59" s="227">
        <v>0</v>
      </c>
      <c r="CG59" s="227">
        <v>0</v>
      </c>
      <c r="CH59" s="227">
        <v>0</v>
      </c>
      <c r="CI59" s="226">
        <v>0</v>
      </c>
      <c r="CJ59" s="226">
        <v>0</v>
      </c>
      <c r="CK59" s="226">
        <v>0</v>
      </c>
      <c r="CL59" s="226">
        <v>0</v>
      </c>
      <c r="CM59" s="227">
        <v>0</v>
      </c>
      <c r="CN59" s="227">
        <v>248078.12</v>
      </c>
      <c r="CO59" s="227">
        <v>0</v>
      </c>
      <c r="CP59" s="227">
        <v>0</v>
      </c>
      <c r="CQ59" s="227">
        <v>0</v>
      </c>
      <c r="CR59" s="227">
        <v>0</v>
      </c>
      <c r="CT59" s="229">
        <f t="shared" si="0"/>
        <v>248078.12</v>
      </c>
    </row>
    <row r="60" spans="1:98" ht="15">
      <c r="A60" s="226">
        <v>302</v>
      </c>
      <c r="B60" s="226">
        <v>3501</v>
      </c>
      <c r="C60" s="226" t="s">
        <v>78</v>
      </c>
      <c r="D60" s="226" t="s">
        <v>424</v>
      </c>
      <c r="E60" s="226"/>
      <c r="F60" s="226" t="s">
        <v>420</v>
      </c>
      <c r="G60" s="226">
        <v>0</v>
      </c>
      <c r="H60" s="226">
        <v>1</v>
      </c>
      <c r="I60" s="226" t="s">
        <v>472</v>
      </c>
      <c r="J60" s="226" t="s">
        <v>473</v>
      </c>
      <c r="K60" s="226" t="s">
        <v>421</v>
      </c>
      <c r="L60" s="226" t="s">
        <v>422</v>
      </c>
      <c r="M60" s="226" t="s">
        <v>421</v>
      </c>
      <c r="N60" s="226" t="s">
        <v>423</v>
      </c>
      <c r="O60" s="226" t="s">
        <v>171</v>
      </c>
      <c r="P60" s="226" t="s">
        <v>171</v>
      </c>
      <c r="Q60" s="227">
        <v>-194607</v>
      </c>
      <c r="R60" s="227">
        <v>0</v>
      </c>
      <c r="S60" s="227">
        <v>0</v>
      </c>
      <c r="T60" s="227">
        <v>1296965.1499999999</v>
      </c>
      <c r="U60" s="227">
        <v>0</v>
      </c>
      <c r="V60" s="227">
        <v>92575.360000000001</v>
      </c>
      <c r="W60" s="227">
        <v>0</v>
      </c>
      <c r="X60" s="227">
        <v>63950</v>
      </c>
      <c r="Y60" s="227">
        <v>0</v>
      </c>
      <c r="Z60" s="227">
        <v>52897.86</v>
      </c>
      <c r="AA60" s="227">
        <v>3802.53</v>
      </c>
      <c r="AB60" s="227">
        <v>12317.06</v>
      </c>
      <c r="AC60" s="227">
        <v>2759.07</v>
      </c>
      <c r="AD60" s="227">
        <v>0</v>
      </c>
      <c r="AE60" s="227">
        <v>0</v>
      </c>
      <c r="AF60" s="227">
        <v>28751.83</v>
      </c>
      <c r="AG60" s="227">
        <v>25429.23</v>
      </c>
      <c r="AH60" s="227">
        <v>0</v>
      </c>
      <c r="AI60" s="227">
        <v>0</v>
      </c>
      <c r="AJ60" s="227">
        <v>0</v>
      </c>
      <c r="AK60" s="227">
        <v>3763.75</v>
      </c>
      <c r="AL60" s="227">
        <v>45007</v>
      </c>
      <c r="AM60" s="227">
        <v>757976.76</v>
      </c>
      <c r="AN60" s="227">
        <v>0</v>
      </c>
      <c r="AO60" s="227">
        <v>216578.22</v>
      </c>
      <c r="AP60" s="227">
        <v>77842.83</v>
      </c>
      <c r="AQ60" s="227">
        <v>90572.51</v>
      </c>
      <c r="AR60" s="227">
        <v>0</v>
      </c>
      <c r="AS60" s="227">
        <v>31805.09</v>
      </c>
      <c r="AT60" s="227">
        <v>1042.2</v>
      </c>
      <c r="AU60" s="227">
        <v>2764.4</v>
      </c>
      <c r="AV60" s="227">
        <v>330.34</v>
      </c>
      <c r="AW60" s="227">
        <v>0</v>
      </c>
      <c r="AX60" s="227">
        <v>20299.97</v>
      </c>
      <c r="AY60" s="227">
        <v>1427.92</v>
      </c>
      <c r="AZ60" s="227">
        <v>2943.29</v>
      </c>
      <c r="BA60" s="227">
        <v>5328.08</v>
      </c>
      <c r="BB60" s="227">
        <v>48214.99</v>
      </c>
      <c r="BC60" s="227">
        <v>4555.2</v>
      </c>
      <c r="BD60" s="227">
        <v>9060.24</v>
      </c>
      <c r="BE60" s="227">
        <v>43527.4</v>
      </c>
      <c r="BF60" s="227">
        <v>10351.24</v>
      </c>
      <c r="BG60" s="226">
        <v>0</v>
      </c>
      <c r="BH60" s="226">
        <v>4578.99</v>
      </c>
      <c r="BI60" s="226">
        <v>0</v>
      </c>
      <c r="BJ60" s="226">
        <v>1144.77</v>
      </c>
      <c r="BK60" s="226">
        <v>0</v>
      </c>
      <c r="BL60" s="226">
        <v>0</v>
      </c>
      <c r="BM60" s="227">
        <v>0</v>
      </c>
      <c r="BN60" s="227">
        <v>13624.4</v>
      </c>
      <c r="BO60" s="227">
        <v>8587.11</v>
      </c>
      <c r="BP60" s="227">
        <v>4327.84</v>
      </c>
      <c r="BQ60" s="227">
        <v>73699.95</v>
      </c>
      <c r="BR60" s="227">
        <v>63204.94</v>
      </c>
      <c r="BS60" s="227">
        <v>162498.47</v>
      </c>
      <c r="BT60" s="227">
        <v>40000.33</v>
      </c>
      <c r="BU60" s="227">
        <v>0</v>
      </c>
      <c r="BV60" s="334">
        <v>0</v>
      </c>
      <c r="BW60" s="335"/>
      <c r="BX60" s="227">
        <v>0</v>
      </c>
      <c r="BY60" s="227">
        <v>0</v>
      </c>
      <c r="BZ60" s="227">
        <v>0</v>
      </c>
      <c r="CA60" s="227">
        <v>0</v>
      </c>
      <c r="CB60" s="227">
        <v>0</v>
      </c>
      <c r="CC60" s="227">
        <v>0</v>
      </c>
      <c r="CD60" s="227">
        <v>6000</v>
      </c>
      <c r="CE60" s="227">
        <v>0</v>
      </c>
      <c r="CF60" s="227">
        <v>0</v>
      </c>
      <c r="CG60" s="227">
        <v>0</v>
      </c>
      <c r="CH60" s="227">
        <v>0</v>
      </c>
      <c r="CI60" s="226">
        <v>0</v>
      </c>
      <c r="CJ60" s="226">
        <v>0</v>
      </c>
      <c r="CK60" s="226">
        <v>0</v>
      </c>
      <c r="CL60" s="226">
        <v>0</v>
      </c>
      <c r="CM60" s="227">
        <v>0</v>
      </c>
      <c r="CN60" s="227">
        <v>-262675.64</v>
      </c>
      <c r="CO60" s="227">
        <v>0</v>
      </c>
      <c r="CP60" s="227">
        <v>0</v>
      </c>
      <c r="CQ60" s="227">
        <v>0</v>
      </c>
      <c r="CR60" s="227">
        <v>0</v>
      </c>
      <c r="CT60" s="229">
        <f t="shared" si="0"/>
        <v>-262675.64</v>
      </c>
    </row>
    <row r="61" spans="1:98" ht="15">
      <c r="A61" s="226">
        <v>302</v>
      </c>
      <c r="B61" s="226">
        <v>3502</v>
      </c>
      <c r="C61" s="226" t="s">
        <v>426</v>
      </c>
      <c r="D61" s="226" t="s">
        <v>424</v>
      </c>
      <c r="E61" s="226"/>
      <c r="F61" s="226" t="s">
        <v>420</v>
      </c>
      <c r="G61" s="226">
        <v>0</v>
      </c>
      <c r="H61" s="226">
        <v>0</v>
      </c>
      <c r="I61" s="226" t="s">
        <v>472</v>
      </c>
      <c r="J61" s="226" t="s">
        <v>473</v>
      </c>
      <c r="K61" s="226" t="s">
        <v>421</v>
      </c>
      <c r="L61" s="226" t="s">
        <v>422</v>
      </c>
      <c r="M61" s="226" t="s">
        <v>421</v>
      </c>
      <c r="N61" s="226" t="s">
        <v>423</v>
      </c>
      <c r="O61" s="226" t="s">
        <v>171</v>
      </c>
      <c r="P61" s="226" t="s">
        <v>171</v>
      </c>
      <c r="Q61" s="227">
        <v>965685.71</v>
      </c>
      <c r="R61" s="227">
        <v>0</v>
      </c>
      <c r="S61" s="227">
        <v>0</v>
      </c>
      <c r="T61" s="227">
        <v>2499931.2400000002</v>
      </c>
      <c r="U61" s="227">
        <v>0</v>
      </c>
      <c r="V61" s="227">
        <v>164984.67000000001</v>
      </c>
      <c r="W61" s="227">
        <v>0</v>
      </c>
      <c r="X61" s="227">
        <v>156610</v>
      </c>
      <c r="Y61" s="227">
        <v>12148.07</v>
      </c>
      <c r="Z61" s="227">
        <v>82312.3</v>
      </c>
      <c r="AA61" s="227">
        <v>9686.5</v>
      </c>
      <c r="AB61" s="227">
        <v>39800.79</v>
      </c>
      <c r="AC61" s="227">
        <v>2758.73</v>
      </c>
      <c r="AD61" s="227">
        <v>0</v>
      </c>
      <c r="AE61" s="227">
        <v>0</v>
      </c>
      <c r="AF61" s="227">
        <v>36377.69</v>
      </c>
      <c r="AG61" s="227">
        <v>3456.73</v>
      </c>
      <c r="AH61" s="227">
        <v>0</v>
      </c>
      <c r="AI61" s="227">
        <v>0</v>
      </c>
      <c r="AJ61" s="227">
        <v>0</v>
      </c>
      <c r="AK61" s="227">
        <v>0</v>
      </c>
      <c r="AL61" s="227">
        <v>79849.25</v>
      </c>
      <c r="AM61" s="227">
        <v>1377486.26</v>
      </c>
      <c r="AN61" s="227">
        <v>0</v>
      </c>
      <c r="AO61" s="227">
        <v>778996.09</v>
      </c>
      <c r="AP61" s="227">
        <v>96441.23</v>
      </c>
      <c r="AQ61" s="227">
        <v>68140.94</v>
      </c>
      <c r="AR61" s="227">
        <v>0</v>
      </c>
      <c r="AS61" s="227">
        <v>32690.95</v>
      </c>
      <c r="AT61" s="227">
        <v>3227.8</v>
      </c>
      <c r="AU61" s="227">
        <v>6359.72</v>
      </c>
      <c r="AV61" s="227">
        <v>668.98</v>
      </c>
      <c r="AW61" s="227">
        <v>0</v>
      </c>
      <c r="AX61" s="227">
        <v>124979.17</v>
      </c>
      <c r="AY61" s="227">
        <v>6924.61</v>
      </c>
      <c r="AZ61" s="227">
        <v>7025.39</v>
      </c>
      <c r="BA61" s="227">
        <v>8989.7900000000009</v>
      </c>
      <c r="BB61" s="227">
        <v>39278.68</v>
      </c>
      <c r="BC61" s="227">
        <v>7425.6</v>
      </c>
      <c r="BD61" s="227">
        <v>18231.099999999999</v>
      </c>
      <c r="BE61" s="227">
        <v>121384.22</v>
      </c>
      <c r="BF61" s="227">
        <v>27950.05</v>
      </c>
      <c r="BG61" s="226">
        <v>0</v>
      </c>
      <c r="BH61" s="226">
        <v>0</v>
      </c>
      <c r="BI61" s="226">
        <v>0</v>
      </c>
      <c r="BJ61" s="226">
        <v>0</v>
      </c>
      <c r="BK61" s="226">
        <v>0</v>
      </c>
      <c r="BL61" s="226">
        <v>0</v>
      </c>
      <c r="BM61" s="227">
        <v>0</v>
      </c>
      <c r="BN61" s="227">
        <v>35039.660000000003</v>
      </c>
      <c r="BO61" s="227">
        <v>17177.330000000002</v>
      </c>
      <c r="BP61" s="227">
        <v>3183.01</v>
      </c>
      <c r="BQ61" s="227">
        <v>176660.34</v>
      </c>
      <c r="BR61" s="227">
        <v>74530.570000000007</v>
      </c>
      <c r="BS61" s="227">
        <v>150044.85</v>
      </c>
      <c r="BT61" s="227">
        <v>59251.34</v>
      </c>
      <c r="BU61" s="227">
        <v>0</v>
      </c>
      <c r="BV61" s="334">
        <v>0</v>
      </c>
      <c r="BW61" s="335"/>
      <c r="BX61" s="227">
        <v>0</v>
      </c>
      <c r="BY61" s="227">
        <v>0</v>
      </c>
      <c r="BZ61" s="227">
        <v>0</v>
      </c>
      <c r="CA61" s="227">
        <v>0</v>
      </c>
      <c r="CB61" s="227">
        <v>0</v>
      </c>
      <c r="CC61" s="227">
        <v>0</v>
      </c>
      <c r="CD61" s="227">
        <v>6000</v>
      </c>
      <c r="CE61" s="227">
        <v>0</v>
      </c>
      <c r="CF61" s="227">
        <v>0</v>
      </c>
      <c r="CG61" s="227">
        <v>0</v>
      </c>
      <c r="CH61" s="227">
        <v>0</v>
      </c>
      <c r="CI61" s="226">
        <v>0</v>
      </c>
      <c r="CJ61" s="226">
        <v>0</v>
      </c>
      <c r="CK61" s="226">
        <v>0</v>
      </c>
      <c r="CL61" s="226">
        <v>0</v>
      </c>
      <c r="CM61" s="227">
        <v>0</v>
      </c>
      <c r="CN61" s="227">
        <v>811514</v>
      </c>
      <c r="CO61" s="227">
        <v>0</v>
      </c>
      <c r="CP61" s="227">
        <v>0</v>
      </c>
      <c r="CQ61" s="227">
        <v>0</v>
      </c>
      <c r="CR61" s="227">
        <v>0</v>
      </c>
      <c r="CT61" s="229">
        <f t="shared" si="0"/>
        <v>811514</v>
      </c>
    </row>
    <row r="62" spans="1:98" ht="15">
      <c r="A62" s="226">
        <v>302</v>
      </c>
      <c r="B62" s="226">
        <v>3504</v>
      </c>
      <c r="C62" s="226" t="s">
        <v>477</v>
      </c>
      <c r="D62" s="226" t="s">
        <v>424</v>
      </c>
      <c r="E62" s="226"/>
      <c r="F62" s="226" t="s">
        <v>420</v>
      </c>
      <c r="G62" s="226">
        <v>0</v>
      </c>
      <c r="H62" s="226">
        <v>0</v>
      </c>
      <c r="I62" s="226" t="s">
        <v>472</v>
      </c>
      <c r="J62" s="226" t="s">
        <v>473</v>
      </c>
      <c r="K62" s="226" t="s">
        <v>421</v>
      </c>
      <c r="L62" s="226" t="s">
        <v>422</v>
      </c>
      <c r="M62" s="226" t="s">
        <v>421</v>
      </c>
      <c r="N62" s="226" t="s">
        <v>423</v>
      </c>
      <c r="O62" s="226" t="s">
        <v>171</v>
      </c>
      <c r="P62" s="226" t="s">
        <v>171</v>
      </c>
      <c r="Q62" s="227">
        <v>131396.04</v>
      </c>
      <c r="R62" s="227">
        <v>0</v>
      </c>
      <c r="S62" s="227">
        <v>0</v>
      </c>
      <c r="T62" s="227">
        <v>2453089.3199999998</v>
      </c>
      <c r="U62" s="227">
        <v>0</v>
      </c>
      <c r="V62" s="227">
        <v>73594.84</v>
      </c>
      <c r="W62" s="227">
        <v>0</v>
      </c>
      <c r="X62" s="227">
        <v>43220</v>
      </c>
      <c r="Y62" s="227">
        <v>6433.26</v>
      </c>
      <c r="Z62" s="227">
        <v>139623.45000000001</v>
      </c>
      <c r="AA62" s="227">
        <v>1398.75</v>
      </c>
      <c r="AB62" s="227">
        <v>204075.5</v>
      </c>
      <c r="AC62" s="227">
        <v>970.13</v>
      </c>
      <c r="AD62" s="227">
        <v>9200</v>
      </c>
      <c r="AE62" s="227">
        <v>0</v>
      </c>
      <c r="AF62" s="227">
        <v>154288.82999999999</v>
      </c>
      <c r="AG62" s="227">
        <v>23644.639999999999</v>
      </c>
      <c r="AH62" s="227">
        <v>0</v>
      </c>
      <c r="AI62" s="227">
        <v>0</v>
      </c>
      <c r="AJ62" s="227">
        <v>0</v>
      </c>
      <c r="AK62" s="227">
        <v>3425</v>
      </c>
      <c r="AL62" s="227">
        <v>101255</v>
      </c>
      <c r="AM62" s="227">
        <v>1445440.45</v>
      </c>
      <c r="AN62" s="227">
        <v>0</v>
      </c>
      <c r="AO62" s="227">
        <v>580137.80000000005</v>
      </c>
      <c r="AP62" s="227">
        <v>91669.2</v>
      </c>
      <c r="AQ62" s="227">
        <v>150198.34</v>
      </c>
      <c r="AR62" s="227">
        <v>0</v>
      </c>
      <c r="AS62" s="227">
        <v>92460.77</v>
      </c>
      <c r="AT62" s="227">
        <v>14144.78</v>
      </c>
      <c r="AU62" s="227">
        <v>6521.36</v>
      </c>
      <c r="AV62" s="227">
        <v>17980.099999999999</v>
      </c>
      <c r="AW62" s="227">
        <v>0</v>
      </c>
      <c r="AX62" s="227">
        <v>51829.74</v>
      </c>
      <c r="AY62" s="227">
        <v>12119.92</v>
      </c>
      <c r="AZ62" s="227">
        <v>8886.7800000000007</v>
      </c>
      <c r="BA62" s="227">
        <v>10449.280000000001</v>
      </c>
      <c r="BB62" s="227">
        <v>38270.589999999997</v>
      </c>
      <c r="BC62" s="227">
        <v>8095.32</v>
      </c>
      <c r="BD62" s="227">
        <v>14164.62</v>
      </c>
      <c r="BE62" s="227">
        <v>89706.99</v>
      </c>
      <c r="BF62" s="227">
        <v>8438.32</v>
      </c>
      <c r="BG62" s="226">
        <v>0</v>
      </c>
      <c r="BH62" s="226">
        <v>6602.62</v>
      </c>
      <c r="BI62" s="226">
        <v>19712.740000000002</v>
      </c>
      <c r="BJ62" s="226">
        <v>3433.73</v>
      </c>
      <c r="BK62" s="226">
        <v>602.72</v>
      </c>
      <c r="BL62" s="226">
        <v>13365.4</v>
      </c>
      <c r="BM62" s="227">
        <v>0</v>
      </c>
      <c r="BN62" s="227">
        <v>2113.85</v>
      </c>
      <c r="BO62" s="227">
        <v>17852.189999999999</v>
      </c>
      <c r="BP62" s="227">
        <v>39506.03</v>
      </c>
      <c r="BQ62" s="227">
        <v>200107.41</v>
      </c>
      <c r="BR62" s="227">
        <v>23507.43</v>
      </c>
      <c r="BS62" s="227">
        <v>125106.46</v>
      </c>
      <c r="BT62" s="227">
        <v>51291.82</v>
      </c>
      <c r="BU62" s="227">
        <v>0</v>
      </c>
      <c r="BV62" s="334">
        <v>0</v>
      </c>
      <c r="BW62" s="335"/>
      <c r="BX62" s="227">
        <v>0</v>
      </c>
      <c r="BY62" s="227">
        <v>0</v>
      </c>
      <c r="BZ62" s="227">
        <v>0</v>
      </c>
      <c r="CA62" s="227">
        <v>0</v>
      </c>
      <c r="CB62" s="227">
        <v>14614.55</v>
      </c>
      <c r="CC62" s="227">
        <v>0</v>
      </c>
      <c r="CD62" s="227">
        <v>6000</v>
      </c>
      <c r="CE62" s="227">
        <v>0</v>
      </c>
      <c r="CF62" s="227">
        <v>0</v>
      </c>
      <c r="CG62" s="227">
        <v>0</v>
      </c>
      <c r="CH62" s="227">
        <v>0</v>
      </c>
      <c r="CI62" s="226">
        <v>0</v>
      </c>
      <c r="CJ62" s="226">
        <v>0</v>
      </c>
      <c r="CK62" s="226">
        <v>13084.55</v>
      </c>
      <c r="CL62" s="226">
        <v>1530</v>
      </c>
      <c r="CM62" s="227">
        <v>0</v>
      </c>
      <c r="CN62" s="227">
        <v>201898</v>
      </c>
      <c r="CO62" s="227">
        <v>0</v>
      </c>
      <c r="CP62" s="227">
        <v>0</v>
      </c>
      <c r="CQ62" s="227">
        <v>0</v>
      </c>
      <c r="CR62" s="227">
        <v>0</v>
      </c>
      <c r="CT62" s="229">
        <f t="shared" si="0"/>
        <v>201898</v>
      </c>
    </row>
    <row r="63" spans="1:98" ht="15">
      <c r="A63" s="226">
        <v>302</v>
      </c>
      <c r="B63" s="226">
        <v>3506</v>
      </c>
      <c r="C63" s="226" t="s">
        <v>314</v>
      </c>
      <c r="D63" s="226" t="s">
        <v>424</v>
      </c>
      <c r="E63" s="226"/>
      <c r="F63" s="226" t="s">
        <v>420</v>
      </c>
      <c r="G63" s="226">
        <v>0</v>
      </c>
      <c r="H63" s="226">
        <v>0</v>
      </c>
      <c r="I63" s="226" t="s">
        <v>472</v>
      </c>
      <c r="J63" s="226" t="s">
        <v>473</v>
      </c>
      <c r="K63" s="226" t="s">
        <v>421</v>
      </c>
      <c r="L63" s="226" t="s">
        <v>422</v>
      </c>
      <c r="M63" s="226" t="s">
        <v>421</v>
      </c>
      <c r="N63" s="226" t="s">
        <v>423</v>
      </c>
      <c r="O63" s="226" t="s">
        <v>171</v>
      </c>
      <c r="P63" s="226" t="s">
        <v>171</v>
      </c>
      <c r="Q63" s="227">
        <v>-16156.03</v>
      </c>
      <c r="R63" s="227">
        <v>0</v>
      </c>
      <c r="S63" s="227">
        <v>0</v>
      </c>
      <c r="T63" s="227">
        <v>1625821.05</v>
      </c>
      <c r="U63" s="227">
        <v>0</v>
      </c>
      <c r="V63" s="227">
        <v>180658.44</v>
      </c>
      <c r="W63" s="227">
        <v>0</v>
      </c>
      <c r="X63" s="227">
        <v>41048</v>
      </c>
      <c r="Y63" s="227">
        <v>48893.42</v>
      </c>
      <c r="Z63" s="227">
        <v>85881.83</v>
      </c>
      <c r="AA63" s="227">
        <v>41076.9</v>
      </c>
      <c r="AB63" s="227">
        <v>46481.23</v>
      </c>
      <c r="AC63" s="227">
        <v>594.63</v>
      </c>
      <c r="AD63" s="227">
        <v>0</v>
      </c>
      <c r="AE63" s="227">
        <v>0</v>
      </c>
      <c r="AF63" s="227">
        <v>49317.09</v>
      </c>
      <c r="AG63" s="227">
        <v>70852.09</v>
      </c>
      <c r="AH63" s="227">
        <v>0</v>
      </c>
      <c r="AI63" s="227">
        <v>0</v>
      </c>
      <c r="AJ63" s="227">
        <v>0</v>
      </c>
      <c r="AK63" s="227">
        <v>2073.13</v>
      </c>
      <c r="AL63" s="227">
        <v>52567</v>
      </c>
      <c r="AM63" s="227">
        <v>941112.24</v>
      </c>
      <c r="AN63" s="227">
        <v>2281.65</v>
      </c>
      <c r="AO63" s="227">
        <v>502416.75</v>
      </c>
      <c r="AP63" s="227">
        <v>80766.42</v>
      </c>
      <c r="AQ63" s="227">
        <v>79989.5</v>
      </c>
      <c r="AR63" s="227">
        <v>0</v>
      </c>
      <c r="AS63" s="227">
        <v>0</v>
      </c>
      <c r="AT63" s="227">
        <v>2517.56</v>
      </c>
      <c r="AU63" s="227">
        <v>3812.67</v>
      </c>
      <c r="AV63" s="227">
        <v>466.46</v>
      </c>
      <c r="AW63" s="227">
        <v>0</v>
      </c>
      <c r="AX63" s="227">
        <v>64475.95</v>
      </c>
      <c r="AY63" s="227">
        <v>7169</v>
      </c>
      <c r="AZ63" s="227">
        <v>7195.93</v>
      </c>
      <c r="BA63" s="227">
        <v>4602.7299999999996</v>
      </c>
      <c r="BB63" s="227">
        <v>35262.370000000003</v>
      </c>
      <c r="BC63" s="227">
        <v>4243.2</v>
      </c>
      <c r="BD63" s="227">
        <v>10768.27</v>
      </c>
      <c r="BE63" s="227">
        <v>75411.740000000005</v>
      </c>
      <c r="BF63" s="227">
        <v>6897.64</v>
      </c>
      <c r="BG63" s="226">
        <v>0</v>
      </c>
      <c r="BH63" s="226">
        <v>1457.7</v>
      </c>
      <c r="BI63" s="226">
        <v>9960.42</v>
      </c>
      <c r="BJ63" s="226">
        <v>2074.71</v>
      </c>
      <c r="BK63" s="226">
        <v>186.94</v>
      </c>
      <c r="BL63" s="226">
        <v>14445</v>
      </c>
      <c r="BM63" s="227">
        <v>0</v>
      </c>
      <c r="BN63" s="227">
        <v>1225.18</v>
      </c>
      <c r="BO63" s="227">
        <v>11490.09</v>
      </c>
      <c r="BP63" s="227">
        <v>19017.3</v>
      </c>
      <c r="BQ63" s="227">
        <v>98807.86</v>
      </c>
      <c r="BR63" s="227">
        <v>42245.5</v>
      </c>
      <c r="BS63" s="227">
        <v>67215.11</v>
      </c>
      <c r="BT63" s="227">
        <v>42040.89</v>
      </c>
      <c r="BU63" s="227">
        <v>0</v>
      </c>
      <c r="BV63" s="334">
        <v>0</v>
      </c>
      <c r="BW63" s="335"/>
      <c r="BX63" s="227">
        <v>0</v>
      </c>
      <c r="BY63" s="227">
        <v>0</v>
      </c>
      <c r="BZ63" s="227">
        <v>0</v>
      </c>
      <c r="CA63" s="227">
        <v>0</v>
      </c>
      <c r="CB63" s="227">
        <v>0</v>
      </c>
      <c r="CC63" s="227">
        <v>0</v>
      </c>
      <c r="CD63" s="227">
        <v>6000</v>
      </c>
      <c r="CE63" s="227">
        <v>0</v>
      </c>
      <c r="CF63" s="227">
        <v>0</v>
      </c>
      <c r="CG63" s="227">
        <v>0</v>
      </c>
      <c r="CH63" s="227">
        <v>0</v>
      </c>
      <c r="CI63" s="226">
        <v>0</v>
      </c>
      <c r="CJ63" s="226">
        <v>0</v>
      </c>
      <c r="CK63" s="226">
        <v>0</v>
      </c>
      <c r="CL63" s="226">
        <v>0</v>
      </c>
      <c r="CM63" s="227">
        <v>0</v>
      </c>
      <c r="CN63" s="227">
        <v>89552</v>
      </c>
      <c r="CO63" s="227">
        <v>0</v>
      </c>
      <c r="CP63" s="227">
        <v>0</v>
      </c>
      <c r="CQ63" s="227">
        <v>0</v>
      </c>
      <c r="CR63" s="227">
        <v>0</v>
      </c>
      <c r="CT63" s="229">
        <f t="shared" si="0"/>
        <v>89552</v>
      </c>
    </row>
    <row r="64" spans="1:98" ht="30">
      <c r="A64" s="226">
        <v>302</v>
      </c>
      <c r="B64" s="226">
        <v>3507</v>
      </c>
      <c r="C64" s="226" t="s">
        <v>338</v>
      </c>
      <c r="D64" s="226" t="s">
        <v>424</v>
      </c>
      <c r="E64" s="226"/>
      <c r="F64" s="226" t="s">
        <v>420</v>
      </c>
      <c r="G64" s="226">
        <v>0</v>
      </c>
      <c r="H64" s="226">
        <v>1</v>
      </c>
      <c r="I64" s="226" t="s">
        <v>472</v>
      </c>
      <c r="J64" s="226" t="s">
        <v>473</v>
      </c>
      <c r="K64" s="226" t="s">
        <v>421</v>
      </c>
      <c r="L64" s="226" t="s">
        <v>422</v>
      </c>
      <c r="M64" s="226" t="s">
        <v>421</v>
      </c>
      <c r="N64" s="226" t="s">
        <v>423</v>
      </c>
      <c r="O64" s="226" t="s">
        <v>171</v>
      </c>
      <c r="P64" s="226" t="s">
        <v>171</v>
      </c>
      <c r="Q64" s="227">
        <v>-405109.03</v>
      </c>
      <c r="R64" s="227">
        <v>0</v>
      </c>
      <c r="S64" s="227">
        <v>0</v>
      </c>
      <c r="T64" s="227">
        <v>913845.08</v>
      </c>
      <c r="U64" s="227">
        <v>0</v>
      </c>
      <c r="V64" s="227">
        <v>111019.6</v>
      </c>
      <c r="W64" s="227">
        <v>0</v>
      </c>
      <c r="X64" s="227">
        <v>51410</v>
      </c>
      <c r="Y64" s="227">
        <v>0</v>
      </c>
      <c r="Z64" s="227">
        <v>46869.66</v>
      </c>
      <c r="AA64" s="227">
        <v>1707.6</v>
      </c>
      <c r="AB64" s="227">
        <v>6653.54</v>
      </c>
      <c r="AC64" s="227">
        <v>786.4</v>
      </c>
      <c r="AD64" s="227">
        <v>0</v>
      </c>
      <c r="AE64" s="227">
        <v>0</v>
      </c>
      <c r="AF64" s="227">
        <v>14054.63</v>
      </c>
      <c r="AG64" s="227">
        <v>5049.1499999999996</v>
      </c>
      <c r="AH64" s="227">
        <v>0</v>
      </c>
      <c r="AI64" s="227">
        <v>0</v>
      </c>
      <c r="AJ64" s="227">
        <v>0</v>
      </c>
      <c r="AK64" s="227">
        <v>3723.13</v>
      </c>
      <c r="AL64" s="227">
        <v>35172</v>
      </c>
      <c r="AM64" s="227">
        <v>618946.6</v>
      </c>
      <c r="AN64" s="227">
        <v>0</v>
      </c>
      <c r="AO64" s="227">
        <v>200733.69</v>
      </c>
      <c r="AP64" s="227">
        <v>39051.81</v>
      </c>
      <c r="AQ64" s="227">
        <v>51246.74</v>
      </c>
      <c r="AR64" s="227">
        <v>0</v>
      </c>
      <c r="AS64" s="227">
        <v>25262.35</v>
      </c>
      <c r="AT64" s="227">
        <v>1552</v>
      </c>
      <c r="AU64" s="227">
        <v>1841.2</v>
      </c>
      <c r="AV64" s="227">
        <v>265.60000000000002</v>
      </c>
      <c r="AW64" s="227">
        <v>0</v>
      </c>
      <c r="AX64" s="227">
        <v>13200.72</v>
      </c>
      <c r="AY64" s="227">
        <v>4640.51</v>
      </c>
      <c r="AZ64" s="227">
        <v>22892.51</v>
      </c>
      <c r="BA64" s="227">
        <v>2862.28</v>
      </c>
      <c r="BB64" s="227">
        <v>24843.33</v>
      </c>
      <c r="BC64" s="227">
        <v>4617.6000000000004</v>
      </c>
      <c r="BD64" s="227">
        <v>7751.29</v>
      </c>
      <c r="BE64" s="227">
        <v>42978.02</v>
      </c>
      <c r="BF64" s="227">
        <v>11172.59</v>
      </c>
      <c r="BG64" s="226">
        <v>0</v>
      </c>
      <c r="BH64" s="226">
        <v>10840.2</v>
      </c>
      <c r="BI64" s="226">
        <v>830</v>
      </c>
      <c r="BJ64" s="226">
        <v>7728.6</v>
      </c>
      <c r="BK64" s="226">
        <v>0</v>
      </c>
      <c r="BL64" s="226">
        <v>8600</v>
      </c>
      <c r="BM64" s="227">
        <v>0</v>
      </c>
      <c r="BN64" s="227">
        <v>2839.36</v>
      </c>
      <c r="BO64" s="227">
        <v>2542.4</v>
      </c>
      <c r="BP64" s="227">
        <v>12116.98</v>
      </c>
      <c r="BQ64" s="227">
        <v>58650.93</v>
      </c>
      <c r="BR64" s="227">
        <v>0</v>
      </c>
      <c r="BS64" s="227">
        <v>310798.71000000002</v>
      </c>
      <c r="BT64" s="227">
        <v>24637.7</v>
      </c>
      <c r="BU64" s="227">
        <v>4375.9799999999996</v>
      </c>
      <c r="BV64" s="334">
        <v>0</v>
      </c>
      <c r="BW64" s="335"/>
      <c r="BX64" s="227">
        <v>0</v>
      </c>
      <c r="BY64" s="227">
        <v>0</v>
      </c>
      <c r="BZ64" s="227">
        <v>0</v>
      </c>
      <c r="CA64" s="227">
        <v>0</v>
      </c>
      <c r="CB64" s="227">
        <v>0</v>
      </c>
      <c r="CC64" s="227">
        <v>0</v>
      </c>
      <c r="CD64" s="227">
        <v>6000</v>
      </c>
      <c r="CE64" s="227">
        <v>0</v>
      </c>
      <c r="CF64" s="227">
        <v>0</v>
      </c>
      <c r="CG64" s="227">
        <v>0</v>
      </c>
      <c r="CH64" s="227">
        <v>0</v>
      </c>
      <c r="CI64" s="226">
        <v>0</v>
      </c>
      <c r="CJ64" s="226">
        <v>0</v>
      </c>
      <c r="CK64" s="226">
        <v>0</v>
      </c>
      <c r="CL64" s="226">
        <v>0</v>
      </c>
      <c r="CM64" s="227">
        <v>0</v>
      </c>
      <c r="CN64" s="227">
        <v>-732637.94</v>
      </c>
      <c r="CO64" s="227">
        <v>0</v>
      </c>
      <c r="CP64" s="227">
        <v>0</v>
      </c>
      <c r="CQ64" s="227">
        <v>0</v>
      </c>
      <c r="CR64" s="227">
        <v>0</v>
      </c>
      <c r="CT64" s="229">
        <f t="shared" si="0"/>
        <v>-732637.94</v>
      </c>
    </row>
    <row r="65" spans="1:98" ht="15">
      <c r="A65" s="226">
        <v>302</v>
      </c>
      <c r="B65" s="226">
        <v>3509</v>
      </c>
      <c r="C65" s="226" t="s">
        <v>326</v>
      </c>
      <c r="D65" s="226" t="s">
        <v>424</v>
      </c>
      <c r="E65" s="226"/>
      <c r="F65" s="226" t="s">
        <v>420</v>
      </c>
      <c r="G65" s="226">
        <v>0</v>
      </c>
      <c r="H65" s="226">
        <v>1</v>
      </c>
      <c r="I65" s="226" t="s">
        <v>472</v>
      </c>
      <c r="J65" s="226" t="s">
        <v>473</v>
      </c>
      <c r="K65" s="226" t="s">
        <v>421</v>
      </c>
      <c r="L65" s="226" t="s">
        <v>422</v>
      </c>
      <c r="M65" s="226" t="s">
        <v>421</v>
      </c>
      <c r="N65" s="226" t="s">
        <v>423</v>
      </c>
      <c r="O65" s="226" t="s">
        <v>171</v>
      </c>
      <c r="P65" s="226" t="s">
        <v>171</v>
      </c>
      <c r="Q65" s="227">
        <v>-697085.94</v>
      </c>
      <c r="R65" s="227">
        <v>0</v>
      </c>
      <c r="S65" s="227">
        <v>0</v>
      </c>
      <c r="T65" s="227">
        <v>2694687.59</v>
      </c>
      <c r="U65" s="227">
        <v>0</v>
      </c>
      <c r="V65" s="227">
        <v>234474.98</v>
      </c>
      <c r="W65" s="227">
        <v>0</v>
      </c>
      <c r="X65" s="227">
        <v>153920</v>
      </c>
      <c r="Y65" s="227">
        <v>2700</v>
      </c>
      <c r="Z65" s="227">
        <v>124003.37</v>
      </c>
      <c r="AA65" s="227">
        <v>13563.64</v>
      </c>
      <c r="AB65" s="227">
        <v>21297.81</v>
      </c>
      <c r="AC65" s="227">
        <v>2014.97</v>
      </c>
      <c r="AD65" s="227">
        <v>0</v>
      </c>
      <c r="AE65" s="227">
        <v>0</v>
      </c>
      <c r="AF65" s="227">
        <v>36959.35</v>
      </c>
      <c r="AG65" s="227">
        <v>2392.1999999999998</v>
      </c>
      <c r="AH65" s="227">
        <v>0</v>
      </c>
      <c r="AI65" s="227">
        <v>0</v>
      </c>
      <c r="AJ65" s="227">
        <v>0</v>
      </c>
      <c r="AK65" s="227">
        <v>0</v>
      </c>
      <c r="AL65" s="227">
        <v>113280.13</v>
      </c>
      <c r="AM65" s="227">
        <v>1362669.47</v>
      </c>
      <c r="AN65" s="227">
        <v>0</v>
      </c>
      <c r="AO65" s="227">
        <v>628014.88</v>
      </c>
      <c r="AP65" s="227">
        <v>147022.6</v>
      </c>
      <c r="AQ65" s="227">
        <v>123267.18</v>
      </c>
      <c r="AR65" s="227">
        <v>0</v>
      </c>
      <c r="AS65" s="227">
        <v>81788.3</v>
      </c>
      <c r="AT65" s="227">
        <v>9491.7800000000007</v>
      </c>
      <c r="AU65" s="227">
        <v>9198.2000000000007</v>
      </c>
      <c r="AV65" s="227">
        <v>735.4</v>
      </c>
      <c r="AW65" s="227">
        <v>0</v>
      </c>
      <c r="AX65" s="227">
        <v>30498.45</v>
      </c>
      <c r="AY65" s="227">
        <v>225</v>
      </c>
      <c r="AZ65" s="227">
        <v>2835.92</v>
      </c>
      <c r="BA65" s="227">
        <v>8649.14</v>
      </c>
      <c r="BB65" s="227">
        <v>83764.19</v>
      </c>
      <c r="BC65" s="227">
        <v>14476.8</v>
      </c>
      <c r="BD65" s="227">
        <v>21538.84</v>
      </c>
      <c r="BE65" s="227">
        <v>105885.36</v>
      </c>
      <c r="BF65" s="227">
        <v>14044.71</v>
      </c>
      <c r="BG65" s="226">
        <v>0</v>
      </c>
      <c r="BH65" s="226">
        <v>0</v>
      </c>
      <c r="BI65" s="226">
        <v>0</v>
      </c>
      <c r="BJ65" s="226">
        <v>0</v>
      </c>
      <c r="BK65" s="226">
        <v>0</v>
      </c>
      <c r="BL65" s="226">
        <v>0</v>
      </c>
      <c r="BM65" s="227">
        <v>0</v>
      </c>
      <c r="BN65" s="227">
        <v>17343.28</v>
      </c>
      <c r="BO65" s="227">
        <v>7039.25</v>
      </c>
      <c r="BP65" s="227">
        <v>5889.11</v>
      </c>
      <c r="BQ65" s="227">
        <v>170559.64</v>
      </c>
      <c r="BR65" s="227">
        <v>154507.20000000001</v>
      </c>
      <c r="BS65" s="227">
        <v>286744.36</v>
      </c>
      <c r="BT65" s="227">
        <v>40932.04</v>
      </c>
      <c r="BU65" s="227">
        <v>0</v>
      </c>
      <c r="BV65" s="334">
        <v>0</v>
      </c>
      <c r="BW65" s="335"/>
      <c r="BX65" s="227">
        <v>0</v>
      </c>
      <c r="BY65" s="227">
        <v>0</v>
      </c>
      <c r="BZ65" s="227">
        <v>0</v>
      </c>
      <c r="CA65" s="227">
        <v>0</v>
      </c>
      <c r="CB65" s="227">
        <v>0</v>
      </c>
      <c r="CC65" s="227">
        <v>0</v>
      </c>
      <c r="CD65" s="227">
        <v>6000</v>
      </c>
      <c r="CE65" s="227">
        <v>0</v>
      </c>
      <c r="CF65" s="227">
        <v>0</v>
      </c>
      <c r="CG65" s="227">
        <v>0</v>
      </c>
      <c r="CH65" s="227">
        <v>0</v>
      </c>
      <c r="CI65" s="226">
        <v>0</v>
      </c>
      <c r="CJ65" s="226">
        <v>0</v>
      </c>
      <c r="CK65" s="226">
        <v>0</v>
      </c>
      <c r="CL65" s="226">
        <v>0</v>
      </c>
      <c r="CM65" s="227">
        <v>0</v>
      </c>
      <c r="CN65" s="227">
        <v>-624913</v>
      </c>
      <c r="CO65" s="227">
        <v>0</v>
      </c>
      <c r="CP65" s="227">
        <v>0</v>
      </c>
      <c r="CQ65" s="227">
        <v>0</v>
      </c>
      <c r="CR65" s="227">
        <v>0</v>
      </c>
      <c r="CT65" s="229">
        <f t="shared" si="0"/>
        <v>-624913</v>
      </c>
    </row>
    <row r="66" spans="1:98" ht="30">
      <c r="A66" s="226">
        <v>302</v>
      </c>
      <c r="B66" s="226">
        <v>3510</v>
      </c>
      <c r="C66" s="226" t="s">
        <v>256</v>
      </c>
      <c r="D66" s="226" t="s">
        <v>424</v>
      </c>
      <c r="E66" s="226"/>
      <c r="F66" s="226" t="s">
        <v>420</v>
      </c>
      <c r="G66" s="226">
        <v>0</v>
      </c>
      <c r="H66" s="226">
        <v>0</v>
      </c>
      <c r="I66" s="226" t="s">
        <v>472</v>
      </c>
      <c r="J66" s="226" t="s">
        <v>473</v>
      </c>
      <c r="K66" s="226" t="s">
        <v>421</v>
      </c>
      <c r="L66" s="226" t="s">
        <v>422</v>
      </c>
      <c r="M66" s="226" t="s">
        <v>421</v>
      </c>
      <c r="N66" s="226" t="s">
        <v>423</v>
      </c>
      <c r="O66" s="226" t="s">
        <v>171</v>
      </c>
      <c r="P66" s="226" t="s">
        <v>171</v>
      </c>
      <c r="Q66" s="227">
        <v>255603.01</v>
      </c>
      <c r="R66" s="227">
        <v>0</v>
      </c>
      <c r="S66" s="227">
        <v>0</v>
      </c>
      <c r="T66" s="227">
        <v>2134664.06</v>
      </c>
      <c r="U66" s="227">
        <v>0</v>
      </c>
      <c r="V66" s="227">
        <v>50186.33</v>
      </c>
      <c r="W66" s="227">
        <v>0</v>
      </c>
      <c r="X66" s="227">
        <v>85734</v>
      </c>
      <c r="Y66" s="227">
        <v>7029.61</v>
      </c>
      <c r="Z66" s="227">
        <v>104590.98</v>
      </c>
      <c r="AA66" s="227">
        <v>17270</v>
      </c>
      <c r="AB66" s="227">
        <v>3844.88</v>
      </c>
      <c r="AC66" s="227">
        <v>512.91999999999996</v>
      </c>
      <c r="AD66" s="227">
        <v>0</v>
      </c>
      <c r="AE66" s="227">
        <v>210</v>
      </c>
      <c r="AF66" s="227">
        <v>40438.050000000003</v>
      </c>
      <c r="AG66" s="227">
        <v>16410.310000000001</v>
      </c>
      <c r="AH66" s="227">
        <v>0</v>
      </c>
      <c r="AI66" s="227">
        <v>0</v>
      </c>
      <c r="AJ66" s="227">
        <v>0</v>
      </c>
      <c r="AK66" s="227">
        <v>3315.63</v>
      </c>
      <c r="AL66" s="227">
        <v>73077.5</v>
      </c>
      <c r="AM66" s="227">
        <v>1349519.96</v>
      </c>
      <c r="AN66" s="227">
        <v>0</v>
      </c>
      <c r="AO66" s="227">
        <v>399018.33</v>
      </c>
      <c r="AP66" s="227">
        <v>35019.67</v>
      </c>
      <c r="AQ66" s="227">
        <v>107329.47</v>
      </c>
      <c r="AR66" s="227">
        <v>0</v>
      </c>
      <c r="AS66" s="227">
        <v>0</v>
      </c>
      <c r="AT66" s="227">
        <v>12000.7</v>
      </c>
      <c r="AU66" s="227">
        <v>5115.1000000000004</v>
      </c>
      <c r="AV66" s="227">
        <v>675.62</v>
      </c>
      <c r="AW66" s="227">
        <v>0</v>
      </c>
      <c r="AX66" s="227">
        <v>12966.66</v>
      </c>
      <c r="AY66" s="227">
        <v>2937.53</v>
      </c>
      <c r="AZ66" s="227">
        <v>35825.57</v>
      </c>
      <c r="BA66" s="227">
        <v>1740.81</v>
      </c>
      <c r="BB66" s="227">
        <v>49460.57</v>
      </c>
      <c r="BC66" s="227">
        <v>5834.4</v>
      </c>
      <c r="BD66" s="227">
        <v>12884.13</v>
      </c>
      <c r="BE66" s="227">
        <v>131140.71</v>
      </c>
      <c r="BF66" s="227">
        <v>8704.94</v>
      </c>
      <c r="BG66" s="226">
        <v>0</v>
      </c>
      <c r="BH66" s="226">
        <v>1858</v>
      </c>
      <c r="BI66" s="226">
        <v>9206.84</v>
      </c>
      <c r="BJ66" s="226">
        <v>2309.17</v>
      </c>
      <c r="BK66" s="226">
        <v>4791.7299999999996</v>
      </c>
      <c r="BL66" s="226">
        <v>3778.92</v>
      </c>
      <c r="BM66" s="227">
        <v>0</v>
      </c>
      <c r="BN66" s="227">
        <v>10550.4</v>
      </c>
      <c r="BO66" s="227">
        <v>16642.23</v>
      </c>
      <c r="BP66" s="227">
        <v>2880.6</v>
      </c>
      <c r="BQ66" s="227">
        <v>164610.87</v>
      </c>
      <c r="BR66" s="227">
        <v>32904.910000000003</v>
      </c>
      <c r="BS66" s="227">
        <v>136936.60999999999</v>
      </c>
      <c r="BT66" s="227">
        <v>39930.83</v>
      </c>
      <c r="BU66" s="227">
        <v>0</v>
      </c>
      <c r="BV66" s="334">
        <v>0</v>
      </c>
      <c r="BW66" s="335"/>
      <c r="BX66" s="227">
        <v>0</v>
      </c>
      <c r="BY66" s="227">
        <v>0</v>
      </c>
      <c r="BZ66" s="227">
        <v>0</v>
      </c>
      <c r="CA66" s="227">
        <v>0</v>
      </c>
      <c r="CB66" s="227">
        <v>0</v>
      </c>
      <c r="CC66" s="227">
        <v>0</v>
      </c>
      <c r="CD66" s="227">
        <v>6000</v>
      </c>
      <c r="CE66" s="227">
        <v>0</v>
      </c>
      <c r="CF66" s="227">
        <v>0</v>
      </c>
      <c r="CG66" s="227">
        <v>0</v>
      </c>
      <c r="CH66" s="227">
        <v>0</v>
      </c>
      <c r="CI66" s="226">
        <v>0</v>
      </c>
      <c r="CJ66" s="226">
        <v>0</v>
      </c>
      <c r="CK66" s="226">
        <v>0</v>
      </c>
      <c r="CL66" s="226">
        <v>0</v>
      </c>
      <c r="CM66" s="227">
        <v>71315</v>
      </c>
      <c r="CN66" s="227">
        <v>124997</v>
      </c>
      <c r="CO66" s="227">
        <v>0</v>
      </c>
      <c r="CP66" s="227">
        <v>0</v>
      </c>
      <c r="CQ66" s="227">
        <v>0</v>
      </c>
      <c r="CR66" s="227">
        <v>0</v>
      </c>
      <c r="CT66" s="229">
        <f t="shared" si="0"/>
        <v>196312</v>
      </c>
    </row>
    <row r="67" spans="1:98" ht="30">
      <c r="A67" s="226">
        <v>302</v>
      </c>
      <c r="B67" s="226">
        <v>3511</v>
      </c>
      <c r="C67" s="226" t="s">
        <v>347</v>
      </c>
      <c r="D67" s="226" t="s">
        <v>424</v>
      </c>
      <c r="E67" s="226"/>
      <c r="F67" s="226" t="s">
        <v>420</v>
      </c>
      <c r="G67" s="226">
        <v>0</v>
      </c>
      <c r="H67" s="226">
        <v>0</v>
      </c>
      <c r="I67" s="226" t="s">
        <v>472</v>
      </c>
      <c r="J67" s="226" t="s">
        <v>473</v>
      </c>
      <c r="K67" s="226" t="s">
        <v>421</v>
      </c>
      <c r="L67" s="226" t="s">
        <v>422</v>
      </c>
      <c r="M67" s="226" t="s">
        <v>421</v>
      </c>
      <c r="N67" s="226" t="s">
        <v>423</v>
      </c>
      <c r="O67" s="226" t="s">
        <v>171</v>
      </c>
      <c r="P67" s="226" t="s">
        <v>171</v>
      </c>
      <c r="Q67" s="227">
        <v>295856.69</v>
      </c>
      <c r="R67" s="227">
        <v>0</v>
      </c>
      <c r="S67" s="227">
        <v>0</v>
      </c>
      <c r="T67" s="227">
        <v>2620266.91</v>
      </c>
      <c r="U67" s="227">
        <v>0</v>
      </c>
      <c r="V67" s="227">
        <v>144975.82999999999</v>
      </c>
      <c r="W67" s="227">
        <v>0</v>
      </c>
      <c r="X67" s="227">
        <v>129390</v>
      </c>
      <c r="Y67" s="227">
        <v>8829.61</v>
      </c>
      <c r="Z67" s="227">
        <v>91699.93</v>
      </c>
      <c r="AA67" s="227">
        <v>0</v>
      </c>
      <c r="AB67" s="227">
        <v>57683.7</v>
      </c>
      <c r="AC67" s="227">
        <v>1132.18</v>
      </c>
      <c r="AD67" s="227">
        <v>3000</v>
      </c>
      <c r="AE67" s="227">
        <v>0</v>
      </c>
      <c r="AF67" s="227">
        <v>73642.22</v>
      </c>
      <c r="AG67" s="227">
        <v>7422.84</v>
      </c>
      <c r="AH67" s="227">
        <v>0</v>
      </c>
      <c r="AI67" s="227">
        <v>0</v>
      </c>
      <c r="AJ67" s="227">
        <v>0</v>
      </c>
      <c r="AK67" s="227">
        <v>2875.63</v>
      </c>
      <c r="AL67" s="227">
        <v>75161</v>
      </c>
      <c r="AM67" s="227">
        <v>1251689.79</v>
      </c>
      <c r="AN67" s="227">
        <v>5997.23</v>
      </c>
      <c r="AO67" s="227">
        <v>626409.68000000005</v>
      </c>
      <c r="AP67" s="227">
        <v>50980.47</v>
      </c>
      <c r="AQ67" s="227">
        <v>171270.18</v>
      </c>
      <c r="AR67" s="227">
        <v>0</v>
      </c>
      <c r="AS67" s="227">
        <v>13899.74</v>
      </c>
      <c r="AT67" s="227">
        <v>2518.44</v>
      </c>
      <c r="AU67" s="227">
        <v>8521.82</v>
      </c>
      <c r="AV67" s="227">
        <v>12816.84</v>
      </c>
      <c r="AW67" s="227">
        <v>0</v>
      </c>
      <c r="AX67" s="227">
        <v>21826.38</v>
      </c>
      <c r="AY67" s="227">
        <v>7775.83</v>
      </c>
      <c r="AZ67" s="227">
        <v>61088.38</v>
      </c>
      <c r="BA67" s="227">
        <v>750.5</v>
      </c>
      <c r="BB67" s="227">
        <v>29117.91</v>
      </c>
      <c r="BC67" s="227">
        <v>5023.2</v>
      </c>
      <c r="BD67" s="227">
        <v>13698.92</v>
      </c>
      <c r="BE67" s="227">
        <v>113166.15</v>
      </c>
      <c r="BF67" s="227">
        <v>9345.17</v>
      </c>
      <c r="BG67" s="226">
        <v>0</v>
      </c>
      <c r="BH67" s="226">
        <v>14430.09</v>
      </c>
      <c r="BI67" s="226">
        <v>16896.099999999999</v>
      </c>
      <c r="BJ67" s="226">
        <v>0</v>
      </c>
      <c r="BK67" s="226">
        <v>1851.29</v>
      </c>
      <c r="BL67" s="226">
        <v>14119.8</v>
      </c>
      <c r="BM67" s="227">
        <v>0</v>
      </c>
      <c r="BN67" s="227">
        <v>7325.15</v>
      </c>
      <c r="BO67" s="227">
        <v>17615.96</v>
      </c>
      <c r="BP67" s="227">
        <v>66704.17</v>
      </c>
      <c r="BQ67" s="227">
        <v>175991.4</v>
      </c>
      <c r="BR67" s="227">
        <v>209871.69</v>
      </c>
      <c r="BS67" s="227">
        <v>279655.3</v>
      </c>
      <c r="BT67" s="227">
        <v>28583.96</v>
      </c>
      <c r="BU67" s="227">
        <v>0</v>
      </c>
      <c r="BV67" s="334">
        <v>0</v>
      </c>
      <c r="BW67" s="335"/>
      <c r="BX67" s="227">
        <v>0</v>
      </c>
      <c r="BY67" s="227">
        <v>0</v>
      </c>
      <c r="BZ67" s="227">
        <v>0</v>
      </c>
      <c r="CA67" s="227">
        <v>0</v>
      </c>
      <c r="CB67" s="227">
        <v>0</v>
      </c>
      <c r="CC67" s="227">
        <v>0</v>
      </c>
      <c r="CD67" s="227">
        <v>6000</v>
      </c>
      <c r="CE67" s="227">
        <v>0</v>
      </c>
      <c r="CF67" s="227">
        <v>0</v>
      </c>
      <c r="CG67" s="227">
        <v>0</v>
      </c>
      <c r="CH67" s="227">
        <v>0</v>
      </c>
      <c r="CI67" s="226">
        <v>0</v>
      </c>
      <c r="CJ67" s="226">
        <v>0</v>
      </c>
      <c r="CK67" s="226">
        <v>0</v>
      </c>
      <c r="CL67" s="226">
        <v>0</v>
      </c>
      <c r="CM67" s="227">
        <v>0</v>
      </c>
      <c r="CN67" s="227">
        <v>272995</v>
      </c>
      <c r="CO67" s="227">
        <v>0</v>
      </c>
      <c r="CP67" s="227">
        <v>0</v>
      </c>
      <c r="CQ67" s="227">
        <v>0</v>
      </c>
      <c r="CR67" s="227">
        <v>0</v>
      </c>
      <c r="CT67" s="229">
        <f t="shared" si="0"/>
        <v>272995</v>
      </c>
    </row>
    <row r="68" spans="1:98" ht="15">
      <c r="A68" s="226">
        <v>302</v>
      </c>
      <c r="B68" s="226">
        <v>3512</v>
      </c>
      <c r="C68" s="226" t="s">
        <v>255</v>
      </c>
      <c r="D68" s="226" t="s">
        <v>424</v>
      </c>
      <c r="E68" s="226"/>
      <c r="F68" s="226" t="s">
        <v>420</v>
      </c>
      <c r="G68" s="226">
        <v>0</v>
      </c>
      <c r="H68" s="226">
        <v>1</v>
      </c>
      <c r="I68" s="226" t="s">
        <v>472</v>
      </c>
      <c r="J68" s="226" t="s">
        <v>473</v>
      </c>
      <c r="K68" s="226" t="s">
        <v>421</v>
      </c>
      <c r="L68" s="226" t="s">
        <v>422</v>
      </c>
      <c r="M68" s="226" t="s">
        <v>421</v>
      </c>
      <c r="N68" s="226" t="s">
        <v>423</v>
      </c>
      <c r="O68" s="226" t="s">
        <v>171</v>
      </c>
      <c r="P68" s="226" t="s">
        <v>171</v>
      </c>
      <c r="Q68" s="227">
        <v>-4910.74</v>
      </c>
      <c r="R68" s="227">
        <v>0</v>
      </c>
      <c r="S68" s="227">
        <v>0</v>
      </c>
      <c r="T68" s="227">
        <v>1986564</v>
      </c>
      <c r="U68" s="227">
        <v>0</v>
      </c>
      <c r="V68" s="227">
        <v>54404</v>
      </c>
      <c r="W68" s="227">
        <v>0</v>
      </c>
      <c r="X68" s="227">
        <v>11765</v>
      </c>
      <c r="Y68" s="227">
        <v>4174</v>
      </c>
      <c r="Z68" s="227">
        <v>160629</v>
      </c>
      <c r="AA68" s="227">
        <v>6220</v>
      </c>
      <c r="AB68" s="227">
        <v>51761</v>
      </c>
      <c r="AC68" s="227">
        <v>50681.64</v>
      </c>
      <c r="AD68" s="227">
        <v>1212</v>
      </c>
      <c r="AE68" s="227">
        <v>0</v>
      </c>
      <c r="AF68" s="227">
        <v>168657</v>
      </c>
      <c r="AG68" s="227">
        <v>405050</v>
      </c>
      <c r="AH68" s="227">
        <v>0</v>
      </c>
      <c r="AI68" s="227">
        <v>0</v>
      </c>
      <c r="AJ68" s="227">
        <v>0</v>
      </c>
      <c r="AK68" s="227">
        <v>527</v>
      </c>
      <c r="AL68" s="227">
        <v>95116.62</v>
      </c>
      <c r="AM68" s="227">
        <v>1394407.15</v>
      </c>
      <c r="AN68" s="227">
        <v>31037</v>
      </c>
      <c r="AO68" s="227">
        <v>377798</v>
      </c>
      <c r="AP68" s="227">
        <v>78235</v>
      </c>
      <c r="AQ68" s="227">
        <v>210512</v>
      </c>
      <c r="AR68" s="227">
        <v>0</v>
      </c>
      <c r="AS68" s="227">
        <v>44263</v>
      </c>
      <c r="AT68" s="227">
        <v>4437</v>
      </c>
      <c r="AU68" s="227">
        <v>1901</v>
      </c>
      <c r="AV68" s="227">
        <v>10233</v>
      </c>
      <c r="AW68" s="227">
        <v>0</v>
      </c>
      <c r="AX68" s="227">
        <v>33507</v>
      </c>
      <c r="AY68" s="227">
        <v>0</v>
      </c>
      <c r="AZ68" s="227">
        <v>54853</v>
      </c>
      <c r="BA68" s="227">
        <v>3579</v>
      </c>
      <c r="BB68" s="227">
        <v>63076</v>
      </c>
      <c r="BC68" s="227">
        <v>15600</v>
      </c>
      <c r="BD68" s="227">
        <v>50764</v>
      </c>
      <c r="BE68" s="227">
        <v>87339</v>
      </c>
      <c r="BF68" s="227">
        <v>8306</v>
      </c>
      <c r="BG68" s="226">
        <v>0</v>
      </c>
      <c r="BH68" s="226">
        <v>0</v>
      </c>
      <c r="BI68" s="226">
        <v>6956</v>
      </c>
      <c r="BJ68" s="226">
        <v>3762</v>
      </c>
      <c r="BK68" s="226">
        <v>5252</v>
      </c>
      <c r="BL68" s="226">
        <v>14932</v>
      </c>
      <c r="BM68" s="227">
        <v>0</v>
      </c>
      <c r="BN68" s="227">
        <v>13028</v>
      </c>
      <c r="BO68" s="227">
        <v>14720</v>
      </c>
      <c r="BP68" s="227">
        <v>13091</v>
      </c>
      <c r="BQ68" s="227">
        <v>218392</v>
      </c>
      <c r="BR68" s="227">
        <v>41411</v>
      </c>
      <c r="BS68" s="227">
        <v>191751</v>
      </c>
      <c r="BT68" s="227">
        <v>28622</v>
      </c>
      <c r="BU68" s="227">
        <v>0</v>
      </c>
      <c r="BV68" s="334">
        <v>0</v>
      </c>
      <c r="BW68" s="335"/>
      <c r="BX68" s="227">
        <v>0</v>
      </c>
      <c r="BY68" s="227">
        <v>0</v>
      </c>
      <c r="BZ68" s="227">
        <v>0</v>
      </c>
      <c r="CA68" s="227">
        <v>0</v>
      </c>
      <c r="CB68" s="227">
        <v>0</v>
      </c>
      <c r="CC68" s="227">
        <v>0</v>
      </c>
      <c r="CD68" s="227">
        <v>6000</v>
      </c>
      <c r="CE68" s="227">
        <v>0</v>
      </c>
      <c r="CF68" s="227">
        <v>0</v>
      </c>
      <c r="CG68" s="227">
        <v>0</v>
      </c>
      <c r="CH68" s="227">
        <v>0</v>
      </c>
      <c r="CI68" s="226">
        <v>0</v>
      </c>
      <c r="CJ68" s="226">
        <v>0</v>
      </c>
      <c r="CK68" s="226">
        <v>0</v>
      </c>
      <c r="CL68" s="226">
        <v>0</v>
      </c>
      <c r="CM68" s="227">
        <v>27647.37</v>
      </c>
      <c r="CN68" s="227">
        <v>-57561</v>
      </c>
      <c r="CO68" s="227">
        <v>0</v>
      </c>
      <c r="CP68" s="227">
        <v>0</v>
      </c>
      <c r="CQ68" s="227">
        <v>0</v>
      </c>
      <c r="CR68" s="227">
        <v>0</v>
      </c>
      <c r="CT68" s="229">
        <f t="shared" si="0"/>
        <v>-29913.63</v>
      </c>
    </row>
    <row r="69" spans="1:98" ht="15">
      <c r="A69" s="226">
        <v>302</v>
      </c>
      <c r="B69" s="226">
        <v>3513</v>
      </c>
      <c r="C69" s="226" t="s">
        <v>455</v>
      </c>
      <c r="D69" s="226" t="s">
        <v>418</v>
      </c>
      <c r="E69" s="226" t="s">
        <v>456</v>
      </c>
      <c r="F69" s="226" t="s">
        <v>420</v>
      </c>
      <c r="G69" s="226">
        <v>0</v>
      </c>
      <c r="H69" s="226">
        <v>3</v>
      </c>
      <c r="I69" s="226" t="s">
        <v>472</v>
      </c>
      <c r="J69" s="226" t="s">
        <v>473</v>
      </c>
      <c r="K69" s="226" t="s">
        <v>421</v>
      </c>
      <c r="L69" s="226" t="s">
        <v>422</v>
      </c>
      <c r="M69" s="226" t="s">
        <v>421</v>
      </c>
      <c r="N69" s="226" t="s">
        <v>423</v>
      </c>
      <c r="O69" s="226" t="s">
        <v>171</v>
      </c>
      <c r="P69" s="226" t="s">
        <v>171</v>
      </c>
      <c r="Q69" s="227">
        <v>65897.58</v>
      </c>
      <c r="R69" s="227">
        <v>0</v>
      </c>
      <c r="S69" s="227">
        <v>0</v>
      </c>
      <c r="T69" s="227">
        <v>2213674.0299999998</v>
      </c>
      <c r="U69" s="227">
        <v>0</v>
      </c>
      <c r="V69" s="227">
        <v>83898.67</v>
      </c>
      <c r="W69" s="227">
        <v>0</v>
      </c>
      <c r="X69" s="227">
        <v>11087.5</v>
      </c>
      <c r="Y69" s="227">
        <v>83739.53</v>
      </c>
      <c r="Z69" s="227">
        <v>176131.05</v>
      </c>
      <c r="AA69" s="227">
        <v>0</v>
      </c>
      <c r="AB69" s="227">
        <v>1529.56</v>
      </c>
      <c r="AC69" s="227">
        <v>46286.9</v>
      </c>
      <c r="AD69" s="227">
        <v>0</v>
      </c>
      <c r="AE69" s="227">
        <v>0</v>
      </c>
      <c r="AF69" s="227">
        <v>33980.81</v>
      </c>
      <c r="AG69" s="227">
        <v>225281.57</v>
      </c>
      <c r="AH69" s="227">
        <v>0</v>
      </c>
      <c r="AI69" s="227">
        <v>0</v>
      </c>
      <c r="AJ69" s="227">
        <v>0</v>
      </c>
      <c r="AK69" s="227">
        <v>1281.25</v>
      </c>
      <c r="AL69" s="227">
        <v>95942</v>
      </c>
      <c r="AM69" s="227">
        <v>1610007.93</v>
      </c>
      <c r="AN69" s="227">
        <v>0</v>
      </c>
      <c r="AO69" s="227">
        <v>204555.25</v>
      </c>
      <c r="AP69" s="227">
        <v>39496.519999999997</v>
      </c>
      <c r="AQ69" s="227">
        <v>110428.04</v>
      </c>
      <c r="AR69" s="227">
        <v>0</v>
      </c>
      <c r="AS69" s="227">
        <v>69633.009999999995</v>
      </c>
      <c r="AT69" s="227">
        <v>1988.05</v>
      </c>
      <c r="AU69" s="227">
        <v>2370</v>
      </c>
      <c r="AV69" s="227">
        <v>625.82000000000005</v>
      </c>
      <c r="AW69" s="227">
        <v>0</v>
      </c>
      <c r="AX69" s="227">
        <v>12051.66</v>
      </c>
      <c r="AY69" s="227">
        <v>0</v>
      </c>
      <c r="AZ69" s="227">
        <v>42296.36</v>
      </c>
      <c r="BA69" s="227">
        <v>6967.03</v>
      </c>
      <c r="BB69" s="227">
        <v>74312.34</v>
      </c>
      <c r="BC69" s="227">
        <v>5771.86</v>
      </c>
      <c r="BD69" s="227">
        <v>103849.16</v>
      </c>
      <c r="BE69" s="227">
        <v>115036.91</v>
      </c>
      <c r="BF69" s="227">
        <v>6502.22</v>
      </c>
      <c r="BG69" s="226">
        <v>0</v>
      </c>
      <c r="BH69" s="226">
        <v>165.99</v>
      </c>
      <c r="BI69" s="226">
        <v>5344.76</v>
      </c>
      <c r="BJ69" s="226">
        <v>0</v>
      </c>
      <c r="BK69" s="226">
        <v>179.57</v>
      </c>
      <c r="BL69" s="226">
        <v>0</v>
      </c>
      <c r="BM69" s="227">
        <v>0</v>
      </c>
      <c r="BN69" s="227">
        <v>15159.09</v>
      </c>
      <c r="BO69" s="227">
        <v>5990.53</v>
      </c>
      <c r="BP69" s="227">
        <v>46131.88</v>
      </c>
      <c r="BQ69" s="227">
        <v>222633.33</v>
      </c>
      <c r="BR69" s="227">
        <v>0</v>
      </c>
      <c r="BS69" s="227">
        <v>412737.1</v>
      </c>
      <c r="BT69" s="227">
        <v>27576.04</v>
      </c>
      <c r="BU69" s="227">
        <v>0</v>
      </c>
      <c r="BV69" s="334">
        <v>0</v>
      </c>
      <c r="BW69" s="335"/>
      <c r="BX69" s="227">
        <v>0</v>
      </c>
      <c r="BY69" s="227">
        <v>0</v>
      </c>
      <c r="BZ69" s="227">
        <v>0</v>
      </c>
      <c r="CA69" s="227">
        <v>0</v>
      </c>
      <c r="CB69" s="227">
        <v>0</v>
      </c>
      <c r="CC69" s="227">
        <v>0</v>
      </c>
      <c r="CD69" s="227">
        <v>6000</v>
      </c>
      <c r="CE69" s="227">
        <v>0</v>
      </c>
      <c r="CF69" s="227">
        <v>0</v>
      </c>
      <c r="CG69" s="227">
        <v>0</v>
      </c>
      <c r="CH69" s="227">
        <v>0</v>
      </c>
      <c r="CI69" s="226">
        <v>0</v>
      </c>
      <c r="CJ69" s="226">
        <v>0</v>
      </c>
      <c r="CK69" s="226">
        <v>0</v>
      </c>
      <c r="CL69" s="226">
        <v>0</v>
      </c>
      <c r="CM69" s="227">
        <v>0</v>
      </c>
      <c r="CN69" s="227">
        <v>-103080</v>
      </c>
      <c r="CO69" s="227">
        <v>0</v>
      </c>
      <c r="CP69" s="227">
        <v>0</v>
      </c>
      <c r="CQ69" s="227">
        <v>0</v>
      </c>
      <c r="CR69" s="227">
        <v>0</v>
      </c>
      <c r="CT69" s="229">
        <f t="shared" ref="CT69:CT87" si="1">CM69+CN69+CQ69</f>
        <v>-103080</v>
      </c>
    </row>
    <row r="70" spans="1:98" ht="15">
      <c r="A70" s="226">
        <v>302</v>
      </c>
      <c r="B70" s="226">
        <v>3514</v>
      </c>
      <c r="C70" s="226" t="s">
        <v>261</v>
      </c>
      <c r="D70" s="226" t="s">
        <v>424</v>
      </c>
      <c r="E70" s="226"/>
      <c r="F70" s="226" t="s">
        <v>420</v>
      </c>
      <c r="G70" s="226">
        <v>0</v>
      </c>
      <c r="H70" s="226">
        <v>1</v>
      </c>
      <c r="I70" s="226" t="s">
        <v>472</v>
      </c>
      <c r="J70" s="226" t="s">
        <v>473</v>
      </c>
      <c r="K70" s="226" t="s">
        <v>421</v>
      </c>
      <c r="L70" s="226" t="s">
        <v>422</v>
      </c>
      <c r="M70" s="226" t="s">
        <v>421</v>
      </c>
      <c r="N70" s="226" t="s">
        <v>423</v>
      </c>
      <c r="O70" s="226" t="s">
        <v>171</v>
      </c>
      <c r="P70" s="226" t="s">
        <v>171</v>
      </c>
      <c r="Q70" s="227">
        <v>-8583.67</v>
      </c>
      <c r="R70" s="227">
        <v>0</v>
      </c>
      <c r="S70" s="227">
        <v>0</v>
      </c>
      <c r="T70" s="227">
        <v>1054637.4099999999</v>
      </c>
      <c r="U70" s="227">
        <v>0</v>
      </c>
      <c r="V70" s="227">
        <v>46039.68</v>
      </c>
      <c r="W70" s="227">
        <v>0</v>
      </c>
      <c r="X70" s="227">
        <v>71980</v>
      </c>
      <c r="Y70" s="227">
        <v>0</v>
      </c>
      <c r="Z70" s="227">
        <v>76559.91</v>
      </c>
      <c r="AA70" s="227">
        <v>0</v>
      </c>
      <c r="AB70" s="227">
        <v>33619.74</v>
      </c>
      <c r="AC70" s="227">
        <v>497.18</v>
      </c>
      <c r="AD70" s="227">
        <v>0</v>
      </c>
      <c r="AE70" s="227">
        <v>0</v>
      </c>
      <c r="AF70" s="227">
        <v>10998.75</v>
      </c>
      <c r="AG70" s="227">
        <v>12369.74</v>
      </c>
      <c r="AH70" s="227">
        <v>0</v>
      </c>
      <c r="AI70" s="227">
        <v>0</v>
      </c>
      <c r="AJ70" s="227">
        <v>0</v>
      </c>
      <c r="AK70" s="227">
        <v>4986.88</v>
      </c>
      <c r="AL70" s="227">
        <v>17800</v>
      </c>
      <c r="AM70" s="227">
        <v>660291.30000000005</v>
      </c>
      <c r="AN70" s="227">
        <v>0</v>
      </c>
      <c r="AO70" s="227">
        <v>139272.65</v>
      </c>
      <c r="AP70" s="227">
        <v>28846.65</v>
      </c>
      <c r="AQ70" s="227">
        <v>48523.66</v>
      </c>
      <c r="AR70" s="227">
        <v>0</v>
      </c>
      <c r="AS70" s="227">
        <v>4164.43</v>
      </c>
      <c r="AT70" s="227">
        <v>7841.37</v>
      </c>
      <c r="AU70" s="227">
        <v>1073.0999999999999</v>
      </c>
      <c r="AV70" s="227">
        <v>302.12</v>
      </c>
      <c r="AW70" s="227">
        <v>0</v>
      </c>
      <c r="AX70" s="227">
        <v>9983.0400000000009</v>
      </c>
      <c r="AY70" s="227">
        <v>15876.35</v>
      </c>
      <c r="AZ70" s="227">
        <v>11816.44</v>
      </c>
      <c r="BA70" s="227">
        <v>2918.55</v>
      </c>
      <c r="BB70" s="227">
        <v>41039.43</v>
      </c>
      <c r="BC70" s="227">
        <v>5314.56</v>
      </c>
      <c r="BD70" s="227">
        <v>11442.2</v>
      </c>
      <c r="BE70" s="227">
        <v>47791.83</v>
      </c>
      <c r="BF70" s="227">
        <v>10452.209999999999</v>
      </c>
      <c r="BG70" s="226">
        <v>0</v>
      </c>
      <c r="BH70" s="226">
        <v>0</v>
      </c>
      <c r="BI70" s="226">
        <v>0</v>
      </c>
      <c r="BJ70" s="226">
        <v>0</v>
      </c>
      <c r="BK70" s="226">
        <v>0</v>
      </c>
      <c r="BL70" s="226">
        <v>0</v>
      </c>
      <c r="BM70" s="227">
        <v>0</v>
      </c>
      <c r="BN70" s="227">
        <v>12394.05</v>
      </c>
      <c r="BO70" s="227">
        <v>2891.98</v>
      </c>
      <c r="BP70" s="227">
        <v>9359.9599999999991</v>
      </c>
      <c r="BQ70" s="227">
        <v>56065.54</v>
      </c>
      <c r="BR70" s="227">
        <v>119379.59</v>
      </c>
      <c r="BS70" s="227">
        <v>100529.23</v>
      </c>
      <c r="BT70" s="227">
        <v>29252.93</v>
      </c>
      <c r="BU70" s="227">
        <v>1637.45</v>
      </c>
      <c r="BV70" s="334">
        <v>0</v>
      </c>
      <c r="BW70" s="335"/>
      <c r="BX70" s="227">
        <v>0</v>
      </c>
      <c r="BY70" s="227">
        <v>0</v>
      </c>
      <c r="BZ70" s="227">
        <v>0</v>
      </c>
      <c r="CA70" s="227">
        <v>0</v>
      </c>
      <c r="CB70" s="227">
        <v>0</v>
      </c>
      <c r="CC70" s="227">
        <v>0</v>
      </c>
      <c r="CD70" s="227">
        <v>6000</v>
      </c>
      <c r="CE70" s="227">
        <v>0</v>
      </c>
      <c r="CF70" s="227">
        <v>0</v>
      </c>
      <c r="CG70" s="227">
        <v>0</v>
      </c>
      <c r="CH70" s="227">
        <v>0</v>
      </c>
      <c r="CI70" s="226">
        <v>0</v>
      </c>
      <c r="CJ70" s="226">
        <v>0</v>
      </c>
      <c r="CK70" s="226">
        <v>0</v>
      </c>
      <c r="CL70" s="226">
        <v>0</v>
      </c>
      <c r="CM70" s="227">
        <v>0</v>
      </c>
      <c r="CN70" s="227">
        <v>-57555</v>
      </c>
      <c r="CO70" s="227">
        <v>0</v>
      </c>
      <c r="CP70" s="227">
        <v>0</v>
      </c>
      <c r="CQ70" s="227">
        <v>0</v>
      </c>
      <c r="CR70" s="227">
        <v>0</v>
      </c>
      <c r="CT70" s="229">
        <f t="shared" si="1"/>
        <v>-57555</v>
      </c>
    </row>
    <row r="71" spans="1:98" ht="15">
      <c r="A71" s="226">
        <v>302</v>
      </c>
      <c r="B71" s="226">
        <v>3516</v>
      </c>
      <c r="C71" s="226" t="s">
        <v>61</v>
      </c>
      <c r="D71" s="226" t="s">
        <v>424</v>
      </c>
      <c r="E71" s="226"/>
      <c r="F71" s="226" t="s">
        <v>420</v>
      </c>
      <c r="G71" s="226">
        <v>0</v>
      </c>
      <c r="H71" s="226">
        <v>1</v>
      </c>
      <c r="I71" s="226" t="s">
        <v>472</v>
      </c>
      <c r="J71" s="226" t="s">
        <v>473</v>
      </c>
      <c r="K71" s="226" t="s">
        <v>421</v>
      </c>
      <c r="L71" s="226" t="s">
        <v>422</v>
      </c>
      <c r="M71" s="226" t="s">
        <v>421</v>
      </c>
      <c r="N71" s="226" t="s">
        <v>423</v>
      </c>
      <c r="O71" s="226" t="s">
        <v>171</v>
      </c>
      <c r="P71" s="226" t="s">
        <v>171</v>
      </c>
      <c r="Q71" s="227">
        <v>-19448.61</v>
      </c>
      <c r="R71" s="227">
        <v>0</v>
      </c>
      <c r="S71" s="227">
        <v>0</v>
      </c>
      <c r="T71" s="227">
        <v>1217594.83</v>
      </c>
      <c r="U71" s="227">
        <v>0</v>
      </c>
      <c r="V71" s="227">
        <v>213469.6</v>
      </c>
      <c r="W71" s="227">
        <v>0</v>
      </c>
      <c r="X71" s="227">
        <v>53187</v>
      </c>
      <c r="Y71" s="227">
        <v>58820.31</v>
      </c>
      <c r="Z71" s="227">
        <v>80007.72</v>
      </c>
      <c r="AA71" s="227">
        <v>0</v>
      </c>
      <c r="AB71" s="227">
        <v>8861.91</v>
      </c>
      <c r="AC71" s="227">
        <v>13948.28</v>
      </c>
      <c r="AD71" s="227">
        <v>0</v>
      </c>
      <c r="AE71" s="227">
        <v>0</v>
      </c>
      <c r="AF71" s="227">
        <v>12772.15</v>
      </c>
      <c r="AG71" s="227">
        <v>139769</v>
      </c>
      <c r="AH71" s="227">
        <v>0</v>
      </c>
      <c r="AI71" s="227">
        <v>0</v>
      </c>
      <c r="AJ71" s="227">
        <v>0</v>
      </c>
      <c r="AK71" s="227">
        <v>3445.63</v>
      </c>
      <c r="AL71" s="227">
        <v>38931</v>
      </c>
      <c r="AM71" s="227">
        <v>981782.87</v>
      </c>
      <c r="AN71" s="227">
        <v>0</v>
      </c>
      <c r="AO71" s="227">
        <v>335793.63</v>
      </c>
      <c r="AP71" s="227">
        <v>71335.73</v>
      </c>
      <c r="AQ71" s="227">
        <v>153673.15</v>
      </c>
      <c r="AR71" s="227">
        <v>0</v>
      </c>
      <c r="AS71" s="227">
        <v>27964.23</v>
      </c>
      <c r="AT71" s="227">
        <v>303.2</v>
      </c>
      <c r="AU71" s="227">
        <v>2958.5</v>
      </c>
      <c r="AV71" s="227">
        <v>8189</v>
      </c>
      <c r="AW71" s="227">
        <v>768.75</v>
      </c>
      <c r="AX71" s="227">
        <v>16478.68</v>
      </c>
      <c r="AY71" s="227">
        <v>675.58</v>
      </c>
      <c r="AZ71" s="227">
        <v>1300.5899999999999</v>
      </c>
      <c r="BA71" s="227">
        <v>5041.8599999999997</v>
      </c>
      <c r="BB71" s="227">
        <v>25478.53</v>
      </c>
      <c r="BC71" s="227">
        <v>19998</v>
      </c>
      <c r="BD71" s="227">
        <v>63936.34</v>
      </c>
      <c r="BE71" s="227">
        <v>51733.88</v>
      </c>
      <c r="BF71" s="227">
        <v>4636.6400000000003</v>
      </c>
      <c r="BG71" s="226">
        <v>0</v>
      </c>
      <c r="BH71" s="226">
        <v>3686.01</v>
      </c>
      <c r="BI71" s="226">
        <v>6043.75</v>
      </c>
      <c r="BJ71" s="226">
        <v>1467.62</v>
      </c>
      <c r="BK71" s="226">
        <v>425.5</v>
      </c>
      <c r="BL71" s="226">
        <v>3120</v>
      </c>
      <c r="BM71" s="227">
        <v>0</v>
      </c>
      <c r="BN71" s="227">
        <v>5751.6</v>
      </c>
      <c r="BO71" s="227">
        <v>7958.25</v>
      </c>
      <c r="BP71" s="227">
        <v>480.23</v>
      </c>
      <c r="BQ71" s="227">
        <v>60111.45</v>
      </c>
      <c r="BR71" s="227">
        <v>3915.32</v>
      </c>
      <c r="BS71" s="227">
        <v>23532.46</v>
      </c>
      <c r="BT71" s="227">
        <v>12037.47</v>
      </c>
      <c r="BU71" s="227">
        <v>0</v>
      </c>
      <c r="BV71" s="334">
        <v>0</v>
      </c>
      <c r="BW71" s="335"/>
      <c r="BX71" s="227">
        <v>0</v>
      </c>
      <c r="BY71" s="227">
        <v>0</v>
      </c>
      <c r="BZ71" s="227">
        <v>0</v>
      </c>
      <c r="CA71" s="227">
        <v>0</v>
      </c>
      <c r="CB71" s="227">
        <v>0</v>
      </c>
      <c r="CC71" s="227">
        <v>0</v>
      </c>
      <c r="CD71" s="227">
        <v>6000</v>
      </c>
      <c r="CE71" s="227">
        <v>0</v>
      </c>
      <c r="CF71" s="227">
        <v>0</v>
      </c>
      <c r="CG71" s="227">
        <v>0</v>
      </c>
      <c r="CH71" s="227">
        <v>0</v>
      </c>
      <c r="CI71" s="226">
        <v>0</v>
      </c>
      <c r="CJ71" s="226">
        <v>0</v>
      </c>
      <c r="CK71" s="226">
        <v>0</v>
      </c>
      <c r="CL71" s="226">
        <v>0</v>
      </c>
      <c r="CM71" s="227">
        <v>0</v>
      </c>
      <c r="CN71" s="227">
        <v>-79220</v>
      </c>
      <c r="CO71" s="227">
        <v>0</v>
      </c>
      <c r="CP71" s="227">
        <v>0</v>
      </c>
      <c r="CQ71" s="227">
        <v>0</v>
      </c>
      <c r="CR71" s="227">
        <v>0</v>
      </c>
      <c r="CT71" s="229">
        <f t="shared" si="1"/>
        <v>-79220</v>
      </c>
    </row>
    <row r="72" spans="1:98" ht="15">
      <c r="A72" s="226">
        <v>302</v>
      </c>
      <c r="B72" s="226">
        <v>3518</v>
      </c>
      <c r="C72" s="226" t="s">
        <v>100</v>
      </c>
      <c r="D72" s="226" t="s">
        <v>424</v>
      </c>
      <c r="E72" s="226"/>
      <c r="F72" s="226" t="s">
        <v>420</v>
      </c>
      <c r="G72" s="226">
        <v>0</v>
      </c>
      <c r="H72" s="226">
        <v>1</v>
      </c>
      <c r="I72" s="226" t="s">
        <v>472</v>
      </c>
      <c r="J72" s="226" t="s">
        <v>473</v>
      </c>
      <c r="K72" s="226" t="s">
        <v>421</v>
      </c>
      <c r="L72" s="226" t="s">
        <v>422</v>
      </c>
      <c r="M72" s="226" t="s">
        <v>421</v>
      </c>
      <c r="N72" s="226" t="s">
        <v>423</v>
      </c>
      <c r="O72" s="226" t="s">
        <v>171</v>
      </c>
      <c r="P72" s="226" t="s">
        <v>171</v>
      </c>
      <c r="Q72" s="227">
        <v>-212590.2</v>
      </c>
      <c r="R72" s="227">
        <v>0</v>
      </c>
      <c r="S72" s="227">
        <v>27998.84</v>
      </c>
      <c r="T72" s="227">
        <v>2644061.1800000002</v>
      </c>
      <c r="U72" s="227">
        <v>0</v>
      </c>
      <c r="V72" s="227">
        <v>100657.28</v>
      </c>
      <c r="W72" s="227">
        <v>0</v>
      </c>
      <c r="X72" s="227">
        <v>190240</v>
      </c>
      <c r="Y72" s="227">
        <v>5000</v>
      </c>
      <c r="Z72" s="227">
        <v>90804.72</v>
      </c>
      <c r="AA72" s="227">
        <v>10865</v>
      </c>
      <c r="AB72" s="227">
        <v>32917.800000000003</v>
      </c>
      <c r="AC72" s="227">
        <v>1626.12</v>
      </c>
      <c r="AD72" s="227">
        <v>0</v>
      </c>
      <c r="AE72" s="227">
        <v>0</v>
      </c>
      <c r="AF72" s="227">
        <v>31939.31</v>
      </c>
      <c r="AG72" s="227">
        <v>935.24</v>
      </c>
      <c r="AH72" s="227">
        <v>0</v>
      </c>
      <c r="AI72" s="227">
        <v>0</v>
      </c>
      <c r="AJ72" s="227">
        <v>0</v>
      </c>
      <c r="AK72" s="227">
        <v>14493.75</v>
      </c>
      <c r="AL72" s="227">
        <v>78924</v>
      </c>
      <c r="AM72" s="227">
        <v>1465244.46</v>
      </c>
      <c r="AN72" s="227">
        <v>3791.74</v>
      </c>
      <c r="AO72" s="227">
        <v>700442.63</v>
      </c>
      <c r="AP72" s="227">
        <v>15359.2</v>
      </c>
      <c r="AQ72" s="227">
        <v>60710.46</v>
      </c>
      <c r="AR72" s="227">
        <v>0</v>
      </c>
      <c r="AS72" s="227">
        <v>200695.06</v>
      </c>
      <c r="AT72" s="227">
        <v>16495.169999999998</v>
      </c>
      <c r="AU72" s="227">
        <v>3190.54</v>
      </c>
      <c r="AV72" s="227">
        <v>661</v>
      </c>
      <c r="AW72" s="227">
        <v>0</v>
      </c>
      <c r="AX72" s="227">
        <v>10320.73</v>
      </c>
      <c r="AY72" s="227">
        <v>4277.74</v>
      </c>
      <c r="AZ72" s="227">
        <v>68548.399999999994</v>
      </c>
      <c r="BA72" s="227">
        <v>2821.35</v>
      </c>
      <c r="BB72" s="227">
        <v>71127.520000000004</v>
      </c>
      <c r="BC72" s="227">
        <v>41400</v>
      </c>
      <c r="BD72" s="227">
        <v>9155.83</v>
      </c>
      <c r="BE72" s="227">
        <v>38468.910000000003</v>
      </c>
      <c r="BF72" s="227">
        <v>13019.74</v>
      </c>
      <c r="BG72" s="226">
        <v>0</v>
      </c>
      <c r="BH72" s="226">
        <v>16082.15</v>
      </c>
      <c r="BI72" s="226">
        <v>7237.6</v>
      </c>
      <c r="BJ72" s="226">
        <v>1440.95</v>
      </c>
      <c r="BK72" s="226">
        <v>823.25</v>
      </c>
      <c r="BL72" s="226">
        <v>12800.95</v>
      </c>
      <c r="BM72" s="227">
        <v>0</v>
      </c>
      <c r="BN72" s="227">
        <v>12316.99</v>
      </c>
      <c r="BO72" s="227">
        <v>15824</v>
      </c>
      <c r="BP72" s="227">
        <v>8268.76</v>
      </c>
      <c r="BQ72" s="227">
        <v>157820.49</v>
      </c>
      <c r="BR72" s="227">
        <v>69051.64</v>
      </c>
      <c r="BS72" s="227">
        <v>237237.48</v>
      </c>
      <c r="BT72" s="227">
        <v>49915.46</v>
      </c>
      <c r="BU72" s="227">
        <v>0</v>
      </c>
      <c r="BV72" s="334">
        <v>0</v>
      </c>
      <c r="BW72" s="335"/>
      <c r="BX72" s="227">
        <v>0</v>
      </c>
      <c r="BY72" s="227">
        <v>0</v>
      </c>
      <c r="BZ72" s="227">
        <v>0</v>
      </c>
      <c r="CA72" s="227">
        <v>8779</v>
      </c>
      <c r="CB72" s="227">
        <v>0</v>
      </c>
      <c r="CC72" s="227">
        <v>0</v>
      </c>
      <c r="CD72" s="227">
        <v>6000</v>
      </c>
      <c r="CE72" s="227">
        <v>0</v>
      </c>
      <c r="CF72" s="227">
        <v>2999.28</v>
      </c>
      <c r="CG72" s="227">
        <v>0</v>
      </c>
      <c r="CH72" s="227">
        <v>0</v>
      </c>
      <c r="CI72" s="226">
        <v>0</v>
      </c>
      <c r="CJ72" s="226">
        <v>0</v>
      </c>
      <c r="CK72" s="226">
        <v>4144.5600000000004</v>
      </c>
      <c r="CL72" s="226">
        <v>0</v>
      </c>
      <c r="CM72" s="227">
        <v>0</v>
      </c>
      <c r="CN72" s="227">
        <v>-324676</v>
      </c>
      <c r="CO72" s="227">
        <v>29634</v>
      </c>
      <c r="CP72" s="227">
        <v>0</v>
      </c>
      <c r="CQ72" s="227">
        <v>0</v>
      </c>
      <c r="CR72" s="227">
        <v>0</v>
      </c>
      <c r="CT72" s="229">
        <f t="shared" si="1"/>
        <v>-324676</v>
      </c>
    </row>
    <row r="73" spans="1:98" ht="15">
      <c r="A73" s="226">
        <v>302</v>
      </c>
      <c r="B73" s="226">
        <v>3520</v>
      </c>
      <c r="C73" s="226" t="s">
        <v>229</v>
      </c>
      <c r="D73" s="226" t="s">
        <v>424</v>
      </c>
      <c r="E73" s="226"/>
      <c r="F73" s="226" t="s">
        <v>420</v>
      </c>
      <c r="G73" s="226">
        <v>0</v>
      </c>
      <c r="H73" s="226">
        <v>0</v>
      </c>
      <c r="I73" s="226" t="s">
        <v>472</v>
      </c>
      <c r="J73" s="226" t="s">
        <v>473</v>
      </c>
      <c r="K73" s="226" t="s">
        <v>421</v>
      </c>
      <c r="L73" s="226" t="s">
        <v>422</v>
      </c>
      <c r="M73" s="226" t="s">
        <v>421</v>
      </c>
      <c r="N73" s="226" t="s">
        <v>423</v>
      </c>
      <c r="O73" s="226" t="s">
        <v>171</v>
      </c>
      <c r="P73" s="226" t="s">
        <v>171</v>
      </c>
      <c r="Q73" s="227">
        <v>80804.63</v>
      </c>
      <c r="R73" s="227">
        <v>0</v>
      </c>
      <c r="S73" s="227">
        <v>0</v>
      </c>
      <c r="T73" s="227">
        <v>2093866.6</v>
      </c>
      <c r="U73" s="227">
        <v>0</v>
      </c>
      <c r="V73" s="227">
        <v>153252.31</v>
      </c>
      <c r="W73" s="227">
        <v>0</v>
      </c>
      <c r="X73" s="227">
        <v>4440</v>
      </c>
      <c r="Y73" s="227">
        <v>38151.65</v>
      </c>
      <c r="Z73" s="227">
        <v>175468.18</v>
      </c>
      <c r="AA73" s="227">
        <v>31865.21</v>
      </c>
      <c r="AB73" s="227">
        <v>0</v>
      </c>
      <c r="AC73" s="227">
        <v>3445.92</v>
      </c>
      <c r="AD73" s="227">
        <v>0</v>
      </c>
      <c r="AE73" s="227">
        <v>0</v>
      </c>
      <c r="AF73" s="227">
        <v>51275.33</v>
      </c>
      <c r="AG73" s="227">
        <v>628439.66</v>
      </c>
      <c r="AH73" s="227">
        <v>0</v>
      </c>
      <c r="AI73" s="227">
        <v>0</v>
      </c>
      <c r="AJ73" s="227">
        <v>0</v>
      </c>
      <c r="AK73" s="227">
        <v>1000</v>
      </c>
      <c r="AL73" s="227">
        <v>106878.88</v>
      </c>
      <c r="AM73" s="227">
        <v>1188801.52</v>
      </c>
      <c r="AN73" s="227">
        <v>4285.46</v>
      </c>
      <c r="AO73" s="227">
        <v>590510.39</v>
      </c>
      <c r="AP73" s="227">
        <v>38127.050000000003</v>
      </c>
      <c r="AQ73" s="227">
        <v>143377.64000000001</v>
      </c>
      <c r="AR73" s="227">
        <v>0</v>
      </c>
      <c r="AS73" s="227">
        <v>21632.47</v>
      </c>
      <c r="AT73" s="227">
        <v>3622.13</v>
      </c>
      <c r="AU73" s="227">
        <v>1293.95</v>
      </c>
      <c r="AV73" s="227">
        <v>698.86</v>
      </c>
      <c r="AW73" s="227">
        <v>0</v>
      </c>
      <c r="AX73" s="227">
        <v>52790.09</v>
      </c>
      <c r="AY73" s="227">
        <v>1874.9</v>
      </c>
      <c r="AZ73" s="227">
        <v>52825.08</v>
      </c>
      <c r="BA73" s="227">
        <v>14191.06</v>
      </c>
      <c r="BB73" s="227">
        <v>30750.98</v>
      </c>
      <c r="BC73" s="227">
        <v>14601.6</v>
      </c>
      <c r="BD73" s="227">
        <v>127904.35</v>
      </c>
      <c r="BE73" s="227">
        <v>163571</v>
      </c>
      <c r="BF73" s="227">
        <v>6780.97</v>
      </c>
      <c r="BG73" s="226">
        <v>828.33</v>
      </c>
      <c r="BH73" s="226">
        <v>3355.9</v>
      </c>
      <c r="BI73" s="226">
        <v>10705.87</v>
      </c>
      <c r="BJ73" s="226">
        <v>1316.8</v>
      </c>
      <c r="BK73" s="226">
        <v>4477.22</v>
      </c>
      <c r="BL73" s="226">
        <v>275</v>
      </c>
      <c r="BM73" s="227">
        <v>0</v>
      </c>
      <c r="BN73" s="227">
        <v>5017.17</v>
      </c>
      <c r="BO73" s="227">
        <v>19149.87</v>
      </c>
      <c r="BP73" s="227">
        <v>8114</v>
      </c>
      <c r="BQ73" s="227">
        <v>204009.62</v>
      </c>
      <c r="BR73" s="227">
        <v>64349.64</v>
      </c>
      <c r="BS73" s="227">
        <v>216504.74</v>
      </c>
      <c r="BT73" s="227">
        <v>47442.71</v>
      </c>
      <c r="BU73" s="227">
        <v>0</v>
      </c>
      <c r="BV73" s="334">
        <v>0</v>
      </c>
      <c r="BW73" s="335"/>
      <c r="BX73" s="227">
        <v>0</v>
      </c>
      <c r="BY73" s="227">
        <v>0</v>
      </c>
      <c r="BZ73" s="227">
        <v>0</v>
      </c>
      <c r="CA73" s="227">
        <v>0</v>
      </c>
      <c r="CB73" s="227">
        <v>0</v>
      </c>
      <c r="CC73" s="227">
        <v>0</v>
      </c>
      <c r="CD73" s="227">
        <v>6000</v>
      </c>
      <c r="CE73" s="227">
        <v>0</v>
      </c>
      <c r="CF73" s="227">
        <v>0</v>
      </c>
      <c r="CG73" s="227">
        <v>0</v>
      </c>
      <c r="CH73" s="227">
        <v>0</v>
      </c>
      <c r="CI73" s="226">
        <v>0</v>
      </c>
      <c r="CJ73" s="226">
        <v>0</v>
      </c>
      <c r="CK73" s="226">
        <v>0</v>
      </c>
      <c r="CL73" s="226">
        <v>0</v>
      </c>
      <c r="CM73" s="227">
        <v>0</v>
      </c>
      <c r="CN73" s="227">
        <v>325702</v>
      </c>
      <c r="CO73" s="227">
        <v>0</v>
      </c>
      <c r="CP73" s="227">
        <v>0</v>
      </c>
      <c r="CQ73" s="227">
        <v>0</v>
      </c>
      <c r="CR73" s="227">
        <v>0</v>
      </c>
      <c r="CT73" s="229">
        <f t="shared" si="1"/>
        <v>325702</v>
      </c>
    </row>
    <row r="74" spans="1:98" ht="15">
      <c r="A74" s="226">
        <v>302</v>
      </c>
      <c r="B74" s="226">
        <v>3521</v>
      </c>
      <c r="C74" s="226" t="s">
        <v>478</v>
      </c>
      <c r="D74" s="226" t="s">
        <v>424</v>
      </c>
      <c r="E74" s="226"/>
      <c r="F74" s="226" t="s">
        <v>420</v>
      </c>
      <c r="G74" s="226">
        <v>0</v>
      </c>
      <c r="H74" s="226">
        <v>4</v>
      </c>
      <c r="I74" s="226" t="s">
        <v>472</v>
      </c>
      <c r="J74" s="226" t="s">
        <v>473</v>
      </c>
      <c r="K74" s="226" t="s">
        <v>421</v>
      </c>
      <c r="L74" s="226" t="s">
        <v>422</v>
      </c>
      <c r="M74" s="226" t="s">
        <v>421</v>
      </c>
      <c r="N74" s="226" t="s">
        <v>423</v>
      </c>
      <c r="O74" s="226" t="s">
        <v>171</v>
      </c>
      <c r="P74" s="226" t="s">
        <v>171</v>
      </c>
      <c r="Q74" s="227">
        <v>1474540.85</v>
      </c>
      <c r="R74" s="227">
        <v>0</v>
      </c>
      <c r="S74" s="227">
        <v>0</v>
      </c>
      <c r="T74" s="227">
        <v>10354041.59</v>
      </c>
      <c r="U74" s="227">
        <v>719920.31</v>
      </c>
      <c r="V74" s="227">
        <v>400867</v>
      </c>
      <c r="W74" s="227">
        <v>0</v>
      </c>
      <c r="X74" s="227">
        <v>510957</v>
      </c>
      <c r="Y74" s="227">
        <v>3000</v>
      </c>
      <c r="Z74" s="227">
        <v>260188.47</v>
      </c>
      <c r="AA74" s="227">
        <v>77695.98</v>
      </c>
      <c r="AB74" s="227">
        <v>75073.73</v>
      </c>
      <c r="AC74" s="227">
        <v>204706.51</v>
      </c>
      <c r="AD74" s="227">
        <v>0</v>
      </c>
      <c r="AE74" s="227">
        <v>0</v>
      </c>
      <c r="AF74" s="227">
        <v>251153.32</v>
      </c>
      <c r="AG74" s="227">
        <v>196454.25</v>
      </c>
      <c r="AH74" s="227">
        <v>0</v>
      </c>
      <c r="AI74" s="227">
        <v>0</v>
      </c>
      <c r="AJ74" s="227">
        <v>0</v>
      </c>
      <c r="AK74" s="227">
        <v>51470</v>
      </c>
      <c r="AL74" s="227">
        <v>149456.85</v>
      </c>
      <c r="AM74" s="227">
        <v>6898852.5700000003</v>
      </c>
      <c r="AN74" s="227">
        <v>0</v>
      </c>
      <c r="AO74" s="227">
        <v>1379451.17</v>
      </c>
      <c r="AP74" s="227">
        <v>262308.96999999997</v>
      </c>
      <c r="AQ74" s="227">
        <v>917109.21</v>
      </c>
      <c r="AR74" s="227">
        <v>0</v>
      </c>
      <c r="AS74" s="227">
        <v>128072.95</v>
      </c>
      <c r="AT74" s="227">
        <v>126521.67</v>
      </c>
      <c r="AU74" s="227">
        <v>23928.25</v>
      </c>
      <c r="AV74" s="227">
        <v>0</v>
      </c>
      <c r="AW74" s="227">
        <v>0</v>
      </c>
      <c r="AX74" s="227">
        <v>114615.03999999999</v>
      </c>
      <c r="AY74" s="227">
        <v>17206.5</v>
      </c>
      <c r="AZ74" s="227">
        <v>198537.83</v>
      </c>
      <c r="BA74" s="227">
        <v>30752.720000000001</v>
      </c>
      <c r="BB74" s="227">
        <v>235131.7</v>
      </c>
      <c r="BC74" s="227">
        <v>-32813.120000000003</v>
      </c>
      <c r="BD74" s="227">
        <v>41586.44</v>
      </c>
      <c r="BE74" s="227">
        <v>472138.07</v>
      </c>
      <c r="BF74" s="227">
        <v>78028.990000000005</v>
      </c>
      <c r="BG74" s="226">
        <v>0</v>
      </c>
      <c r="BH74" s="226">
        <v>0</v>
      </c>
      <c r="BI74" s="226">
        <v>0</v>
      </c>
      <c r="BJ74" s="226">
        <v>0</v>
      </c>
      <c r="BK74" s="226">
        <v>0</v>
      </c>
      <c r="BL74" s="226">
        <v>0</v>
      </c>
      <c r="BM74" s="227">
        <v>97737.27</v>
      </c>
      <c r="BN74" s="227">
        <v>123957.67</v>
      </c>
      <c r="BO74" s="227">
        <v>44593.84</v>
      </c>
      <c r="BP74" s="227">
        <v>21986.19</v>
      </c>
      <c r="BQ74" s="227">
        <v>647125.93999999994</v>
      </c>
      <c r="BR74" s="227">
        <v>308709.89</v>
      </c>
      <c r="BS74" s="227">
        <v>861396.02</v>
      </c>
      <c r="BT74" s="227">
        <v>262592.08</v>
      </c>
      <c r="BU74" s="227">
        <v>0</v>
      </c>
      <c r="BV74" s="334">
        <v>0</v>
      </c>
      <c r="BW74" s="335"/>
      <c r="BX74" s="227">
        <v>0</v>
      </c>
      <c r="BY74" s="227">
        <v>0</v>
      </c>
      <c r="BZ74" s="227">
        <v>0</v>
      </c>
      <c r="CA74" s="227">
        <v>0</v>
      </c>
      <c r="CB74" s="227">
        <v>0</v>
      </c>
      <c r="CC74" s="227">
        <v>0</v>
      </c>
      <c r="CD74" s="227">
        <v>6000</v>
      </c>
      <c r="CE74" s="227">
        <v>0</v>
      </c>
      <c r="CF74" s="227">
        <v>0</v>
      </c>
      <c r="CG74" s="227">
        <v>0</v>
      </c>
      <c r="CH74" s="227">
        <v>0</v>
      </c>
      <c r="CI74" s="226">
        <v>0</v>
      </c>
      <c r="CJ74" s="226">
        <v>0</v>
      </c>
      <c r="CK74" s="226">
        <v>0</v>
      </c>
      <c r="CL74" s="226">
        <v>0</v>
      </c>
      <c r="CM74" s="227">
        <v>0</v>
      </c>
      <c r="CN74" s="227">
        <v>1469998</v>
      </c>
      <c r="CO74" s="227">
        <v>0</v>
      </c>
      <c r="CP74" s="227">
        <v>0</v>
      </c>
      <c r="CQ74" s="227">
        <v>0</v>
      </c>
      <c r="CR74" s="227">
        <v>0</v>
      </c>
      <c r="CT74" s="229">
        <f t="shared" si="1"/>
        <v>1469998</v>
      </c>
    </row>
    <row r="75" spans="1:98" ht="15">
      <c r="A75" s="226">
        <v>302</v>
      </c>
      <c r="B75" s="226">
        <v>3523</v>
      </c>
      <c r="C75" s="226" t="s">
        <v>247</v>
      </c>
      <c r="D75" s="226" t="s">
        <v>424</v>
      </c>
      <c r="E75" s="226"/>
      <c r="F75" s="226" t="s">
        <v>420</v>
      </c>
      <c r="G75" s="226">
        <v>0</v>
      </c>
      <c r="H75" s="226">
        <v>0</v>
      </c>
      <c r="I75" s="226" t="s">
        <v>472</v>
      </c>
      <c r="J75" s="226" t="s">
        <v>473</v>
      </c>
      <c r="K75" s="226" t="s">
        <v>421</v>
      </c>
      <c r="L75" s="226" t="s">
        <v>422</v>
      </c>
      <c r="M75" s="226" t="s">
        <v>421</v>
      </c>
      <c r="N75" s="226" t="s">
        <v>423</v>
      </c>
      <c r="O75" s="226" t="s">
        <v>171</v>
      </c>
      <c r="P75" s="226" t="s">
        <v>171</v>
      </c>
      <c r="Q75" s="227">
        <v>322106.99</v>
      </c>
      <c r="R75" s="227">
        <v>0</v>
      </c>
      <c r="S75" s="227">
        <v>20755.240000000002</v>
      </c>
      <c r="T75" s="227">
        <v>3868398.77</v>
      </c>
      <c r="U75" s="227">
        <v>0</v>
      </c>
      <c r="V75" s="227">
        <v>243080.82</v>
      </c>
      <c r="W75" s="227">
        <v>0</v>
      </c>
      <c r="X75" s="227">
        <v>287820</v>
      </c>
      <c r="Y75" s="227">
        <v>4560</v>
      </c>
      <c r="Z75" s="227">
        <v>130621.35</v>
      </c>
      <c r="AA75" s="227">
        <v>109752.42</v>
      </c>
      <c r="AB75" s="227">
        <v>20771.66</v>
      </c>
      <c r="AC75" s="227">
        <v>11956.78</v>
      </c>
      <c r="AD75" s="227">
        <v>4240</v>
      </c>
      <c r="AE75" s="227">
        <v>0</v>
      </c>
      <c r="AF75" s="227">
        <v>159042.53</v>
      </c>
      <c r="AG75" s="227">
        <v>21903.71</v>
      </c>
      <c r="AH75" s="227">
        <v>0</v>
      </c>
      <c r="AI75" s="227">
        <v>0</v>
      </c>
      <c r="AJ75" s="227">
        <v>0</v>
      </c>
      <c r="AK75" s="227">
        <v>17214.5</v>
      </c>
      <c r="AL75" s="227">
        <v>100489</v>
      </c>
      <c r="AM75" s="227">
        <v>2094259.88</v>
      </c>
      <c r="AN75" s="227">
        <v>0</v>
      </c>
      <c r="AO75" s="227">
        <v>999897.78</v>
      </c>
      <c r="AP75" s="227">
        <v>221378.84</v>
      </c>
      <c r="AQ75" s="227">
        <v>186224.24</v>
      </c>
      <c r="AR75" s="227">
        <v>0</v>
      </c>
      <c r="AS75" s="227">
        <v>149073.18</v>
      </c>
      <c r="AT75" s="227">
        <v>35237.730000000003</v>
      </c>
      <c r="AU75" s="227">
        <v>3381.5</v>
      </c>
      <c r="AV75" s="227">
        <v>1030.8599999999999</v>
      </c>
      <c r="AW75" s="227">
        <v>11345.83</v>
      </c>
      <c r="AX75" s="227">
        <v>22358.66</v>
      </c>
      <c r="AY75" s="227">
        <v>572.91999999999996</v>
      </c>
      <c r="AZ75" s="227">
        <v>9132.43</v>
      </c>
      <c r="BA75" s="227">
        <v>4016.89</v>
      </c>
      <c r="BB75" s="227">
        <v>50050.15</v>
      </c>
      <c r="BC75" s="227">
        <v>68308.800000000003</v>
      </c>
      <c r="BD75" s="227">
        <v>17548.98</v>
      </c>
      <c r="BE75" s="227">
        <v>122602.33</v>
      </c>
      <c r="BF75" s="227">
        <v>6995</v>
      </c>
      <c r="BG75" s="226">
        <v>0</v>
      </c>
      <c r="BH75" s="226">
        <v>0</v>
      </c>
      <c r="BI75" s="226">
        <v>6455.8</v>
      </c>
      <c r="BJ75" s="226">
        <v>0</v>
      </c>
      <c r="BK75" s="226">
        <v>7826.1</v>
      </c>
      <c r="BL75" s="226">
        <v>0</v>
      </c>
      <c r="BM75" s="227">
        <v>0</v>
      </c>
      <c r="BN75" s="227">
        <v>17716.830000000002</v>
      </c>
      <c r="BO75" s="227">
        <v>25392.69</v>
      </c>
      <c r="BP75" s="227">
        <v>725.67</v>
      </c>
      <c r="BQ75" s="227">
        <v>242890.96</v>
      </c>
      <c r="BR75" s="227">
        <v>31426.28</v>
      </c>
      <c r="BS75" s="227">
        <v>467968.77</v>
      </c>
      <c r="BT75" s="227">
        <v>45305.43</v>
      </c>
      <c r="BU75" s="227">
        <v>0</v>
      </c>
      <c r="BV75" s="334">
        <v>0</v>
      </c>
      <c r="BW75" s="335"/>
      <c r="BX75" s="227">
        <v>0</v>
      </c>
      <c r="BY75" s="227">
        <v>0</v>
      </c>
      <c r="BZ75" s="227">
        <v>0</v>
      </c>
      <c r="CA75" s="227">
        <v>11443</v>
      </c>
      <c r="CB75" s="227">
        <v>0</v>
      </c>
      <c r="CC75" s="227">
        <v>0</v>
      </c>
      <c r="CD75" s="227">
        <v>6000</v>
      </c>
      <c r="CE75" s="227">
        <v>0</v>
      </c>
      <c r="CF75" s="227">
        <v>11738.24</v>
      </c>
      <c r="CG75" s="227">
        <v>0</v>
      </c>
      <c r="CH75" s="227">
        <v>0</v>
      </c>
      <c r="CI75" s="226">
        <v>0</v>
      </c>
      <c r="CJ75" s="226">
        <v>0</v>
      </c>
      <c r="CK75" s="226">
        <v>0</v>
      </c>
      <c r="CL75" s="226">
        <v>0</v>
      </c>
      <c r="CM75" s="227">
        <v>0</v>
      </c>
      <c r="CN75" s="227">
        <v>452834</v>
      </c>
      <c r="CO75" s="227">
        <v>20460</v>
      </c>
      <c r="CP75" s="227">
        <v>0</v>
      </c>
      <c r="CQ75" s="227">
        <v>0</v>
      </c>
      <c r="CR75" s="227">
        <v>0</v>
      </c>
      <c r="CT75" s="229">
        <f t="shared" si="1"/>
        <v>452834</v>
      </c>
    </row>
    <row r="76" spans="1:98" ht="15">
      <c r="A76" s="226">
        <v>302</v>
      </c>
      <c r="B76" s="226">
        <v>3524</v>
      </c>
      <c r="C76" s="226" t="s">
        <v>316</v>
      </c>
      <c r="D76" s="226" t="s">
        <v>424</v>
      </c>
      <c r="E76" s="226"/>
      <c r="F76" s="226" t="s">
        <v>420</v>
      </c>
      <c r="G76" s="226">
        <v>0</v>
      </c>
      <c r="H76" s="226">
        <v>0</v>
      </c>
      <c r="I76" s="226" t="s">
        <v>472</v>
      </c>
      <c r="J76" s="226" t="s">
        <v>473</v>
      </c>
      <c r="K76" s="226" t="s">
        <v>421</v>
      </c>
      <c r="L76" s="226" t="s">
        <v>422</v>
      </c>
      <c r="M76" s="226" t="s">
        <v>421</v>
      </c>
      <c r="N76" s="226" t="s">
        <v>423</v>
      </c>
      <c r="O76" s="226" t="s">
        <v>171</v>
      </c>
      <c r="P76" s="226" t="s">
        <v>171</v>
      </c>
      <c r="Q76" s="227">
        <v>91702.22</v>
      </c>
      <c r="R76" s="227">
        <v>0</v>
      </c>
      <c r="S76" s="227">
        <v>0</v>
      </c>
      <c r="T76" s="227">
        <v>1276367.8400000001</v>
      </c>
      <c r="U76" s="227">
        <v>0</v>
      </c>
      <c r="V76" s="227">
        <v>104711.34</v>
      </c>
      <c r="W76" s="227">
        <v>0</v>
      </c>
      <c r="X76" s="227">
        <v>14800</v>
      </c>
      <c r="Y76" s="227">
        <v>47034.55</v>
      </c>
      <c r="Z76" s="227">
        <v>83536.91</v>
      </c>
      <c r="AA76" s="227">
        <v>0</v>
      </c>
      <c r="AB76" s="227">
        <v>12315.61</v>
      </c>
      <c r="AC76" s="227">
        <v>12348.68</v>
      </c>
      <c r="AD76" s="227">
        <v>0</v>
      </c>
      <c r="AE76" s="227">
        <v>7447.83</v>
      </c>
      <c r="AF76" s="227">
        <v>112731.35</v>
      </c>
      <c r="AG76" s="227">
        <v>430263.65</v>
      </c>
      <c r="AH76" s="227">
        <v>0</v>
      </c>
      <c r="AI76" s="227">
        <v>0</v>
      </c>
      <c r="AJ76" s="227">
        <v>0</v>
      </c>
      <c r="AK76" s="227">
        <v>0</v>
      </c>
      <c r="AL76" s="227">
        <v>59476.88</v>
      </c>
      <c r="AM76" s="227">
        <v>1067183.1100000001</v>
      </c>
      <c r="AN76" s="227">
        <v>0</v>
      </c>
      <c r="AO76" s="227">
        <v>376947.7</v>
      </c>
      <c r="AP76" s="227">
        <v>39850.18</v>
      </c>
      <c r="AQ76" s="227">
        <v>125828.01</v>
      </c>
      <c r="AR76" s="227">
        <v>0</v>
      </c>
      <c r="AS76" s="227">
        <v>10529</v>
      </c>
      <c r="AT76" s="227">
        <v>2727.69</v>
      </c>
      <c r="AU76" s="227">
        <v>1061.6199999999999</v>
      </c>
      <c r="AV76" s="227">
        <v>343.62</v>
      </c>
      <c r="AW76" s="227">
        <v>0</v>
      </c>
      <c r="AX76" s="227">
        <v>61845.43</v>
      </c>
      <c r="AY76" s="227">
        <v>817.36</v>
      </c>
      <c r="AZ76" s="227">
        <v>36245.14</v>
      </c>
      <c r="BA76" s="227">
        <v>6629.61</v>
      </c>
      <c r="BB76" s="227">
        <v>44052.08</v>
      </c>
      <c r="BC76" s="227">
        <v>9592</v>
      </c>
      <c r="BD76" s="227">
        <v>64302.68</v>
      </c>
      <c r="BE76" s="227">
        <v>87680.47</v>
      </c>
      <c r="BF76" s="227">
        <v>11964.38</v>
      </c>
      <c r="BG76" s="226">
        <v>0</v>
      </c>
      <c r="BH76" s="226">
        <v>0</v>
      </c>
      <c r="BI76" s="226">
        <v>0</v>
      </c>
      <c r="BJ76" s="226">
        <v>0</v>
      </c>
      <c r="BK76" s="226">
        <v>0</v>
      </c>
      <c r="BL76" s="226">
        <v>0</v>
      </c>
      <c r="BM76" s="227">
        <v>0</v>
      </c>
      <c r="BN76" s="227">
        <v>24621.38</v>
      </c>
      <c r="BO76" s="227">
        <v>16103.94</v>
      </c>
      <c r="BP76" s="227">
        <v>0</v>
      </c>
      <c r="BQ76" s="227">
        <v>75701.25</v>
      </c>
      <c r="BR76" s="227">
        <v>22046.09</v>
      </c>
      <c r="BS76" s="227">
        <v>29587.7</v>
      </c>
      <c r="BT76" s="227">
        <v>21760.77</v>
      </c>
      <c r="BU76" s="227">
        <v>26550.65</v>
      </c>
      <c r="BV76" s="334">
        <v>0</v>
      </c>
      <c r="BW76" s="335"/>
      <c r="BX76" s="227">
        <v>0</v>
      </c>
      <c r="BY76" s="227">
        <v>0</v>
      </c>
      <c r="BZ76" s="227">
        <v>0</v>
      </c>
      <c r="CA76" s="227">
        <v>0</v>
      </c>
      <c r="CB76" s="227">
        <v>0</v>
      </c>
      <c r="CC76" s="227">
        <v>0</v>
      </c>
      <c r="CD76" s="227">
        <v>6000</v>
      </c>
      <c r="CE76" s="227">
        <v>0</v>
      </c>
      <c r="CF76" s="227">
        <v>0</v>
      </c>
      <c r="CG76" s="227">
        <v>0</v>
      </c>
      <c r="CH76" s="227">
        <v>0</v>
      </c>
      <c r="CI76" s="226">
        <v>0</v>
      </c>
      <c r="CJ76" s="226">
        <v>0</v>
      </c>
      <c r="CK76" s="226">
        <v>0</v>
      </c>
      <c r="CL76" s="226">
        <v>0</v>
      </c>
      <c r="CM76" s="227">
        <v>0</v>
      </c>
      <c r="CN76" s="227">
        <v>88765</v>
      </c>
      <c r="CO76" s="227">
        <v>0</v>
      </c>
      <c r="CP76" s="227">
        <v>0</v>
      </c>
      <c r="CQ76" s="227">
        <v>0</v>
      </c>
      <c r="CR76" s="227">
        <v>0</v>
      </c>
      <c r="CT76" s="229">
        <f t="shared" si="1"/>
        <v>88765</v>
      </c>
    </row>
    <row r="77" spans="1:98" ht="15">
      <c r="A77" s="226">
        <v>302</v>
      </c>
      <c r="B77" s="226">
        <v>4003</v>
      </c>
      <c r="C77" s="226" t="s">
        <v>103</v>
      </c>
      <c r="D77" s="226" t="s">
        <v>424</v>
      </c>
      <c r="E77" s="226"/>
      <c r="F77" s="226" t="s">
        <v>420</v>
      </c>
      <c r="G77" s="226">
        <v>0</v>
      </c>
      <c r="H77" s="226">
        <v>0</v>
      </c>
      <c r="I77" s="226" t="s">
        <v>472</v>
      </c>
      <c r="J77" s="226" t="s">
        <v>473</v>
      </c>
      <c r="K77" s="226" t="s">
        <v>421</v>
      </c>
      <c r="L77" s="226" t="s">
        <v>422</v>
      </c>
      <c r="M77" s="226" t="s">
        <v>421</v>
      </c>
      <c r="N77" s="226" t="s">
        <v>423</v>
      </c>
      <c r="O77" s="226" t="s">
        <v>171</v>
      </c>
      <c r="P77" s="226" t="s">
        <v>171</v>
      </c>
      <c r="Q77" s="227">
        <v>390305.05</v>
      </c>
      <c r="R77" s="227">
        <v>0</v>
      </c>
      <c r="S77" s="227">
        <v>16737.060000000001</v>
      </c>
      <c r="T77" s="227">
        <v>6257128.4400000004</v>
      </c>
      <c r="U77" s="227">
        <v>0</v>
      </c>
      <c r="V77" s="227">
        <v>465352.64</v>
      </c>
      <c r="W77" s="227">
        <v>0</v>
      </c>
      <c r="X77" s="227">
        <v>319762</v>
      </c>
      <c r="Y77" s="227">
        <v>17516.52</v>
      </c>
      <c r="Z77" s="227">
        <v>10267.98</v>
      </c>
      <c r="AA77" s="227">
        <v>5778.99</v>
      </c>
      <c r="AB77" s="227">
        <v>0</v>
      </c>
      <c r="AC77" s="227">
        <v>128448.77</v>
      </c>
      <c r="AD77" s="227">
        <v>0</v>
      </c>
      <c r="AE77" s="227">
        <v>5275.83</v>
      </c>
      <c r="AF77" s="227">
        <v>93970.91</v>
      </c>
      <c r="AG77" s="227">
        <v>500</v>
      </c>
      <c r="AH77" s="227">
        <v>0</v>
      </c>
      <c r="AI77" s="227">
        <v>0</v>
      </c>
      <c r="AJ77" s="227">
        <v>0</v>
      </c>
      <c r="AK77" s="227">
        <v>53173.5</v>
      </c>
      <c r="AL77" s="227">
        <v>0</v>
      </c>
      <c r="AM77" s="227">
        <v>4235064.8499999996</v>
      </c>
      <c r="AN77" s="227">
        <v>0</v>
      </c>
      <c r="AO77" s="227">
        <v>1088322.18</v>
      </c>
      <c r="AP77" s="227">
        <v>91163.839999999997</v>
      </c>
      <c r="AQ77" s="227">
        <v>501859.83</v>
      </c>
      <c r="AR77" s="227">
        <v>0</v>
      </c>
      <c r="AS77" s="227">
        <v>51571.64</v>
      </c>
      <c r="AT77" s="227">
        <v>56340.45</v>
      </c>
      <c r="AU77" s="227">
        <v>8334.2999999999993</v>
      </c>
      <c r="AV77" s="227">
        <v>1042.56</v>
      </c>
      <c r="AW77" s="227">
        <v>0</v>
      </c>
      <c r="AX77" s="227">
        <v>58005.55</v>
      </c>
      <c r="AY77" s="227">
        <v>2846.43</v>
      </c>
      <c r="AZ77" s="227">
        <v>133912.37</v>
      </c>
      <c r="BA77" s="227">
        <v>0</v>
      </c>
      <c r="BB77" s="227">
        <v>130523.62</v>
      </c>
      <c r="BC77" s="227">
        <v>72777.600000000006</v>
      </c>
      <c r="BD77" s="227">
        <v>44483.5</v>
      </c>
      <c r="BE77" s="227">
        <v>198337.82</v>
      </c>
      <c r="BF77" s="227">
        <v>12052.24</v>
      </c>
      <c r="BG77" s="226">
        <v>0</v>
      </c>
      <c r="BH77" s="226">
        <v>76417.03</v>
      </c>
      <c r="BI77" s="226">
        <v>0</v>
      </c>
      <c r="BJ77" s="226">
        <v>0</v>
      </c>
      <c r="BK77" s="226">
        <v>2102</v>
      </c>
      <c r="BL77" s="226">
        <v>0</v>
      </c>
      <c r="BM77" s="227">
        <v>77386.91</v>
      </c>
      <c r="BN77" s="227">
        <v>23605.35</v>
      </c>
      <c r="BO77" s="227">
        <v>31452.12</v>
      </c>
      <c r="BP77" s="227">
        <v>1884.64</v>
      </c>
      <c r="BQ77" s="227">
        <v>173241.54</v>
      </c>
      <c r="BR77" s="227">
        <v>125320.44</v>
      </c>
      <c r="BS77" s="227">
        <v>127233.31</v>
      </c>
      <c r="BT77" s="227">
        <v>0</v>
      </c>
      <c r="BU77" s="227">
        <v>18484.669999999998</v>
      </c>
      <c r="BV77" s="334">
        <v>0</v>
      </c>
      <c r="BW77" s="335"/>
      <c r="BX77" s="227">
        <v>0</v>
      </c>
      <c r="BY77" s="227">
        <v>0</v>
      </c>
      <c r="BZ77" s="227">
        <v>0</v>
      </c>
      <c r="CA77" s="227">
        <v>16234.79</v>
      </c>
      <c r="CB77" s="227">
        <v>0</v>
      </c>
      <c r="CC77" s="227">
        <v>0</v>
      </c>
      <c r="CD77" s="227">
        <v>6000</v>
      </c>
      <c r="CE77" s="227">
        <v>0</v>
      </c>
      <c r="CF77" s="227">
        <v>0</v>
      </c>
      <c r="CG77" s="227">
        <v>0</v>
      </c>
      <c r="CH77" s="227">
        <v>14637.85</v>
      </c>
      <c r="CI77" s="226">
        <v>0</v>
      </c>
      <c r="CJ77" s="226">
        <v>0</v>
      </c>
      <c r="CK77" s="226">
        <v>0</v>
      </c>
      <c r="CL77" s="226">
        <v>0</v>
      </c>
      <c r="CM77" s="227">
        <v>0</v>
      </c>
      <c r="CN77" s="227">
        <v>403713.84</v>
      </c>
      <c r="CO77" s="227">
        <v>18334</v>
      </c>
      <c r="CP77" s="227">
        <v>0</v>
      </c>
      <c r="CQ77" s="227">
        <v>0</v>
      </c>
      <c r="CR77" s="227">
        <v>0</v>
      </c>
      <c r="CT77" s="229">
        <f t="shared" si="1"/>
        <v>403713.84</v>
      </c>
    </row>
    <row r="78" spans="1:98" ht="15">
      <c r="A78" s="226">
        <v>302</v>
      </c>
      <c r="B78" s="226">
        <v>4004</v>
      </c>
      <c r="C78" s="226" t="s">
        <v>356</v>
      </c>
      <c r="D78" s="226" t="s">
        <v>424</v>
      </c>
      <c r="E78" s="226"/>
      <c r="F78" s="226" t="s">
        <v>420</v>
      </c>
      <c r="G78" s="226">
        <v>0</v>
      </c>
      <c r="H78" s="226">
        <v>1</v>
      </c>
      <c r="I78" s="226" t="s">
        <v>472</v>
      </c>
      <c r="J78" s="226" t="s">
        <v>473</v>
      </c>
      <c r="K78" s="226" t="s">
        <v>421</v>
      </c>
      <c r="L78" s="226" t="s">
        <v>422</v>
      </c>
      <c r="M78" s="226" t="s">
        <v>421</v>
      </c>
      <c r="N78" s="226" t="s">
        <v>423</v>
      </c>
      <c r="O78" s="226" t="s">
        <v>171</v>
      </c>
      <c r="P78" s="226" t="s">
        <v>171</v>
      </c>
      <c r="Q78" s="227">
        <v>34492.639999999999</v>
      </c>
      <c r="R78" s="227">
        <v>0</v>
      </c>
      <c r="S78" s="227">
        <v>0</v>
      </c>
      <c r="T78" s="227">
        <v>2267787.48</v>
      </c>
      <c r="U78" s="227">
        <v>453039.72</v>
      </c>
      <c r="V78" s="227">
        <v>105844.96</v>
      </c>
      <c r="W78" s="227">
        <v>0</v>
      </c>
      <c r="X78" s="227">
        <v>10500</v>
      </c>
      <c r="Y78" s="227">
        <v>62810.98</v>
      </c>
      <c r="Z78" s="227">
        <v>0</v>
      </c>
      <c r="AA78" s="227">
        <v>0</v>
      </c>
      <c r="AB78" s="227">
        <v>0</v>
      </c>
      <c r="AC78" s="227">
        <v>0</v>
      </c>
      <c r="AD78" s="227">
        <v>0</v>
      </c>
      <c r="AE78" s="227">
        <v>0</v>
      </c>
      <c r="AF78" s="227">
        <v>0</v>
      </c>
      <c r="AG78" s="227">
        <v>656235.82999999996</v>
      </c>
      <c r="AH78" s="227">
        <v>0</v>
      </c>
      <c r="AI78" s="227">
        <v>0</v>
      </c>
      <c r="AJ78" s="227">
        <v>0</v>
      </c>
      <c r="AK78" s="227">
        <v>3168.75</v>
      </c>
      <c r="AL78" s="227">
        <v>0</v>
      </c>
      <c r="AM78" s="227">
        <v>2555920.36</v>
      </c>
      <c r="AN78" s="227">
        <v>0</v>
      </c>
      <c r="AO78" s="227">
        <v>272125.89</v>
      </c>
      <c r="AP78" s="227">
        <v>53203.66</v>
      </c>
      <c r="AQ78" s="227">
        <v>174243.16</v>
      </c>
      <c r="AR78" s="227">
        <v>0</v>
      </c>
      <c r="AS78" s="227">
        <v>0</v>
      </c>
      <c r="AT78" s="227">
        <v>5824.51</v>
      </c>
      <c r="AU78" s="227">
        <v>11898.58</v>
      </c>
      <c r="AV78" s="227">
        <v>452.16</v>
      </c>
      <c r="AW78" s="227">
        <v>0</v>
      </c>
      <c r="AX78" s="227">
        <v>54765.7</v>
      </c>
      <c r="AY78" s="227">
        <v>0</v>
      </c>
      <c r="AZ78" s="227">
        <v>63363.27</v>
      </c>
      <c r="BA78" s="227">
        <v>284.35000000000002</v>
      </c>
      <c r="BB78" s="227">
        <v>30087.46</v>
      </c>
      <c r="BC78" s="227">
        <v>8601.6</v>
      </c>
      <c r="BD78" s="227">
        <v>103194.89</v>
      </c>
      <c r="BE78" s="227">
        <v>45882.239999999998</v>
      </c>
      <c r="BF78" s="227">
        <v>7139.67</v>
      </c>
      <c r="BG78" s="226">
        <v>0</v>
      </c>
      <c r="BH78" s="226">
        <v>5571.97</v>
      </c>
      <c r="BI78" s="226">
        <v>32370.43</v>
      </c>
      <c r="BJ78" s="226">
        <v>2977.67</v>
      </c>
      <c r="BK78" s="226">
        <v>0</v>
      </c>
      <c r="BL78" s="226">
        <v>36280.36</v>
      </c>
      <c r="BM78" s="227">
        <v>49233.45</v>
      </c>
      <c r="BN78" s="227">
        <v>25548.14</v>
      </c>
      <c r="BO78" s="227">
        <v>14543.82</v>
      </c>
      <c r="BP78" s="227">
        <v>0</v>
      </c>
      <c r="BQ78" s="227">
        <v>4605.7</v>
      </c>
      <c r="BR78" s="227">
        <v>0</v>
      </c>
      <c r="BS78" s="227">
        <v>25706.3</v>
      </c>
      <c r="BT78" s="227">
        <v>0</v>
      </c>
      <c r="BU78" s="227">
        <v>37109.019999999997</v>
      </c>
      <c r="BV78" s="334">
        <v>0</v>
      </c>
      <c r="BW78" s="335"/>
      <c r="BX78" s="227">
        <v>14260</v>
      </c>
      <c r="BY78" s="227">
        <v>0</v>
      </c>
      <c r="BZ78" s="227">
        <v>0</v>
      </c>
      <c r="CA78" s="227">
        <v>0</v>
      </c>
      <c r="CB78" s="227">
        <v>0</v>
      </c>
      <c r="CC78" s="227">
        <v>14260</v>
      </c>
      <c r="CD78" s="227">
        <v>6000</v>
      </c>
      <c r="CE78" s="227">
        <v>0</v>
      </c>
      <c r="CF78" s="227">
        <v>0</v>
      </c>
      <c r="CG78" s="227">
        <v>0</v>
      </c>
      <c r="CH78" s="227">
        <v>0</v>
      </c>
      <c r="CI78" s="226">
        <v>0</v>
      </c>
      <c r="CJ78" s="226">
        <v>0</v>
      </c>
      <c r="CK78" s="226">
        <v>14260</v>
      </c>
      <c r="CL78" s="226">
        <v>0</v>
      </c>
      <c r="CM78" s="227">
        <v>0</v>
      </c>
      <c r="CN78" s="227">
        <v>-41314</v>
      </c>
      <c r="CO78" s="227">
        <v>0</v>
      </c>
      <c r="CP78" s="227">
        <v>0</v>
      </c>
      <c r="CQ78" s="227">
        <v>0</v>
      </c>
      <c r="CR78" s="227">
        <v>0</v>
      </c>
      <c r="CT78" s="229">
        <f t="shared" si="1"/>
        <v>-41314</v>
      </c>
    </row>
    <row r="79" spans="1:98" ht="30">
      <c r="A79" s="226">
        <v>302</v>
      </c>
      <c r="B79" s="226">
        <v>5404</v>
      </c>
      <c r="C79" s="226" t="s">
        <v>271</v>
      </c>
      <c r="D79" s="226" t="s">
        <v>424</v>
      </c>
      <c r="E79" s="226"/>
      <c r="F79" s="226" t="s">
        <v>420</v>
      </c>
      <c r="G79" s="226">
        <v>0</v>
      </c>
      <c r="H79" s="226">
        <v>0</v>
      </c>
      <c r="I79" s="226" t="s">
        <v>472</v>
      </c>
      <c r="J79" s="226" t="s">
        <v>473</v>
      </c>
      <c r="K79" s="226" t="s">
        <v>421</v>
      </c>
      <c r="L79" s="226" t="s">
        <v>422</v>
      </c>
      <c r="M79" s="226" t="s">
        <v>421</v>
      </c>
      <c r="N79" s="226" t="s">
        <v>423</v>
      </c>
      <c r="O79" s="226" t="s">
        <v>171</v>
      </c>
      <c r="P79" s="226" t="s">
        <v>171</v>
      </c>
      <c r="Q79" s="227">
        <v>147955.10999999999</v>
      </c>
      <c r="R79" s="227">
        <v>0</v>
      </c>
      <c r="S79" s="227">
        <v>0</v>
      </c>
      <c r="T79" s="227">
        <v>4492411.83</v>
      </c>
      <c r="U79" s="227">
        <v>1542366.69</v>
      </c>
      <c r="V79" s="227">
        <v>21508.02</v>
      </c>
      <c r="W79" s="227">
        <v>0</v>
      </c>
      <c r="X79" s="227">
        <v>81870</v>
      </c>
      <c r="Y79" s="227">
        <v>0</v>
      </c>
      <c r="Z79" s="227">
        <v>0</v>
      </c>
      <c r="AA79" s="227">
        <v>0</v>
      </c>
      <c r="AB79" s="227">
        <v>21178.02</v>
      </c>
      <c r="AC79" s="227">
        <v>237176.47</v>
      </c>
      <c r="AD79" s="227">
        <v>0</v>
      </c>
      <c r="AE79" s="227">
        <v>0</v>
      </c>
      <c r="AF79" s="227">
        <v>30641.7</v>
      </c>
      <c r="AG79" s="227">
        <v>453381.52</v>
      </c>
      <c r="AH79" s="227">
        <v>0</v>
      </c>
      <c r="AI79" s="227">
        <v>0</v>
      </c>
      <c r="AJ79" s="227">
        <v>0</v>
      </c>
      <c r="AK79" s="227">
        <v>14294.25</v>
      </c>
      <c r="AL79" s="227">
        <v>0</v>
      </c>
      <c r="AM79" s="227">
        <v>4456059.24</v>
      </c>
      <c r="AN79" s="227">
        <v>0</v>
      </c>
      <c r="AO79" s="227">
        <v>440145.34</v>
      </c>
      <c r="AP79" s="227">
        <v>102831.9</v>
      </c>
      <c r="AQ79" s="227">
        <v>448742.63</v>
      </c>
      <c r="AR79" s="227">
        <v>88256.05</v>
      </c>
      <c r="AS79" s="227">
        <v>2322.4499999999998</v>
      </c>
      <c r="AT79" s="227">
        <v>35534.120000000003</v>
      </c>
      <c r="AU79" s="227">
        <v>27068.03</v>
      </c>
      <c r="AV79" s="227">
        <v>0</v>
      </c>
      <c r="AW79" s="227">
        <v>0</v>
      </c>
      <c r="AX79" s="227">
        <v>182183.6</v>
      </c>
      <c r="AY79" s="227">
        <v>3950</v>
      </c>
      <c r="AZ79" s="227">
        <v>114153.03</v>
      </c>
      <c r="BA79" s="227">
        <v>25125.87</v>
      </c>
      <c r="BB79" s="227">
        <v>163740</v>
      </c>
      <c r="BC79" s="227">
        <v>3238.73</v>
      </c>
      <c r="BD79" s="227">
        <v>46787.53</v>
      </c>
      <c r="BE79" s="227">
        <v>137266.84</v>
      </c>
      <c r="BF79" s="227">
        <v>84594.66</v>
      </c>
      <c r="BG79" s="226">
        <v>0</v>
      </c>
      <c r="BH79" s="226">
        <v>0</v>
      </c>
      <c r="BI79" s="226">
        <v>0</v>
      </c>
      <c r="BJ79" s="226">
        <v>0</v>
      </c>
      <c r="BK79" s="226">
        <v>0</v>
      </c>
      <c r="BL79" s="226">
        <v>0</v>
      </c>
      <c r="BM79" s="227">
        <v>110341.55</v>
      </c>
      <c r="BN79" s="227">
        <v>75828.75</v>
      </c>
      <c r="BO79" s="227">
        <v>44196.73</v>
      </c>
      <c r="BP79" s="227">
        <v>6810.8</v>
      </c>
      <c r="BQ79" s="227">
        <v>170015.7</v>
      </c>
      <c r="BR79" s="227">
        <v>7194</v>
      </c>
      <c r="BS79" s="227">
        <v>77284.62</v>
      </c>
      <c r="BT79" s="227">
        <v>163161.44</v>
      </c>
      <c r="BU79" s="227">
        <v>0</v>
      </c>
      <c r="BV79" s="334">
        <v>0</v>
      </c>
      <c r="BW79" s="335"/>
      <c r="BX79" s="227">
        <v>25750</v>
      </c>
      <c r="BY79" s="227">
        <v>0</v>
      </c>
      <c r="BZ79" s="227">
        <v>0</v>
      </c>
      <c r="CA79" s="227">
        <v>0</v>
      </c>
      <c r="CB79" s="227">
        <v>0</v>
      </c>
      <c r="CC79" s="227">
        <v>25750</v>
      </c>
      <c r="CD79" s="227">
        <v>6000</v>
      </c>
      <c r="CE79" s="227">
        <v>0</v>
      </c>
      <c r="CF79" s="227">
        <v>0</v>
      </c>
      <c r="CG79" s="227">
        <v>25750</v>
      </c>
      <c r="CH79" s="227">
        <v>0</v>
      </c>
      <c r="CI79" s="226">
        <v>0</v>
      </c>
      <c r="CJ79" s="226">
        <v>0</v>
      </c>
      <c r="CK79" s="226">
        <v>0</v>
      </c>
      <c r="CL79" s="226">
        <v>0</v>
      </c>
      <c r="CM79" s="227">
        <v>0</v>
      </c>
      <c r="CN79" s="227">
        <v>200</v>
      </c>
      <c r="CO79" s="227">
        <v>0</v>
      </c>
      <c r="CP79" s="227">
        <v>0</v>
      </c>
      <c r="CQ79" s="227">
        <v>0</v>
      </c>
      <c r="CR79" s="227">
        <v>0</v>
      </c>
      <c r="CT79" s="229">
        <f t="shared" si="1"/>
        <v>200</v>
      </c>
    </row>
    <row r="80" spans="1:98" ht="15">
      <c r="A80" s="226">
        <v>302</v>
      </c>
      <c r="B80" s="226">
        <v>5405</v>
      </c>
      <c r="C80" s="226" t="s">
        <v>102</v>
      </c>
      <c r="D80" s="226" t="s">
        <v>424</v>
      </c>
      <c r="E80" s="226"/>
      <c r="F80" s="226" t="s">
        <v>420</v>
      </c>
      <c r="G80" s="226">
        <v>0</v>
      </c>
      <c r="H80" s="226">
        <v>0</v>
      </c>
      <c r="I80" s="226" t="s">
        <v>472</v>
      </c>
      <c r="J80" s="226" t="s">
        <v>473</v>
      </c>
      <c r="K80" s="226" t="s">
        <v>421</v>
      </c>
      <c r="L80" s="226" t="s">
        <v>422</v>
      </c>
      <c r="M80" s="226" t="s">
        <v>421</v>
      </c>
      <c r="N80" s="226" t="s">
        <v>423</v>
      </c>
      <c r="O80" s="226" t="s">
        <v>171</v>
      </c>
      <c r="P80" s="226" t="s">
        <v>171</v>
      </c>
      <c r="Q80" s="227">
        <v>1029889.3</v>
      </c>
      <c r="R80" s="227">
        <v>-4590</v>
      </c>
      <c r="S80" s="227">
        <v>0</v>
      </c>
      <c r="T80" s="227">
        <v>6479811.0899999999</v>
      </c>
      <c r="U80" s="227">
        <v>1887532.8</v>
      </c>
      <c r="V80" s="227">
        <v>266751.68</v>
      </c>
      <c r="W80" s="227">
        <v>0</v>
      </c>
      <c r="X80" s="227">
        <v>154250</v>
      </c>
      <c r="Y80" s="227">
        <v>16518.45</v>
      </c>
      <c r="Z80" s="227">
        <v>5320</v>
      </c>
      <c r="AA80" s="227">
        <v>13015</v>
      </c>
      <c r="AB80" s="227">
        <v>71326.8</v>
      </c>
      <c r="AC80" s="227">
        <v>443383.42</v>
      </c>
      <c r="AD80" s="227">
        <v>0</v>
      </c>
      <c r="AE80" s="227">
        <v>0</v>
      </c>
      <c r="AF80" s="227">
        <v>38150.01</v>
      </c>
      <c r="AG80" s="227">
        <v>6937.5</v>
      </c>
      <c r="AH80" s="227">
        <v>0</v>
      </c>
      <c r="AI80" s="227">
        <v>0</v>
      </c>
      <c r="AJ80" s="227">
        <v>0</v>
      </c>
      <c r="AK80" s="227">
        <v>21439.5</v>
      </c>
      <c r="AL80" s="227">
        <v>0</v>
      </c>
      <c r="AM80" s="227">
        <v>5689154.5599999996</v>
      </c>
      <c r="AN80" s="227">
        <v>0</v>
      </c>
      <c r="AO80" s="227">
        <v>814833.12</v>
      </c>
      <c r="AP80" s="227">
        <v>137623.82999999999</v>
      </c>
      <c r="AQ80" s="227">
        <v>708393.55</v>
      </c>
      <c r="AR80" s="227">
        <v>176225.1</v>
      </c>
      <c r="AS80" s="227">
        <v>0</v>
      </c>
      <c r="AT80" s="227">
        <v>70951.25</v>
      </c>
      <c r="AU80" s="227">
        <v>6140.67</v>
      </c>
      <c r="AV80" s="227">
        <v>1283.04</v>
      </c>
      <c r="AW80" s="227">
        <v>0</v>
      </c>
      <c r="AX80" s="227">
        <v>91684.32</v>
      </c>
      <c r="AY80" s="227">
        <v>42151.3</v>
      </c>
      <c r="AZ80" s="227">
        <v>155007.60999999999</v>
      </c>
      <c r="BA80" s="227">
        <v>10417.41</v>
      </c>
      <c r="BB80" s="227">
        <v>218850.26</v>
      </c>
      <c r="BC80" s="227">
        <v>31177.71</v>
      </c>
      <c r="BD80" s="227">
        <v>49470.57</v>
      </c>
      <c r="BE80" s="227">
        <v>178777.49</v>
      </c>
      <c r="BF80" s="227">
        <v>9815</v>
      </c>
      <c r="BG80" s="226">
        <v>0</v>
      </c>
      <c r="BH80" s="226">
        <v>12416.13</v>
      </c>
      <c r="BI80" s="226">
        <v>60901.4</v>
      </c>
      <c r="BJ80" s="226">
        <v>1570.6</v>
      </c>
      <c r="BK80" s="226">
        <v>25018.66</v>
      </c>
      <c r="BL80" s="226">
        <v>9669.9599999999991</v>
      </c>
      <c r="BM80" s="227">
        <v>150960.12</v>
      </c>
      <c r="BN80" s="227">
        <v>22627.53</v>
      </c>
      <c r="BO80" s="227">
        <v>46102.69</v>
      </c>
      <c r="BP80" s="227">
        <v>0</v>
      </c>
      <c r="BQ80" s="227">
        <v>287117.90000000002</v>
      </c>
      <c r="BR80" s="227">
        <v>81123.87</v>
      </c>
      <c r="BS80" s="227">
        <v>202004.58</v>
      </c>
      <c r="BT80" s="227">
        <v>53084.32</v>
      </c>
      <c r="BU80" s="227">
        <v>0</v>
      </c>
      <c r="BV80" s="334">
        <v>0</v>
      </c>
      <c r="BW80" s="335"/>
      <c r="BX80" s="227">
        <v>11450</v>
      </c>
      <c r="BY80" s="227">
        <v>0</v>
      </c>
      <c r="BZ80" s="227">
        <v>0</v>
      </c>
      <c r="CA80" s="227">
        <v>0</v>
      </c>
      <c r="CB80" s="227">
        <v>105281.92</v>
      </c>
      <c r="CC80" s="227">
        <v>11450</v>
      </c>
      <c r="CD80" s="227">
        <v>6000</v>
      </c>
      <c r="CE80" s="227">
        <v>0</v>
      </c>
      <c r="CF80" s="227">
        <v>0</v>
      </c>
      <c r="CG80" s="227">
        <v>48515</v>
      </c>
      <c r="CH80" s="227">
        <v>0</v>
      </c>
      <c r="CI80" s="226">
        <v>0</v>
      </c>
      <c r="CJ80" s="226">
        <v>0</v>
      </c>
      <c r="CK80" s="226">
        <v>68216.92</v>
      </c>
      <c r="CL80" s="226">
        <v>0</v>
      </c>
      <c r="CM80" s="227">
        <v>0</v>
      </c>
      <c r="CN80" s="227">
        <v>1078321</v>
      </c>
      <c r="CO80" s="227">
        <v>0</v>
      </c>
      <c r="CP80" s="227">
        <v>0</v>
      </c>
      <c r="CQ80" s="227">
        <v>-4590</v>
      </c>
      <c r="CR80" s="227">
        <v>0</v>
      </c>
      <c r="CT80" s="229">
        <f t="shared" si="1"/>
        <v>1073731</v>
      </c>
    </row>
    <row r="81" spans="1:98" ht="15">
      <c r="A81" s="226">
        <v>302</v>
      </c>
      <c r="B81" s="226">
        <v>5407</v>
      </c>
      <c r="C81" s="226" t="s">
        <v>107</v>
      </c>
      <c r="D81" s="226" t="s">
        <v>424</v>
      </c>
      <c r="E81" s="226"/>
      <c r="F81" s="226" t="s">
        <v>420</v>
      </c>
      <c r="G81" s="226">
        <v>0</v>
      </c>
      <c r="H81" s="226">
        <v>1</v>
      </c>
      <c r="I81" s="226" t="s">
        <v>472</v>
      </c>
      <c r="J81" s="226" t="s">
        <v>473</v>
      </c>
      <c r="K81" s="226" t="s">
        <v>421</v>
      </c>
      <c r="L81" s="226" t="s">
        <v>422</v>
      </c>
      <c r="M81" s="226" t="s">
        <v>421</v>
      </c>
      <c r="N81" s="226" t="s">
        <v>423</v>
      </c>
      <c r="O81" s="226" t="s">
        <v>171</v>
      </c>
      <c r="P81" s="226" t="s">
        <v>171</v>
      </c>
      <c r="Q81" s="227">
        <v>516758.37</v>
      </c>
      <c r="R81" s="227">
        <v>0</v>
      </c>
      <c r="S81" s="227">
        <v>0</v>
      </c>
      <c r="T81" s="227">
        <v>8431383.7200000007</v>
      </c>
      <c r="U81" s="227">
        <v>1170324.27</v>
      </c>
      <c r="V81" s="227">
        <v>256624.01</v>
      </c>
      <c r="W81" s="227">
        <v>0</v>
      </c>
      <c r="X81" s="227">
        <v>338924</v>
      </c>
      <c r="Y81" s="227">
        <v>0</v>
      </c>
      <c r="Z81" s="227">
        <v>0</v>
      </c>
      <c r="AA81" s="227">
        <v>0</v>
      </c>
      <c r="AB81" s="227">
        <v>24897.29</v>
      </c>
      <c r="AC81" s="227">
        <v>0</v>
      </c>
      <c r="AD81" s="227">
        <v>0</v>
      </c>
      <c r="AE81" s="227">
        <v>0</v>
      </c>
      <c r="AF81" s="227">
        <v>64762.79</v>
      </c>
      <c r="AG81" s="227">
        <v>95542.080000000002</v>
      </c>
      <c r="AH81" s="227">
        <v>0</v>
      </c>
      <c r="AI81" s="227">
        <v>0</v>
      </c>
      <c r="AJ81" s="227">
        <v>0</v>
      </c>
      <c r="AK81" s="227">
        <v>42585.75</v>
      </c>
      <c r="AL81" s="227">
        <v>0</v>
      </c>
      <c r="AM81" s="227">
        <v>5835223.21</v>
      </c>
      <c r="AN81" s="227">
        <v>0</v>
      </c>
      <c r="AO81" s="227">
        <v>1308769.72</v>
      </c>
      <c r="AP81" s="227">
        <v>156360.82</v>
      </c>
      <c r="AQ81" s="227">
        <v>467254.56</v>
      </c>
      <c r="AR81" s="227">
        <v>0</v>
      </c>
      <c r="AS81" s="227">
        <v>65364.49</v>
      </c>
      <c r="AT81" s="227">
        <v>180223.09</v>
      </c>
      <c r="AU81" s="227">
        <v>11055.57</v>
      </c>
      <c r="AV81" s="227">
        <v>1557</v>
      </c>
      <c r="AW81" s="227">
        <v>4800</v>
      </c>
      <c r="AX81" s="227">
        <v>106107.11</v>
      </c>
      <c r="AY81" s="227">
        <v>16245</v>
      </c>
      <c r="AZ81" s="227">
        <v>199589.08</v>
      </c>
      <c r="BA81" s="227">
        <v>14029.9</v>
      </c>
      <c r="BB81" s="227">
        <v>331468.81</v>
      </c>
      <c r="BC81" s="227">
        <v>43730</v>
      </c>
      <c r="BD81" s="227">
        <v>89868.44</v>
      </c>
      <c r="BE81" s="227">
        <v>230767.85</v>
      </c>
      <c r="BF81" s="227">
        <v>11488</v>
      </c>
      <c r="BG81" s="226">
        <v>0</v>
      </c>
      <c r="BH81" s="226">
        <v>16215.64</v>
      </c>
      <c r="BI81" s="226">
        <v>60962.32</v>
      </c>
      <c r="BJ81" s="226">
        <v>14624.01</v>
      </c>
      <c r="BK81" s="226">
        <v>0</v>
      </c>
      <c r="BL81" s="226">
        <v>9567</v>
      </c>
      <c r="BM81" s="227">
        <v>200861.43</v>
      </c>
      <c r="BN81" s="227">
        <v>193477.86</v>
      </c>
      <c r="BO81" s="227">
        <v>47761.19</v>
      </c>
      <c r="BP81" s="227">
        <v>2168.04</v>
      </c>
      <c r="BQ81" s="227">
        <v>155769.54</v>
      </c>
      <c r="BR81" s="227">
        <v>275047.53000000003</v>
      </c>
      <c r="BS81" s="227">
        <v>382276.04</v>
      </c>
      <c r="BT81" s="227">
        <v>131195.03</v>
      </c>
      <c r="BU81" s="227">
        <v>0</v>
      </c>
      <c r="BV81" s="334">
        <v>0</v>
      </c>
      <c r="BW81" s="335"/>
      <c r="BX81" s="227">
        <v>0</v>
      </c>
      <c r="BY81" s="227">
        <v>0</v>
      </c>
      <c r="BZ81" s="227">
        <v>0</v>
      </c>
      <c r="CA81" s="227">
        <v>0</v>
      </c>
      <c r="CB81" s="227">
        <v>0</v>
      </c>
      <c r="CC81" s="227">
        <v>0</v>
      </c>
      <c r="CD81" s="227">
        <v>6000</v>
      </c>
      <c r="CE81" s="227">
        <v>0</v>
      </c>
      <c r="CF81" s="227">
        <v>0</v>
      </c>
      <c r="CG81" s="227">
        <v>0</v>
      </c>
      <c r="CH81" s="227">
        <v>0</v>
      </c>
      <c r="CI81" s="226">
        <v>0</v>
      </c>
      <c r="CJ81" s="226">
        <v>0</v>
      </c>
      <c r="CK81" s="226">
        <v>0</v>
      </c>
      <c r="CL81" s="226">
        <v>0</v>
      </c>
      <c r="CM81" s="227">
        <v>377974</v>
      </c>
      <c r="CN81" s="227">
        <v>0</v>
      </c>
      <c r="CO81" s="227">
        <v>0</v>
      </c>
      <c r="CP81" s="227">
        <v>0</v>
      </c>
      <c r="CQ81" s="227">
        <v>0</v>
      </c>
      <c r="CR81" s="227">
        <v>0</v>
      </c>
      <c r="CT81" s="229">
        <f t="shared" si="1"/>
        <v>377974</v>
      </c>
    </row>
    <row r="82" spans="1:98" ht="15">
      <c r="A82" s="226">
        <v>302</v>
      </c>
      <c r="B82" s="226">
        <v>5427</v>
      </c>
      <c r="C82" s="226" t="s">
        <v>281</v>
      </c>
      <c r="D82" s="226" t="s">
        <v>424</v>
      </c>
      <c r="E82" s="226"/>
      <c r="F82" s="226" t="s">
        <v>420</v>
      </c>
      <c r="G82" s="226">
        <v>0</v>
      </c>
      <c r="H82" s="226">
        <v>2</v>
      </c>
      <c r="I82" s="226" t="s">
        <v>472</v>
      </c>
      <c r="J82" s="226" t="s">
        <v>473</v>
      </c>
      <c r="K82" s="226" t="s">
        <v>421</v>
      </c>
      <c r="L82" s="226" t="s">
        <v>422</v>
      </c>
      <c r="M82" s="226" t="s">
        <v>421</v>
      </c>
      <c r="N82" s="226" t="s">
        <v>423</v>
      </c>
      <c r="O82" s="226" t="s">
        <v>171</v>
      </c>
      <c r="P82" s="226" t="s">
        <v>171</v>
      </c>
      <c r="Q82" s="227">
        <v>61322.02</v>
      </c>
      <c r="R82" s="227">
        <v>0</v>
      </c>
      <c r="S82" s="227">
        <v>0</v>
      </c>
      <c r="T82" s="227">
        <v>7814301.3600000003</v>
      </c>
      <c r="U82" s="227">
        <v>1997203.27</v>
      </c>
      <c r="V82" s="227">
        <v>1597048.12</v>
      </c>
      <c r="W82" s="227">
        <v>0</v>
      </c>
      <c r="X82" s="227">
        <v>63250</v>
      </c>
      <c r="Y82" s="227">
        <v>181962.7</v>
      </c>
      <c r="Z82" s="227">
        <v>17407.29</v>
      </c>
      <c r="AA82" s="227">
        <v>34527.629999999997</v>
      </c>
      <c r="AB82" s="227">
        <v>0</v>
      </c>
      <c r="AC82" s="227">
        <v>38708.94</v>
      </c>
      <c r="AD82" s="227">
        <v>0</v>
      </c>
      <c r="AE82" s="227">
        <v>0</v>
      </c>
      <c r="AF82" s="227">
        <v>1396318.95</v>
      </c>
      <c r="AG82" s="227">
        <v>1977352</v>
      </c>
      <c r="AH82" s="227">
        <v>0</v>
      </c>
      <c r="AI82" s="227">
        <v>0</v>
      </c>
      <c r="AJ82" s="227">
        <v>0</v>
      </c>
      <c r="AK82" s="227">
        <v>18228.25</v>
      </c>
      <c r="AL82" s="227">
        <v>0</v>
      </c>
      <c r="AM82" s="227">
        <v>8222247.4900000002</v>
      </c>
      <c r="AN82" s="227">
        <v>17998.900000000001</v>
      </c>
      <c r="AO82" s="227">
        <v>2066949.14</v>
      </c>
      <c r="AP82" s="227">
        <v>193199.82</v>
      </c>
      <c r="AQ82" s="227">
        <v>931301.31</v>
      </c>
      <c r="AR82" s="227">
        <v>0</v>
      </c>
      <c r="AS82" s="227">
        <v>174539.23</v>
      </c>
      <c r="AT82" s="227">
        <v>104438.96</v>
      </c>
      <c r="AU82" s="227">
        <v>29522.76</v>
      </c>
      <c r="AV82" s="227">
        <v>0</v>
      </c>
      <c r="AW82" s="227">
        <v>0</v>
      </c>
      <c r="AX82" s="227">
        <v>228262.04</v>
      </c>
      <c r="AY82" s="227">
        <v>27363.4</v>
      </c>
      <c r="AZ82" s="227">
        <v>203318.7</v>
      </c>
      <c r="BA82" s="227">
        <v>16196.53</v>
      </c>
      <c r="BB82" s="227">
        <v>192074.16</v>
      </c>
      <c r="BC82" s="227">
        <v>10712</v>
      </c>
      <c r="BD82" s="227">
        <v>186447.94</v>
      </c>
      <c r="BE82" s="227">
        <v>374048.99</v>
      </c>
      <c r="BF82" s="227">
        <v>100000</v>
      </c>
      <c r="BG82" s="226">
        <v>0</v>
      </c>
      <c r="BH82" s="226">
        <v>67560</v>
      </c>
      <c r="BI82" s="226">
        <v>0</v>
      </c>
      <c r="BJ82" s="226">
        <v>0</v>
      </c>
      <c r="BK82" s="226">
        <v>0</v>
      </c>
      <c r="BL82" s="226">
        <v>0</v>
      </c>
      <c r="BM82" s="227">
        <v>262758.27</v>
      </c>
      <c r="BN82" s="227">
        <v>72392.31</v>
      </c>
      <c r="BO82" s="227">
        <v>39477.040000000001</v>
      </c>
      <c r="BP82" s="227">
        <v>0</v>
      </c>
      <c r="BQ82" s="227">
        <v>35218.46</v>
      </c>
      <c r="BR82" s="227">
        <v>123274.53</v>
      </c>
      <c r="BS82" s="227">
        <v>426831.29</v>
      </c>
      <c r="BT82" s="227">
        <v>1029145.26</v>
      </c>
      <c r="BU82" s="227">
        <v>0</v>
      </c>
      <c r="BV82" s="334">
        <v>0</v>
      </c>
      <c r="BW82" s="335"/>
      <c r="BX82" s="227">
        <v>0</v>
      </c>
      <c r="BY82" s="227">
        <v>0</v>
      </c>
      <c r="BZ82" s="227">
        <v>0</v>
      </c>
      <c r="CA82" s="227">
        <v>0</v>
      </c>
      <c r="CB82" s="227">
        <v>93239.99</v>
      </c>
      <c r="CC82" s="227">
        <v>0</v>
      </c>
      <c r="CD82" s="227">
        <v>6000</v>
      </c>
      <c r="CE82" s="227">
        <v>0</v>
      </c>
      <c r="CF82" s="227">
        <v>93239.99</v>
      </c>
      <c r="CG82" s="227">
        <v>0</v>
      </c>
      <c r="CH82" s="227">
        <v>0</v>
      </c>
      <c r="CI82" s="226">
        <v>0</v>
      </c>
      <c r="CJ82" s="226">
        <v>0</v>
      </c>
      <c r="CK82" s="226">
        <v>0</v>
      </c>
      <c r="CL82" s="226">
        <v>0</v>
      </c>
      <c r="CM82" s="227">
        <v>0</v>
      </c>
      <c r="CN82" s="227">
        <v>62352</v>
      </c>
      <c r="CO82" s="227">
        <v>0</v>
      </c>
      <c r="CP82" s="227">
        <v>0</v>
      </c>
      <c r="CQ82" s="227">
        <v>0</v>
      </c>
      <c r="CR82" s="227">
        <v>0</v>
      </c>
      <c r="CT82" s="229">
        <f t="shared" si="1"/>
        <v>62352</v>
      </c>
    </row>
    <row r="83" spans="1:98" ht="30">
      <c r="A83" s="226">
        <v>302</v>
      </c>
      <c r="B83" s="226">
        <v>5948</v>
      </c>
      <c r="C83" s="226" t="s">
        <v>248</v>
      </c>
      <c r="D83" s="226" t="s">
        <v>424</v>
      </c>
      <c r="E83" s="226"/>
      <c r="F83" s="226" t="s">
        <v>420</v>
      </c>
      <c r="G83" s="226">
        <v>0</v>
      </c>
      <c r="H83" s="226">
        <v>0</v>
      </c>
      <c r="I83" s="226" t="s">
        <v>472</v>
      </c>
      <c r="J83" s="226" t="s">
        <v>473</v>
      </c>
      <c r="K83" s="226" t="s">
        <v>421</v>
      </c>
      <c r="L83" s="226" t="s">
        <v>422</v>
      </c>
      <c r="M83" s="226" t="s">
        <v>421</v>
      </c>
      <c r="N83" s="226" t="s">
        <v>423</v>
      </c>
      <c r="O83" s="226" t="s">
        <v>171</v>
      </c>
      <c r="P83" s="226" t="s">
        <v>171</v>
      </c>
      <c r="Q83" s="227">
        <v>6252.53</v>
      </c>
      <c r="R83" s="227">
        <v>0</v>
      </c>
      <c r="S83" s="227">
        <v>0</v>
      </c>
      <c r="T83" s="227">
        <v>1105353.6299999999</v>
      </c>
      <c r="U83" s="227">
        <v>0</v>
      </c>
      <c r="V83" s="227">
        <v>50284.36</v>
      </c>
      <c r="W83" s="227">
        <v>0</v>
      </c>
      <c r="X83" s="227">
        <v>7400</v>
      </c>
      <c r="Y83" s="227">
        <v>58763.94</v>
      </c>
      <c r="Z83" s="227">
        <v>90640.12</v>
      </c>
      <c r="AA83" s="227">
        <v>0</v>
      </c>
      <c r="AB83" s="227">
        <v>110942.86</v>
      </c>
      <c r="AC83" s="227">
        <v>0</v>
      </c>
      <c r="AD83" s="227">
        <v>2895</v>
      </c>
      <c r="AE83" s="227">
        <v>0</v>
      </c>
      <c r="AF83" s="227">
        <v>46506.57</v>
      </c>
      <c r="AG83" s="227">
        <v>428363.25</v>
      </c>
      <c r="AH83" s="227">
        <v>0</v>
      </c>
      <c r="AI83" s="227">
        <v>0</v>
      </c>
      <c r="AJ83" s="227">
        <v>0</v>
      </c>
      <c r="AK83" s="227">
        <v>0</v>
      </c>
      <c r="AL83" s="227">
        <v>115810.26</v>
      </c>
      <c r="AM83" s="227">
        <v>908374.58</v>
      </c>
      <c r="AN83" s="227">
        <v>3026.17</v>
      </c>
      <c r="AO83" s="227">
        <v>321423.90999999997</v>
      </c>
      <c r="AP83" s="227">
        <v>0</v>
      </c>
      <c r="AQ83" s="227">
        <v>90619.96</v>
      </c>
      <c r="AR83" s="227">
        <v>0</v>
      </c>
      <c r="AS83" s="227">
        <v>25277.11</v>
      </c>
      <c r="AT83" s="227">
        <v>855.07</v>
      </c>
      <c r="AU83" s="227">
        <v>6587.14</v>
      </c>
      <c r="AV83" s="227">
        <v>0</v>
      </c>
      <c r="AW83" s="227">
        <v>8782.2900000000009</v>
      </c>
      <c r="AX83" s="227">
        <v>36740.94</v>
      </c>
      <c r="AY83" s="227">
        <v>0</v>
      </c>
      <c r="AZ83" s="227">
        <v>60328.29</v>
      </c>
      <c r="BA83" s="227">
        <v>9243.7900000000009</v>
      </c>
      <c r="BB83" s="227">
        <v>30453.94</v>
      </c>
      <c r="BC83" s="227">
        <v>16972</v>
      </c>
      <c r="BD83" s="227">
        <v>99447.52</v>
      </c>
      <c r="BE83" s="227">
        <v>88621.4</v>
      </c>
      <c r="BF83" s="227">
        <v>15597.76</v>
      </c>
      <c r="BG83" s="226">
        <v>0</v>
      </c>
      <c r="BH83" s="226">
        <v>0</v>
      </c>
      <c r="BI83" s="226">
        <v>0</v>
      </c>
      <c r="BJ83" s="226">
        <v>0</v>
      </c>
      <c r="BK83" s="226">
        <v>0</v>
      </c>
      <c r="BL83" s="226">
        <v>0</v>
      </c>
      <c r="BM83" s="227">
        <v>0</v>
      </c>
      <c r="BN83" s="227">
        <v>22326.39</v>
      </c>
      <c r="BO83" s="227">
        <v>8541.77</v>
      </c>
      <c r="BP83" s="227">
        <v>1876.63</v>
      </c>
      <c r="BQ83" s="227">
        <v>120402.17</v>
      </c>
      <c r="BR83" s="227">
        <v>0</v>
      </c>
      <c r="BS83" s="227">
        <v>24080.81</v>
      </c>
      <c r="BT83" s="227">
        <v>35254.620000000003</v>
      </c>
      <c r="BU83" s="227">
        <v>0</v>
      </c>
      <c r="BV83" s="334">
        <v>0</v>
      </c>
      <c r="BW83" s="335"/>
      <c r="BX83" s="227">
        <v>0</v>
      </c>
      <c r="BY83" s="227">
        <v>0</v>
      </c>
      <c r="BZ83" s="227">
        <v>0</v>
      </c>
      <c r="CA83" s="227">
        <v>0</v>
      </c>
      <c r="CB83" s="227">
        <v>0</v>
      </c>
      <c r="CC83" s="227">
        <v>0</v>
      </c>
      <c r="CD83" s="227">
        <v>6000</v>
      </c>
      <c r="CE83" s="227">
        <v>0</v>
      </c>
      <c r="CF83" s="227">
        <v>0</v>
      </c>
      <c r="CG83" s="227">
        <v>0</v>
      </c>
      <c r="CH83" s="227">
        <v>0</v>
      </c>
      <c r="CI83" s="226">
        <v>0</v>
      </c>
      <c r="CJ83" s="226">
        <v>0</v>
      </c>
      <c r="CK83" s="226">
        <v>0</v>
      </c>
      <c r="CL83" s="226">
        <v>0</v>
      </c>
      <c r="CM83" s="227">
        <v>0</v>
      </c>
      <c r="CN83" s="227">
        <v>88378.26</v>
      </c>
      <c r="CO83" s="227">
        <v>0</v>
      </c>
      <c r="CP83" s="227">
        <v>0</v>
      </c>
      <c r="CQ83" s="227">
        <v>0</v>
      </c>
      <c r="CR83" s="227">
        <v>0</v>
      </c>
      <c r="CT83" s="229">
        <f t="shared" si="1"/>
        <v>88378.26</v>
      </c>
    </row>
    <row r="84" spans="1:98" ht="15">
      <c r="A84" s="226">
        <v>302</v>
      </c>
      <c r="B84" s="226">
        <v>5949</v>
      </c>
      <c r="C84" s="226" t="s">
        <v>69</v>
      </c>
      <c r="D84" s="226" t="s">
        <v>424</v>
      </c>
      <c r="E84" s="226"/>
      <c r="F84" s="226" t="s">
        <v>420</v>
      </c>
      <c r="G84" s="226">
        <v>0</v>
      </c>
      <c r="H84" s="226">
        <v>1</v>
      </c>
      <c r="I84" s="226" t="s">
        <v>472</v>
      </c>
      <c r="J84" s="226" t="s">
        <v>473</v>
      </c>
      <c r="K84" s="226" t="s">
        <v>421</v>
      </c>
      <c r="L84" s="226" t="s">
        <v>422</v>
      </c>
      <c r="M84" s="226" t="s">
        <v>421</v>
      </c>
      <c r="N84" s="226" t="s">
        <v>423</v>
      </c>
      <c r="O84" s="226" t="s">
        <v>171</v>
      </c>
      <c r="P84" s="226" t="s">
        <v>171</v>
      </c>
      <c r="Q84" s="227">
        <v>-19873.349999999999</v>
      </c>
      <c r="R84" s="227">
        <v>0</v>
      </c>
      <c r="S84" s="227">
        <v>0</v>
      </c>
      <c r="T84" s="227">
        <v>1815628.64</v>
      </c>
      <c r="U84" s="227">
        <v>0</v>
      </c>
      <c r="V84" s="227">
        <v>62731</v>
      </c>
      <c r="W84" s="227">
        <v>0</v>
      </c>
      <c r="X84" s="227">
        <v>17760</v>
      </c>
      <c r="Y84" s="227">
        <v>6944.42</v>
      </c>
      <c r="Z84" s="227">
        <v>140291.9</v>
      </c>
      <c r="AA84" s="227">
        <v>0</v>
      </c>
      <c r="AB84" s="227">
        <v>4782.6000000000004</v>
      </c>
      <c r="AC84" s="227">
        <v>0</v>
      </c>
      <c r="AD84" s="227">
        <v>0</v>
      </c>
      <c r="AE84" s="227">
        <v>28297.51</v>
      </c>
      <c r="AF84" s="227">
        <v>19339</v>
      </c>
      <c r="AG84" s="227">
        <v>1077428.75</v>
      </c>
      <c r="AH84" s="227">
        <v>0</v>
      </c>
      <c r="AI84" s="227">
        <v>0</v>
      </c>
      <c r="AJ84" s="227">
        <v>0</v>
      </c>
      <c r="AK84" s="227">
        <v>65430</v>
      </c>
      <c r="AL84" s="227">
        <v>0</v>
      </c>
      <c r="AM84" s="227">
        <v>1166875.99</v>
      </c>
      <c r="AN84" s="227">
        <v>0</v>
      </c>
      <c r="AO84" s="227">
        <v>1037728.18</v>
      </c>
      <c r="AP84" s="227">
        <v>55845.3</v>
      </c>
      <c r="AQ84" s="227">
        <v>110272.48</v>
      </c>
      <c r="AR84" s="227">
        <v>0</v>
      </c>
      <c r="AS84" s="227">
        <v>9225.48</v>
      </c>
      <c r="AT84" s="227">
        <v>65924.7</v>
      </c>
      <c r="AU84" s="227">
        <v>23924.959999999999</v>
      </c>
      <c r="AV84" s="227">
        <v>522.87</v>
      </c>
      <c r="AW84" s="227">
        <v>0</v>
      </c>
      <c r="AX84" s="227">
        <v>60016.76</v>
      </c>
      <c r="AY84" s="227">
        <v>0</v>
      </c>
      <c r="AZ84" s="227">
        <v>74539.88</v>
      </c>
      <c r="BA84" s="227">
        <v>3892.19</v>
      </c>
      <c r="BB84" s="227">
        <v>61125.06</v>
      </c>
      <c r="BC84" s="227">
        <v>38376</v>
      </c>
      <c r="BD84" s="227">
        <v>12287.34</v>
      </c>
      <c r="BE84" s="227">
        <v>174645.31</v>
      </c>
      <c r="BF84" s="227">
        <v>5034.95</v>
      </c>
      <c r="BG84" s="226">
        <v>0</v>
      </c>
      <c r="BH84" s="226">
        <v>12944.1</v>
      </c>
      <c r="BI84" s="226">
        <v>0</v>
      </c>
      <c r="BJ84" s="226">
        <v>3300</v>
      </c>
      <c r="BK84" s="226">
        <v>0</v>
      </c>
      <c r="BL84" s="226">
        <v>0</v>
      </c>
      <c r="BM84" s="227">
        <v>0</v>
      </c>
      <c r="BN84" s="227">
        <v>13956.5</v>
      </c>
      <c r="BO84" s="227">
        <v>20525.22</v>
      </c>
      <c r="BP84" s="227">
        <v>2563.4899999999998</v>
      </c>
      <c r="BQ84" s="227">
        <v>38266.699999999997</v>
      </c>
      <c r="BR84" s="227">
        <v>59210.58</v>
      </c>
      <c r="BS84" s="227">
        <v>31743.89</v>
      </c>
      <c r="BT84" s="227">
        <v>155632.82</v>
      </c>
      <c r="BU84" s="227">
        <v>0</v>
      </c>
      <c r="BV84" s="334">
        <v>0</v>
      </c>
      <c r="BW84" s="335"/>
      <c r="BX84" s="227">
        <v>0</v>
      </c>
      <c r="BY84" s="227">
        <v>0</v>
      </c>
      <c r="BZ84" s="227">
        <v>0</v>
      </c>
      <c r="CA84" s="227">
        <v>0</v>
      </c>
      <c r="CB84" s="227">
        <v>0</v>
      </c>
      <c r="CC84" s="227">
        <v>0</v>
      </c>
      <c r="CD84" s="227">
        <v>6000</v>
      </c>
      <c r="CE84" s="227">
        <v>0</v>
      </c>
      <c r="CF84" s="227">
        <v>0</v>
      </c>
      <c r="CG84" s="227">
        <v>0</v>
      </c>
      <c r="CH84" s="227">
        <v>0</v>
      </c>
      <c r="CI84" s="226">
        <v>0</v>
      </c>
      <c r="CJ84" s="226">
        <v>0</v>
      </c>
      <c r="CK84" s="226">
        <v>0</v>
      </c>
      <c r="CL84" s="226">
        <v>0</v>
      </c>
      <c r="CM84" s="227">
        <v>0</v>
      </c>
      <c r="CN84" s="227">
        <v>-19620.28</v>
      </c>
      <c r="CO84" s="227">
        <v>0</v>
      </c>
      <c r="CP84" s="227">
        <v>0</v>
      </c>
      <c r="CQ84" s="227">
        <v>0</v>
      </c>
      <c r="CR84" s="227">
        <v>0</v>
      </c>
      <c r="CT84" s="229">
        <f t="shared" si="1"/>
        <v>-19620.28</v>
      </c>
    </row>
    <row r="85" spans="1:98" ht="15">
      <c r="A85" s="226">
        <v>302</v>
      </c>
      <c r="B85" s="226">
        <v>7005</v>
      </c>
      <c r="C85" s="226" t="s">
        <v>111</v>
      </c>
      <c r="D85" s="226" t="s">
        <v>424</v>
      </c>
      <c r="E85" s="226"/>
      <c r="F85" s="226" t="s">
        <v>420</v>
      </c>
      <c r="G85" s="226">
        <v>0</v>
      </c>
      <c r="H85" s="226">
        <v>0</v>
      </c>
      <c r="I85" s="226" t="s">
        <v>472</v>
      </c>
      <c r="J85" s="226" t="s">
        <v>473</v>
      </c>
      <c r="K85" s="226" t="s">
        <v>421</v>
      </c>
      <c r="L85" s="226" t="s">
        <v>422</v>
      </c>
      <c r="M85" s="226" t="s">
        <v>421</v>
      </c>
      <c r="N85" s="226" t="s">
        <v>423</v>
      </c>
      <c r="O85" s="226" t="s">
        <v>421</v>
      </c>
      <c r="P85" s="226" t="s">
        <v>171</v>
      </c>
      <c r="Q85" s="227">
        <v>94261.32</v>
      </c>
      <c r="R85" s="227">
        <v>0</v>
      </c>
      <c r="S85" s="227">
        <v>0</v>
      </c>
      <c r="T85" s="227">
        <v>2150584.7400000002</v>
      </c>
      <c r="U85" s="227">
        <v>0</v>
      </c>
      <c r="V85" s="227">
        <v>2372115.2799999998</v>
      </c>
      <c r="W85" s="227">
        <v>0</v>
      </c>
      <c r="X85" s="227">
        <v>89800</v>
      </c>
      <c r="Y85" s="227">
        <v>200</v>
      </c>
      <c r="Z85" s="227">
        <v>23425.38</v>
      </c>
      <c r="AA85" s="227">
        <v>37950.589999999997</v>
      </c>
      <c r="AB85" s="227">
        <v>0</v>
      </c>
      <c r="AC85" s="227">
        <v>161.34</v>
      </c>
      <c r="AD85" s="227">
        <v>0</v>
      </c>
      <c r="AE85" s="227">
        <v>0</v>
      </c>
      <c r="AF85" s="227">
        <v>329</v>
      </c>
      <c r="AG85" s="227">
        <v>3117.65</v>
      </c>
      <c r="AH85" s="227">
        <v>0</v>
      </c>
      <c r="AI85" s="227">
        <v>0</v>
      </c>
      <c r="AJ85" s="227">
        <v>0</v>
      </c>
      <c r="AK85" s="227">
        <v>17982.939999999999</v>
      </c>
      <c r="AL85" s="227">
        <v>30902</v>
      </c>
      <c r="AM85" s="227">
        <v>1497740.22</v>
      </c>
      <c r="AN85" s="227">
        <v>0</v>
      </c>
      <c r="AO85" s="227">
        <v>1439402.33</v>
      </c>
      <c r="AP85" s="227">
        <v>59519.41</v>
      </c>
      <c r="AQ85" s="227">
        <v>225716.24</v>
      </c>
      <c r="AR85" s="227">
        <v>0</v>
      </c>
      <c r="AS85" s="227">
        <v>18468.25</v>
      </c>
      <c r="AT85" s="227">
        <v>28780.63</v>
      </c>
      <c r="AU85" s="227">
        <v>20143.91</v>
      </c>
      <c r="AV85" s="227">
        <v>0</v>
      </c>
      <c r="AW85" s="227">
        <v>0</v>
      </c>
      <c r="AX85" s="227">
        <v>37645.58</v>
      </c>
      <c r="AY85" s="227">
        <v>4874.71</v>
      </c>
      <c r="AZ85" s="227">
        <v>72714.48</v>
      </c>
      <c r="BA85" s="227">
        <v>12047.73</v>
      </c>
      <c r="BB85" s="227">
        <v>114658.34</v>
      </c>
      <c r="BC85" s="227">
        <v>0</v>
      </c>
      <c r="BD85" s="227">
        <v>18510.27</v>
      </c>
      <c r="BE85" s="227">
        <v>61244.41</v>
      </c>
      <c r="BF85" s="227">
        <v>13502.94</v>
      </c>
      <c r="BG85" s="226">
        <v>2577.9</v>
      </c>
      <c r="BH85" s="226">
        <v>5984.15</v>
      </c>
      <c r="BI85" s="226">
        <v>6859.71</v>
      </c>
      <c r="BJ85" s="226">
        <v>250.99</v>
      </c>
      <c r="BK85" s="226">
        <v>10292.02</v>
      </c>
      <c r="BL85" s="226">
        <v>15087.73</v>
      </c>
      <c r="BM85" s="227">
        <v>0</v>
      </c>
      <c r="BN85" s="227">
        <v>1626.99</v>
      </c>
      <c r="BO85" s="227">
        <v>8240</v>
      </c>
      <c r="BP85" s="227">
        <v>3387.65</v>
      </c>
      <c r="BQ85" s="227">
        <v>65814.69</v>
      </c>
      <c r="BR85" s="227">
        <v>12879.33</v>
      </c>
      <c r="BS85" s="227">
        <v>911762.08</v>
      </c>
      <c r="BT85" s="227">
        <v>39734</v>
      </c>
      <c r="BU85" s="227">
        <v>0</v>
      </c>
      <c r="BV85" s="334">
        <v>0</v>
      </c>
      <c r="BW85" s="335"/>
      <c r="BX85" s="227">
        <v>0</v>
      </c>
      <c r="BY85" s="227">
        <v>0</v>
      </c>
      <c r="BZ85" s="227">
        <v>0</v>
      </c>
      <c r="CA85" s="227">
        <v>108165.03</v>
      </c>
      <c r="CB85" s="227">
        <v>0</v>
      </c>
      <c r="CC85" s="227">
        <v>0</v>
      </c>
      <c r="CD85" s="227">
        <v>6000</v>
      </c>
      <c r="CE85" s="227">
        <v>0</v>
      </c>
      <c r="CF85" s="227">
        <v>81590.22</v>
      </c>
      <c r="CG85" s="227">
        <v>0</v>
      </c>
      <c r="CH85" s="227">
        <v>16068.81</v>
      </c>
      <c r="CI85" s="226">
        <v>0</v>
      </c>
      <c r="CJ85" s="226">
        <v>0</v>
      </c>
      <c r="CK85" s="226">
        <v>0</v>
      </c>
      <c r="CL85" s="226">
        <v>0</v>
      </c>
      <c r="CM85" s="227">
        <v>111363.55</v>
      </c>
      <c r="CN85" s="227">
        <v>0</v>
      </c>
      <c r="CO85" s="227">
        <v>10506</v>
      </c>
      <c r="CP85" s="227">
        <v>0</v>
      </c>
      <c r="CQ85" s="227">
        <v>0</v>
      </c>
      <c r="CR85" s="227">
        <v>0</v>
      </c>
      <c r="CT85" s="229">
        <f t="shared" si="1"/>
        <v>111363.55</v>
      </c>
    </row>
    <row r="86" spans="1:98" ht="30">
      <c r="A86" s="226">
        <v>302</v>
      </c>
      <c r="B86" s="226">
        <v>7009</v>
      </c>
      <c r="C86" s="226" t="s">
        <v>339</v>
      </c>
      <c r="D86" s="226" t="s">
        <v>424</v>
      </c>
      <c r="E86" s="226"/>
      <c r="F86" s="226" t="s">
        <v>420</v>
      </c>
      <c r="G86" s="226">
        <v>0</v>
      </c>
      <c r="H86" s="226">
        <v>1</v>
      </c>
      <c r="I86" s="226" t="s">
        <v>472</v>
      </c>
      <c r="J86" s="226" t="s">
        <v>473</v>
      </c>
      <c r="K86" s="226" t="s">
        <v>421</v>
      </c>
      <c r="L86" s="226" t="s">
        <v>422</v>
      </c>
      <c r="M86" s="226" t="s">
        <v>421</v>
      </c>
      <c r="N86" s="226" t="s">
        <v>423</v>
      </c>
      <c r="O86" s="226" t="s">
        <v>421</v>
      </c>
      <c r="P86" s="226" t="s">
        <v>171</v>
      </c>
      <c r="Q86" s="227">
        <v>63894.73</v>
      </c>
      <c r="R86" s="227">
        <v>0</v>
      </c>
      <c r="S86" s="227">
        <v>0.03</v>
      </c>
      <c r="T86" s="227">
        <v>1907021.37</v>
      </c>
      <c r="U86" s="227">
        <v>0</v>
      </c>
      <c r="V86" s="227">
        <v>3021243.33</v>
      </c>
      <c r="W86" s="227">
        <v>0</v>
      </c>
      <c r="X86" s="227">
        <v>104890.58</v>
      </c>
      <c r="Y86" s="227">
        <v>1200</v>
      </c>
      <c r="Z86" s="227">
        <v>27078.080000000002</v>
      </c>
      <c r="AA86" s="227">
        <v>8744.06</v>
      </c>
      <c r="AB86" s="227">
        <v>723165.84</v>
      </c>
      <c r="AC86" s="227">
        <v>0</v>
      </c>
      <c r="AD86" s="227">
        <v>0</v>
      </c>
      <c r="AE86" s="227">
        <v>2137</v>
      </c>
      <c r="AF86" s="227">
        <v>714.05</v>
      </c>
      <c r="AG86" s="227">
        <v>7943.7</v>
      </c>
      <c r="AH86" s="227">
        <v>0</v>
      </c>
      <c r="AI86" s="227">
        <v>0</v>
      </c>
      <c r="AJ86" s="227">
        <v>0</v>
      </c>
      <c r="AK86" s="227">
        <v>14716.56</v>
      </c>
      <c r="AL86" s="227">
        <v>29315</v>
      </c>
      <c r="AM86" s="227">
        <v>2215290.7599999998</v>
      </c>
      <c r="AN86" s="227">
        <v>4310.46</v>
      </c>
      <c r="AO86" s="227">
        <v>2146419.85</v>
      </c>
      <c r="AP86" s="227">
        <v>44520.45</v>
      </c>
      <c r="AQ86" s="227">
        <v>119790.51</v>
      </c>
      <c r="AR86" s="227">
        <v>0</v>
      </c>
      <c r="AS86" s="227">
        <v>125144.16</v>
      </c>
      <c r="AT86" s="227">
        <v>29579.18</v>
      </c>
      <c r="AU86" s="227">
        <v>18047.89</v>
      </c>
      <c r="AV86" s="227">
        <v>0</v>
      </c>
      <c r="AW86" s="227">
        <v>0</v>
      </c>
      <c r="AX86" s="227">
        <v>49973.760000000002</v>
      </c>
      <c r="AY86" s="227">
        <v>745.66</v>
      </c>
      <c r="AZ86" s="227">
        <v>33907.07</v>
      </c>
      <c r="BA86" s="227">
        <v>5365.39</v>
      </c>
      <c r="BB86" s="227">
        <v>53791.199999999997</v>
      </c>
      <c r="BC86" s="227">
        <v>0</v>
      </c>
      <c r="BD86" s="227">
        <v>31917.279999999999</v>
      </c>
      <c r="BE86" s="227">
        <v>59988.639999999999</v>
      </c>
      <c r="BF86" s="227">
        <v>4729.79</v>
      </c>
      <c r="BG86" s="226">
        <v>4393.3999999999996</v>
      </c>
      <c r="BH86" s="226">
        <v>3396.78</v>
      </c>
      <c r="BI86" s="226">
        <v>10576.81</v>
      </c>
      <c r="BJ86" s="226">
        <v>16787.310000000001</v>
      </c>
      <c r="BK86" s="226">
        <v>4655.71</v>
      </c>
      <c r="BL86" s="226">
        <v>12638.22</v>
      </c>
      <c r="BM86" s="227">
        <v>0</v>
      </c>
      <c r="BN86" s="227">
        <v>18695.98</v>
      </c>
      <c r="BO86" s="227">
        <v>11707.84</v>
      </c>
      <c r="BP86" s="227">
        <v>72818.3</v>
      </c>
      <c r="BQ86" s="227">
        <v>37313.29</v>
      </c>
      <c r="BR86" s="227">
        <v>519</v>
      </c>
      <c r="BS86" s="227">
        <v>623824.05000000005</v>
      </c>
      <c r="BT86" s="227">
        <v>48468.56</v>
      </c>
      <c r="BU86" s="227">
        <v>0</v>
      </c>
      <c r="BV86" s="334">
        <v>0</v>
      </c>
      <c r="BW86" s="335"/>
      <c r="BX86" s="227">
        <v>0</v>
      </c>
      <c r="BY86" s="227">
        <v>0</v>
      </c>
      <c r="BZ86" s="227">
        <v>0</v>
      </c>
      <c r="CA86" s="227">
        <v>11948.13</v>
      </c>
      <c r="CB86" s="227">
        <v>10000</v>
      </c>
      <c r="CC86" s="227">
        <v>0</v>
      </c>
      <c r="CD86" s="227">
        <v>6000</v>
      </c>
      <c r="CE86" s="227">
        <v>0</v>
      </c>
      <c r="CF86" s="227">
        <v>5818.82</v>
      </c>
      <c r="CG86" s="227">
        <v>8333.34</v>
      </c>
      <c r="CH86" s="227">
        <v>0</v>
      </c>
      <c r="CI86" s="226">
        <v>0</v>
      </c>
      <c r="CJ86" s="226">
        <v>0</v>
      </c>
      <c r="CK86" s="226">
        <v>0</v>
      </c>
      <c r="CL86" s="226">
        <v>0</v>
      </c>
      <c r="CM86" s="227">
        <v>52255</v>
      </c>
      <c r="CN86" s="227">
        <v>50492</v>
      </c>
      <c r="CO86" s="227">
        <v>6129</v>
      </c>
      <c r="CP86" s="227">
        <v>1667</v>
      </c>
      <c r="CQ86" s="227">
        <v>0</v>
      </c>
      <c r="CR86" s="227">
        <v>0</v>
      </c>
      <c r="CT86" s="229">
        <f t="shared" si="1"/>
        <v>102747</v>
      </c>
    </row>
    <row r="87" spans="1:98" ht="15">
      <c r="A87" s="226">
        <v>302</v>
      </c>
      <c r="B87" s="226">
        <v>7010</v>
      </c>
      <c r="C87" s="226" t="s">
        <v>110</v>
      </c>
      <c r="D87" s="226" t="s">
        <v>424</v>
      </c>
      <c r="E87" s="226"/>
      <c r="F87" s="226" t="s">
        <v>420</v>
      </c>
      <c r="G87" s="226">
        <v>0</v>
      </c>
      <c r="H87" s="226">
        <v>1</v>
      </c>
      <c r="I87" s="226" t="s">
        <v>472</v>
      </c>
      <c r="J87" s="226" t="s">
        <v>473</v>
      </c>
      <c r="K87" s="226" t="s">
        <v>421</v>
      </c>
      <c r="L87" s="226" t="s">
        <v>422</v>
      </c>
      <c r="M87" s="226" t="s">
        <v>421</v>
      </c>
      <c r="N87" s="226" t="s">
        <v>423</v>
      </c>
      <c r="O87" s="226" t="s">
        <v>421</v>
      </c>
      <c r="P87" s="226" t="s">
        <v>171</v>
      </c>
      <c r="Q87" s="227">
        <v>440173.32</v>
      </c>
      <c r="R87" s="227">
        <v>0</v>
      </c>
      <c r="S87" s="227">
        <v>38662.19</v>
      </c>
      <c r="T87" s="227">
        <v>1165601.22</v>
      </c>
      <c r="U87" s="227">
        <v>410000</v>
      </c>
      <c r="V87" s="227">
        <v>2800622.77</v>
      </c>
      <c r="W87" s="227">
        <v>0</v>
      </c>
      <c r="X87" s="227">
        <v>36748</v>
      </c>
      <c r="Y87" s="227">
        <v>80679.81</v>
      </c>
      <c r="Z87" s="227">
        <v>26651.07</v>
      </c>
      <c r="AA87" s="227">
        <v>948.66</v>
      </c>
      <c r="AB87" s="227">
        <v>90</v>
      </c>
      <c r="AC87" s="227">
        <v>14644.7</v>
      </c>
      <c r="AD87" s="227">
        <v>0</v>
      </c>
      <c r="AE87" s="227">
        <v>40</v>
      </c>
      <c r="AF87" s="227">
        <v>784.4</v>
      </c>
      <c r="AG87" s="227">
        <v>5836.81</v>
      </c>
      <c r="AH87" s="227">
        <v>0</v>
      </c>
      <c r="AI87" s="227">
        <v>0</v>
      </c>
      <c r="AJ87" s="227">
        <v>0</v>
      </c>
      <c r="AK87" s="227">
        <v>24198.38</v>
      </c>
      <c r="AL87" s="227">
        <v>0</v>
      </c>
      <c r="AM87" s="227">
        <v>1622628.96</v>
      </c>
      <c r="AN87" s="227">
        <v>0</v>
      </c>
      <c r="AO87" s="227">
        <v>1900070.68</v>
      </c>
      <c r="AP87" s="227">
        <v>97758.32</v>
      </c>
      <c r="AQ87" s="227">
        <v>175504.7</v>
      </c>
      <c r="AR87" s="227">
        <v>0</v>
      </c>
      <c r="AS87" s="227">
        <v>78787.98</v>
      </c>
      <c r="AT87" s="227">
        <v>21171.279999999999</v>
      </c>
      <c r="AU87" s="227">
        <v>15296.99</v>
      </c>
      <c r="AV87" s="227">
        <v>0</v>
      </c>
      <c r="AW87" s="227">
        <v>0</v>
      </c>
      <c r="AX87" s="227">
        <v>72708.59</v>
      </c>
      <c r="AY87" s="227">
        <v>15600</v>
      </c>
      <c r="AZ87" s="227">
        <v>5660.03</v>
      </c>
      <c r="BA87" s="227">
        <v>6386.84</v>
      </c>
      <c r="BB87" s="227">
        <v>46101.2</v>
      </c>
      <c r="BC87" s="227">
        <v>0</v>
      </c>
      <c r="BD87" s="227">
        <v>21573.11</v>
      </c>
      <c r="BE87" s="227">
        <v>52016.32</v>
      </c>
      <c r="BF87" s="227">
        <v>8334</v>
      </c>
      <c r="BG87" s="226">
        <v>0</v>
      </c>
      <c r="BH87" s="226">
        <v>3712.45</v>
      </c>
      <c r="BI87" s="226">
        <v>7566.5</v>
      </c>
      <c r="BJ87" s="226">
        <v>774.67</v>
      </c>
      <c r="BK87" s="226">
        <v>3050.39</v>
      </c>
      <c r="BL87" s="226">
        <v>0</v>
      </c>
      <c r="BM87" s="227">
        <v>1128</v>
      </c>
      <c r="BN87" s="227">
        <v>6801.54</v>
      </c>
      <c r="BO87" s="227">
        <v>9804.94</v>
      </c>
      <c r="BP87" s="227">
        <v>79256.17</v>
      </c>
      <c r="BQ87" s="227">
        <v>38066.74</v>
      </c>
      <c r="BR87" s="227">
        <v>48092</v>
      </c>
      <c r="BS87" s="227">
        <v>247694.95</v>
      </c>
      <c r="BT87" s="227">
        <v>44562.79</v>
      </c>
      <c r="BU87" s="227">
        <v>0</v>
      </c>
      <c r="BV87" s="334">
        <v>0</v>
      </c>
      <c r="BW87" s="335"/>
      <c r="BX87" s="227">
        <v>0</v>
      </c>
      <c r="BY87" s="227">
        <v>0</v>
      </c>
      <c r="BZ87" s="227">
        <v>0</v>
      </c>
      <c r="CA87" s="227">
        <v>9771.25</v>
      </c>
      <c r="CB87" s="227">
        <v>0</v>
      </c>
      <c r="CC87" s="227">
        <v>0</v>
      </c>
      <c r="CD87" s="227">
        <v>6000</v>
      </c>
      <c r="CE87" s="227">
        <v>0</v>
      </c>
      <c r="CF87" s="227">
        <v>5467.64</v>
      </c>
      <c r="CG87" s="227">
        <v>7101.8</v>
      </c>
      <c r="CH87" s="227">
        <v>0</v>
      </c>
      <c r="CI87" s="226">
        <v>0</v>
      </c>
      <c r="CJ87" s="226">
        <v>0</v>
      </c>
      <c r="CK87" s="226">
        <v>0</v>
      </c>
      <c r="CL87" s="226">
        <v>0</v>
      </c>
      <c r="CM87" s="227">
        <v>5605</v>
      </c>
      <c r="CN87" s="227">
        <v>371304</v>
      </c>
      <c r="CO87" s="227">
        <v>35864</v>
      </c>
      <c r="CP87" s="227">
        <v>0</v>
      </c>
      <c r="CQ87" s="227">
        <v>0</v>
      </c>
      <c r="CR87" s="227">
        <v>0</v>
      </c>
      <c r="CT87" s="229">
        <f t="shared" si="1"/>
        <v>376909</v>
      </c>
    </row>
  </sheetData>
  <mergeCells count="86">
    <mergeCell ref="BV7:BW7"/>
    <mergeCell ref="A1:BV1"/>
    <mergeCell ref="BV3:BW3"/>
    <mergeCell ref="BV4:BW4"/>
    <mergeCell ref="BV5:BW5"/>
    <mergeCell ref="BV6:BW6"/>
    <mergeCell ref="BV19:BW19"/>
    <mergeCell ref="BV8:BW8"/>
    <mergeCell ref="BV9:BW9"/>
    <mergeCell ref="BV10:BW10"/>
    <mergeCell ref="BV11:BW11"/>
    <mergeCell ref="BV12:BW12"/>
    <mergeCell ref="BV13:BW13"/>
    <mergeCell ref="BV14:BW14"/>
    <mergeCell ref="BV15:BW15"/>
    <mergeCell ref="BV16:BW16"/>
    <mergeCell ref="BV17:BW17"/>
    <mergeCell ref="BV18:BW18"/>
    <mergeCell ref="BV31:BW31"/>
    <mergeCell ref="BV20:BW20"/>
    <mergeCell ref="BV21:BW21"/>
    <mergeCell ref="BV22:BW22"/>
    <mergeCell ref="BV23:BW23"/>
    <mergeCell ref="BV24:BW24"/>
    <mergeCell ref="BV25:BW25"/>
    <mergeCell ref="BV26:BW26"/>
    <mergeCell ref="BV27:BW27"/>
    <mergeCell ref="BV28:BW28"/>
    <mergeCell ref="BV29:BW29"/>
    <mergeCell ref="BV30:BW30"/>
    <mergeCell ref="BV43:BW43"/>
    <mergeCell ref="BV32:BW32"/>
    <mergeCell ref="BV33:BW33"/>
    <mergeCell ref="BV34:BW34"/>
    <mergeCell ref="BV35:BW35"/>
    <mergeCell ref="BV36:BW36"/>
    <mergeCell ref="BV37:BW37"/>
    <mergeCell ref="BV38:BW38"/>
    <mergeCell ref="BV39:BW39"/>
    <mergeCell ref="BV40:BW40"/>
    <mergeCell ref="BV41:BW41"/>
    <mergeCell ref="BV42:BW42"/>
    <mergeCell ref="BV55:BW55"/>
    <mergeCell ref="BV44:BW44"/>
    <mergeCell ref="BV45:BW45"/>
    <mergeCell ref="BV46:BW46"/>
    <mergeCell ref="BV47:BW47"/>
    <mergeCell ref="BV48:BW48"/>
    <mergeCell ref="BV49:BW49"/>
    <mergeCell ref="BV50:BW50"/>
    <mergeCell ref="BV51:BW51"/>
    <mergeCell ref="BV52:BW52"/>
    <mergeCell ref="BV53:BW53"/>
    <mergeCell ref="BV54:BW54"/>
    <mergeCell ref="BV67:BW67"/>
    <mergeCell ref="BV56:BW56"/>
    <mergeCell ref="BV57:BW57"/>
    <mergeCell ref="BV58:BW58"/>
    <mergeCell ref="BV59:BW59"/>
    <mergeCell ref="BV60:BW60"/>
    <mergeCell ref="BV61:BW61"/>
    <mergeCell ref="BV62:BW62"/>
    <mergeCell ref="BV63:BW63"/>
    <mergeCell ref="BV64:BW64"/>
    <mergeCell ref="BV65:BW65"/>
    <mergeCell ref="BV66:BW66"/>
    <mergeCell ref="BV79:BW79"/>
    <mergeCell ref="BV68:BW68"/>
    <mergeCell ref="BV69:BW69"/>
    <mergeCell ref="BV70:BW70"/>
    <mergeCell ref="BV71:BW71"/>
    <mergeCell ref="BV72:BW72"/>
    <mergeCell ref="BV73:BW73"/>
    <mergeCell ref="BV74:BW74"/>
    <mergeCell ref="BV75:BW75"/>
    <mergeCell ref="BV76:BW76"/>
    <mergeCell ref="BV77:BW77"/>
    <mergeCell ref="BV78:BW78"/>
    <mergeCell ref="BV86:BW86"/>
    <mergeCell ref="BV87:BW87"/>
    <mergeCell ref="BV80:BW80"/>
    <mergeCell ref="BV81:BW81"/>
    <mergeCell ref="BV82:BW82"/>
    <mergeCell ref="BV83:BW83"/>
    <mergeCell ref="BV84:BW84"/>
    <mergeCell ref="BV85:BW8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4B29D-EC71-476F-9538-D2BC4C6BB354}">
  <sheetPr filterMode="1"/>
  <dimension ref="A1:S130"/>
  <sheetViews>
    <sheetView topLeftCell="F1" workbookViewId="0">
      <selection activeCell="EE3" sqref="EE3"/>
    </sheetView>
  </sheetViews>
  <sheetFormatPr defaultRowHeight="13.2"/>
  <cols>
    <col min="2" max="2" width="8.44140625" bestFit="1" customWidth="1"/>
    <col min="3" max="5" width="8.21875" bestFit="1" customWidth="1"/>
    <col min="6" max="6" width="52" bestFit="1" customWidth="1"/>
    <col min="7" max="7" width="18.77734375" bestFit="1" customWidth="1"/>
    <col min="8" max="8" width="24.109375" bestFit="1" customWidth="1"/>
    <col min="9" max="9" width="11.88671875" customWidth="1"/>
    <col min="10" max="19" width="15.77734375" customWidth="1"/>
  </cols>
  <sheetData>
    <row r="1" spans="1:19">
      <c r="E1">
        <v>1</v>
      </c>
      <c r="F1">
        <v>2</v>
      </c>
      <c r="G1">
        <v>3</v>
      </c>
      <c r="H1">
        <v>4</v>
      </c>
      <c r="I1">
        <v>5</v>
      </c>
      <c r="J1">
        <v>6</v>
      </c>
      <c r="K1">
        <v>7</v>
      </c>
      <c r="L1">
        <v>8</v>
      </c>
      <c r="M1">
        <v>9</v>
      </c>
      <c r="N1">
        <v>10</v>
      </c>
      <c r="O1">
        <v>11</v>
      </c>
      <c r="P1">
        <v>12</v>
      </c>
      <c r="Q1">
        <v>13</v>
      </c>
      <c r="R1">
        <v>14</v>
      </c>
      <c r="S1">
        <v>15</v>
      </c>
    </row>
    <row r="2" spans="1:19" ht="66.599999999999994" customHeight="1">
      <c r="A2" s="234" t="s">
        <v>440</v>
      </c>
      <c r="B2" s="234" t="s">
        <v>441</v>
      </c>
      <c r="C2" s="234" t="s">
        <v>442</v>
      </c>
      <c r="D2" s="234" t="s">
        <v>443</v>
      </c>
      <c r="E2" s="234" t="s">
        <v>444</v>
      </c>
      <c r="F2" s="234" t="s">
        <v>114</v>
      </c>
      <c r="G2" s="234" t="s">
        <v>329</v>
      </c>
      <c r="H2" s="234" t="s">
        <v>429</v>
      </c>
      <c r="I2" s="234" t="s">
        <v>445</v>
      </c>
      <c r="J2" s="234" t="s">
        <v>446</v>
      </c>
      <c r="K2" s="234" t="s">
        <v>430</v>
      </c>
      <c r="L2" s="234" t="s">
        <v>447</v>
      </c>
      <c r="M2" s="234" t="s">
        <v>448</v>
      </c>
      <c r="N2" s="234" t="s">
        <v>449</v>
      </c>
      <c r="O2" s="234" t="s">
        <v>431</v>
      </c>
      <c r="P2" s="234" t="s">
        <v>450</v>
      </c>
      <c r="Q2" s="234" t="s">
        <v>448</v>
      </c>
      <c r="R2" s="232" t="s">
        <v>432</v>
      </c>
      <c r="S2" s="232" t="s">
        <v>451</v>
      </c>
    </row>
    <row r="3" spans="1:19">
      <c r="A3" s="235">
        <v>101255</v>
      </c>
      <c r="B3" s="235">
        <v>3021100</v>
      </c>
      <c r="C3" s="235">
        <v>302</v>
      </c>
      <c r="D3" s="233" t="s">
        <v>340</v>
      </c>
      <c r="E3" s="235">
        <v>1100</v>
      </c>
      <c r="F3" s="233" t="s">
        <v>292</v>
      </c>
      <c r="G3" s="233" t="s">
        <v>353</v>
      </c>
      <c r="H3" s="233" t="s">
        <v>436</v>
      </c>
      <c r="I3" s="236">
        <v>48</v>
      </c>
      <c r="J3" s="236">
        <v>1</v>
      </c>
      <c r="K3" s="236">
        <v>1</v>
      </c>
      <c r="L3" s="236">
        <v>100</v>
      </c>
      <c r="M3" s="237">
        <v>1515</v>
      </c>
      <c r="N3" s="236">
        <v>47</v>
      </c>
      <c r="O3" s="236">
        <v>33</v>
      </c>
      <c r="P3" s="236">
        <v>70.209999999999994</v>
      </c>
      <c r="Q3" s="237">
        <v>35475</v>
      </c>
      <c r="R3" s="238">
        <v>34</v>
      </c>
      <c r="S3" s="239">
        <v>36990</v>
      </c>
    </row>
    <row r="4" spans="1:19">
      <c r="A4" s="235">
        <v>133749</v>
      </c>
      <c r="B4" s="235">
        <v>3021102</v>
      </c>
      <c r="C4" s="235">
        <v>302</v>
      </c>
      <c r="D4" s="233" t="s">
        <v>340</v>
      </c>
      <c r="E4" s="235">
        <v>1102</v>
      </c>
      <c r="F4" s="233" t="s">
        <v>305</v>
      </c>
      <c r="G4" s="233" t="s">
        <v>353</v>
      </c>
      <c r="H4" s="233" t="s">
        <v>434</v>
      </c>
      <c r="I4" s="236">
        <v>7</v>
      </c>
      <c r="J4" s="236">
        <v>0</v>
      </c>
      <c r="K4" s="236">
        <v>0</v>
      </c>
      <c r="L4" s="236">
        <v>0</v>
      </c>
      <c r="M4" s="237">
        <v>0</v>
      </c>
      <c r="N4" s="236">
        <v>7</v>
      </c>
      <c r="O4" s="236">
        <v>4</v>
      </c>
      <c r="P4" s="236">
        <v>57.14</v>
      </c>
      <c r="Q4" s="237">
        <v>4300</v>
      </c>
      <c r="R4" s="238">
        <v>4</v>
      </c>
      <c r="S4" s="239">
        <v>4300</v>
      </c>
    </row>
    <row r="5" spans="1:19" hidden="1">
      <c r="A5" s="235">
        <v>136938</v>
      </c>
      <c r="B5" s="235">
        <v>3022001</v>
      </c>
      <c r="C5" s="235">
        <v>302</v>
      </c>
      <c r="D5" s="233" t="s">
        <v>340</v>
      </c>
      <c r="E5" s="235">
        <v>2001</v>
      </c>
      <c r="F5" s="233" t="s">
        <v>306</v>
      </c>
      <c r="G5" s="233" t="s">
        <v>330</v>
      </c>
      <c r="H5" s="233" t="s">
        <v>434</v>
      </c>
      <c r="I5" s="236">
        <v>177</v>
      </c>
      <c r="J5" s="236">
        <v>177</v>
      </c>
      <c r="K5" s="236">
        <v>3</v>
      </c>
      <c r="L5" s="236">
        <v>1.69</v>
      </c>
      <c r="M5" s="237">
        <v>4545</v>
      </c>
      <c r="N5" s="236">
        <v>0</v>
      </c>
      <c r="O5" s="236">
        <v>0</v>
      </c>
      <c r="P5" s="236">
        <v>0</v>
      </c>
      <c r="Q5" s="237">
        <v>0</v>
      </c>
      <c r="R5" s="238">
        <v>3</v>
      </c>
      <c r="S5" s="239">
        <v>4545</v>
      </c>
    </row>
    <row r="6" spans="1:19">
      <c r="A6" s="235">
        <v>101258</v>
      </c>
      <c r="B6" s="235">
        <v>3022002</v>
      </c>
      <c r="C6" s="235">
        <v>302</v>
      </c>
      <c r="D6" s="233" t="s">
        <v>340</v>
      </c>
      <c r="E6" s="235">
        <v>2002</v>
      </c>
      <c r="F6" s="233" t="s">
        <v>230</v>
      </c>
      <c r="G6" s="233" t="s">
        <v>433</v>
      </c>
      <c r="H6" s="233" t="s">
        <v>434</v>
      </c>
      <c r="I6" s="236">
        <v>422</v>
      </c>
      <c r="J6" s="236">
        <v>422</v>
      </c>
      <c r="K6" s="236">
        <v>99</v>
      </c>
      <c r="L6" s="236">
        <v>23.46</v>
      </c>
      <c r="M6" s="237">
        <v>149985</v>
      </c>
      <c r="N6" s="236">
        <v>0</v>
      </c>
      <c r="O6" s="236">
        <v>0</v>
      </c>
      <c r="P6" s="236">
        <v>0</v>
      </c>
      <c r="Q6" s="237">
        <v>0</v>
      </c>
      <c r="R6" s="238">
        <v>99</v>
      </c>
      <c r="S6" s="239">
        <v>149985</v>
      </c>
    </row>
    <row r="7" spans="1:19" hidden="1">
      <c r="A7" s="235">
        <v>138272</v>
      </c>
      <c r="B7" s="235">
        <v>3022004</v>
      </c>
      <c r="C7" s="235">
        <v>302</v>
      </c>
      <c r="D7" s="233" t="s">
        <v>340</v>
      </c>
      <c r="E7" s="235">
        <v>2004</v>
      </c>
      <c r="F7" s="233" t="s">
        <v>307</v>
      </c>
      <c r="G7" s="233" t="s">
        <v>330</v>
      </c>
      <c r="H7" s="233" t="s">
        <v>435</v>
      </c>
      <c r="I7" s="236">
        <v>209</v>
      </c>
      <c r="J7" s="236">
        <v>209</v>
      </c>
      <c r="K7" s="236">
        <v>15</v>
      </c>
      <c r="L7" s="236">
        <v>7.18</v>
      </c>
      <c r="M7" s="237">
        <v>22725</v>
      </c>
      <c r="N7" s="236">
        <v>0</v>
      </c>
      <c r="O7" s="236">
        <v>0</v>
      </c>
      <c r="P7" s="236">
        <v>0</v>
      </c>
      <c r="Q7" s="237">
        <v>0</v>
      </c>
      <c r="R7" s="238">
        <v>15</v>
      </c>
      <c r="S7" s="239">
        <v>22725</v>
      </c>
    </row>
    <row r="8" spans="1:19">
      <c r="A8" s="235">
        <v>101262</v>
      </c>
      <c r="B8" s="235">
        <v>3022007</v>
      </c>
      <c r="C8" s="235">
        <v>302</v>
      </c>
      <c r="D8" s="233" t="s">
        <v>340</v>
      </c>
      <c r="E8" s="235">
        <v>2007</v>
      </c>
      <c r="F8" s="233" t="s">
        <v>42</v>
      </c>
      <c r="G8" s="233" t="s">
        <v>433</v>
      </c>
      <c r="H8" s="233" t="s">
        <v>435</v>
      </c>
      <c r="I8" s="236">
        <v>357</v>
      </c>
      <c r="J8" s="236">
        <v>357</v>
      </c>
      <c r="K8" s="236">
        <v>61</v>
      </c>
      <c r="L8" s="236">
        <v>17.09</v>
      </c>
      <c r="M8" s="237">
        <v>92415</v>
      </c>
      <c r="N8" s="236">
        <v>0</v>
      </c>
      <c r="O8" s="236">
        <v>0</v>
      </c>
      <c r="P8" s="236">
        <v>0</v>
      </c>
      <c r="Q8" s="237">
        <v>0</v>
      </c>
      <c r="R8" s="238">
        <v>61</v>
      </c>
      <c r="S8" s="239">
        <v>92415</v>
      </c>
    </row>
    <row r="9" spans="1:19">
      <c r="A9" s="235">
        <v>101263</v>
      </c>
      <c r="B9" s="235">
        <v>3022008</v>
      </c>
      <c r="C9" s="235">
        <v>302</v>
      </c>
      <c r="D9" s="233" t="s">
        <v>340</v>
      </c>
      <c r="E9" s="235">
        <v>2008</v>
      </c>
      <c r="F9" s="233" t="s">
        <v>232</v>
      </c>
      <c r="G9" s="233" t="s">
        <v>433</v>
      </c>
      <c r="H9" s="233" t="s">
        <v>435</v>
      </c>
      <c r="I9" s="236">
        <v>266</v>
      </c>
      <c r="J9" s="236">
        <v>266</v>
      </c>
      <c r="K9" s="236">
        <v>28</v>
      </c>
      <c r="L9" s="236">
        <v>10.53</v>
      </c>
      <c r="M9" s="237">
        <v>42420</v>
      </c>
      <c r="N9" s="236">
        <v>0</v>
      </c>
      <c r="O9" s="236">
        <v>0</v>
      </c>
      <c r="P9" s="236">
        <v>0</v>
      </c>
      <c r="Q9" s="237">
        <v>0</v>
      </c>
      <c r="R9" s="238">
        <v>28</v>
      </c>
      <c r="S9" s="239">
        <v>42420</v>
      </c>
    </row>
    <row r="10" spans="1:19">
      <c r="A10" s="235">
        <v>101264</v>
      </c>
      <c r="B10" s="235">
        <v>3022009</v>
      </c>
      <c r="C10" s="235">
        <v>302</v>
      </c>
      <c r="D10" s="233" t="s">
        <v>340</v>
      </c>
      <c r="E10" s="235">
        <v>2009</v>
      </c>
      <c r="F10" s="233" t="s">
        <v>233</v>
      </c>
      <c r="G10" s="233" t="s">
        <v>433</v>
      </c>
      <c r="H10" s="233" t="s">
        <v>436</v>
      </c>
      <c r="I10" s="236">
        <v>416</v>
      </c>
      <c r="J10" s="236">
        <v>416</v>
      </c>
      <c r="K10" s="236">
        <v>76</v>
      </c>
      <c r="L10" s="236">
        <v>18.27</v>
      </c>
      <c r="M10" s="237">
        <v>115140</v>
      </c>
      <c r="N10" s="236">
        <v>0</v>
      </c>
      <c r="O10" s="236">
        <v>0</v>
      </c>
      <c r="P10" s="236">
        <v>0</v>
      </c>
      <c r="Q10" s="237">
        <v>0</v>
      </c>
      <c r="R10" s="238">
        <v>76</v>
      </c>
      <c r="S10" s="239">
        <v>115140</v>
      </c>
    </row>
    <row r="11" spans="1:19" hidden="1">
      <c r="A11" s="235">
        <v>147706</v>
      </c>
      <c r="B11" s="235">
        <v>3022010</v>
      </c>
      <c r="C11" s="235">
        <v>302</v>
      </c>
      <c r="D11" s="233" t="s">
        <v>340</v>
      </c>
      <c r="E11" s="235">
        <v>2010</v>
      </c>
      <c r="F11" s="233" t="s">
        <v>383</v>
      </c>
      <c r="G11" s="233" t="s">
        <v>330</v>
      </c>
      <c r="H11" s="233" t="s">
        <v>435</v>
      </c>
      <c r="I11" s="236">
        <v>417</v>
      </c>
      <c r="J11" s="236">
        <v>417</v>
      </c>
      <c r="K11" s="236">
        <v>134</v>
      </c>
      <c r="L11" s="236">
        <v>32.130000000000003</v>
      </c>
      <c r="M11" s="237">
        <v>203010</v>
      </c>
      <c r="N11" s="236">
        <v>0</v>
      </c>
      <c r="O11" s="236">
        <v>0</v>
      </c>
      <c r="P11" s="236">
        <v>0</v>
      </c>
      <c r="Q11" s="237">
        <v>0</v>
      </c>
      <c r="R11" s="238">
        <v>134</v>
      </c>
      <c r="S11" s="239">
        <v>203010</v>
      </c>
    </row>
    <row r="12" spans="1:19">
      <c r="A12" s="235">
        <v>101266</v>
      </c>
      <c r="B12" s="235">
        <v>3022011</v>
      </c>
      <c r="C12" s="235">
        <v>302</v>
      </c>
      <c r="D12" s="233" t="s">
        <v>340</v>
      </c>
      <c r="E12" s="235">
        <v>2011</v>
      </c>
      <c r="F12" s="233" t="s">
        <v>46</v>
      </c>
      <c r="G12" s="233" t="s">
        <v>433</v>
      </c>
      <c r="H12" s="233" t="s">
        <v>436</v>
      </c>
      <c r="I12" s="236">
        <v>204</v>
      </c>
      <c r="J12" s="236">
        <v>204</v>
      </c>
      <c r="K12" s="236">
        <v>37</v>
      </c>
      <c r="L12" s="236">
        <v>18.14</v>
      </c>
      <c r="M12" s="237">
        <v>56055</v>
      </c>
      <c r="N12" s="236">
        <v>0</v>
      </c>
      <c r="O12" s="236">
        <v>0</v>
      </c>
      <c r="P12" s="236">
        <v>0</v>
      </c>
      <c r="Q12" s="237">
        <v>0</v>
      </c>
      <c r="R12" s="238">
        <v>37</v>
      </c>
      <c r="S12" s="239">
        <v>56055</v>
      </c>
    </row>
    <row r="13" spans="1:19">
      <c r="A13" s="235">
        <v>101269</v>
      </c>
      <c r="B13" s="235">
        <v>3022014</v>
      </c>
      <c r="C13" s="235">
        <v>302</v>
      </c>
      <c r="D13" s="233" t="s">
        <v>340</v>
      </c>
      <c r="E13" s="235">
        <v>2014</v>
      </c>
      <c r="F13" s="233" t="s">
        <v>237</v>
      </c>
      <c r="G13" s="233" t="s">
        <v>433</v>
      </c>
      <c r="H13" s="233" t="s">
        <v>434</v>
      </c>
      <c r="I13" s="236">
        <v>631</v>
      </c>
      <c r="J13" s="236">
        <v>631</v>
      </c>
      <c r="K13" s="236">
        <v>176</v>
      </c>
      <c r="L13" s="236">
        <v>27.89</v>
      </c>
      <c r="M13" s="237">
        <v>266640</v>
      </c>
      <c r="N13" s="236">
        <v>0</v>
      </c>
      <c r="O13" s="236">
        <v>0</v>
      </c>
      <c r="P13" s="236">
        <v>0</v>
      </c>
      <c r="Q13" s="237">
        <v>0</v>
      </c>
      <c r="R13" s="238">
        <v>176</v>
      </c>
      <c r="S13" s="239">
        <v>266640</v>
      </c>
    </row>
    <row r="14" spans="1:19">
      <c r="A14" s="235">
        <v>101270</v>
      </c>
      <c r="B14" s="235">
        <v>3022015</v>
      </c>
      <c r="C14" s="235">
        <v>302</v>
      </c>
      <c r="D14" s="233" t="s">
        <v>340</v>
      </c>
      <c r="E14" s="235">
        <v>2015</v>
      </c>
      <c r="F14" s="233" t="s">
        <v>238</v>
      </c>
      <c r="G14" s="233" t="s">
        <v>433</v>
      </c>
      <c r="H14" s="233" t="s">
        <v>479</v>
      </c>
      <c r="I14" s="236">
        <v>180</v>
      </c>
      <c r="J14" s="236">
        <v>180</v>
      </c>
      <c r="K14" s="236">
        <v>73</v>
      </c>
      <c r="L14" s="236">
        <v>40.56</v>
      </c>
      <c r="M14" s="237">
        <v>110595</v>
      </c>
      <c r="N14" s="236">
        <v>0</v>
      </c>
      <c r="O14" s="236">
        <v>0</v>
      </c>
      <c r="P14" s="236">
        <v>0</v>
      </c>
      <c r="Q14" s="237">
        <v>0</v>
      </c>
      <c r="R14" s="238">
        <v>73</v>
      </c>
      <c r="S14" s="239">
        <v>110595</v>
      </c>
    </row>
    <row r="15" spans="1:19">
      <c r="A15" s="235">
        <v>101271</v>
      </c>
      <c r="B15" s="235">
        <v>3022016</v>
      </c>
      <c r="C15" s="235">
        <v>302</v>
      </c>
      <c r="D15" s="233" t="s">
        <v>340</v>
      </c>
      <c r="E15" s="235">
        <v>2016</v>
      </c>
      <c r="F15" s="233" t="s">
        <v>50</v>
      </c>
      <c r="G15" s="233" t="s">
        <v>433</v>
      </c>
      <c r="H15" s="233" t="s">
        <v>436</v>
      </c>
      <c r="I15" s="236">
        <v>210</v>
      </c>
      <c r="J15" s="236">
        <v>210</v>
      </c>
      <c r="K15" s="236">
        <v>25</v>
      </c>
      <c r="L15" s="236">
        <v>11.9</v>
      </c>
      <c r="M15" s="237">
        <v>37875</v>
      </c>
      <c r="N15" s="236">
        <v>0</v>
      </c>
      <c r="O15" s="236">
        <v>0</v>
      </c>
      <c r="P15" s="236">
        <v>0</v>
      </c>
      <c r="Q15" s="237">
        <v>0</v>
      </c>
      <c r="R15" s="238">
        <v>25</v>
      </c>
      <c r="S15" s="239">
        <v>37875</v>
      </c>
    </row>
    <row r="16" spans="1:19">
      <c r="A16" s="235">
        <v>101272</v>
      </c>
      <c r="B16" s="235">
        <v>3022017</v>
      </c>
      <c r="C16" s="235">
        <v>302</v>
      </c>
      <c r="D16" s="233" t="s">
        <v>340</v>
      </c>
      <c r="E16" s="235">
        <v>2017</v>
      </c>
      <c r="F16" s="233" t="s">
        <v>239</v>
      </c>
      <c r="G16" s="233" t="s">
        <v>433</v>
      </c>
      <c r="H16" s="233" t="s">
        <v>436</v>
      </c>
      <c r="I16" s="236">
        <v>413</v>
      </c>
      <c r="J16" s="236">
        <v>413</v>
      </c>
      <c r="K16" s="236">
        <v>75</v>
      </c>
      <c r="L16" s="236">
        <v>18.16</v>
      </c>
      <c r="M16" s="237">
        <v>113625</v>
      </c>
      <c r="N16" s="236">
        <v>0</v>
      </c>
      <c r="O16" s="236">
        <v>0</v>
      </c>
      <c r="P16" s="236">
        <v>0</v>
      </c>
      <c r="Q16" s="237">
        <v>0</v>
      </c>
      <c r="R16" s="238">
        <v>75</v>
      </c>
      <c r="S16" s="239">
        <v>113625</v>
      </c>
    </row>
    <row r="17" spans="1:19" hidden="1">
      <c r="A17" s="235">
        <v>139489</v>
      </c>
      <c r="B17" s="235">
        <v>3022018</v>
      </c>
      <c r="C17" s="235">
        <v>302</v>
      </c>
      <c r="D17" s="233" t="s">
        <v>340</v>
      </c>
      <c r="E17" s="235">
        <v>2018</v>
      </c>
      <c r="F17" s="233" t="s">
        <v>54</v>
      </c>
      <c r="G17" s="233" t="s">
        <v>330</v>
      </c>
      <c r="H17" s="233" t="s">
        <v>434</v>
      </c>
      <c r="I17" s="236">
        <v>262</v>
      </c>
      <c r="J17" s="236">
        <v>262</v>
      </c>
      <c r="K17" s="236">
        <v>93</v>
      </c>
      <c r="L17" s="236">
        <v>35.5</v>
      </c>
      <c r="M17" s="237">
        <v>140895</v>
      </c>
      <c r="N17" s="236">
        <v>0</v>
      </c>
      <c r="O17" s="236">
        <v>0</v>
      </c>
      <c r="P17" s="236">
        <v>0</v>
      </c>
      <c r="Q17" s="237">
        <v>0</v>
      </c>
      <c r="R17" s="238">
        <v>93</v>
      </c>
      <c r="S17" s="239">
        <v>140895</v>
      </c>
    </row>
    <row r="18" spans="1:19">
      <c r="A18" s="235">
        <v>101274</v>
      </c>
      <c r="B18" s="235">
        <v>3022019</v>
      </c>
      <c r="C18" s="235">
        <v>302</v>
      </c>
      <c r="D18" s="233" t="s">
        <v>340</v>
      </c>
      <c r="E18" s="235">
        <v>2019</v>
      </c>
      <c r="F18" s="233" t="s">
        <v>53</v>
      </c>
      <c r="G18" s="233" t="s">
        <v>433</v>
      </c>
      <c r="H18" s="233" t="s">
        <v>434</v>
      </c>
      <c r="I18" s="236">
        <v>174</v>
      </c>
      <c r="J18" s="236">
        <v>174</v>
      </c>
      <c r="K18" s="236">
        <v>52</v>
      </c>
      <c r="L18" s="236">
        <v>29.89</v>
      </c>
      <c r="M18" s="237">
        <v>78780</v>
      </c>
      <c r="N18" s="236">
        <v>0</v>
      </c>
      <c r="O18" s="236">
        <v>0</v>
      </c>
      <c r="P18" s="236">
        <v>0</v>
      </c>
      <c r="Q18" s="237">
        <v>0</v>
      </c>
      <c r="R18" s="238">
        <v>52</v>
      </c>
      <c r="S18" s="239">
        <v>78780</v>
      </c>
    </row>
    <row r="19" spans="1:19" hidden="1">
      <c r="A19" s="235">
        <v>139562</v>
      </c>
      <c r="B19" s="235">
        <v>3022020</v>
      </c>
      <c r="C19" s="235">
        <v>302</v>
      </c>
      <c r="D19" s="233" t="s">
        <v>340</v>
      </c>
      <c r="E19" s="235">
        <v>2020</v>
      </c>
      <c r="F19" s="233" t="s">
        <v>310</v>
      </c>
      <c r="G19" s="233" t="s">
        <v>330</v>
      </c>
      <c r="H19" s="233" t="s">
        <v>436</v>
      </c>
      <c r="I19" s="236">
        <v>185</v>
      </c>
      <c r="J19" s="236">
        <v>185</v>
      </c>
      <c r="K19" s="236">
        <v>15</v>
      </c>
      <c r="L19" s="236">
        <v>8.11</v>
      </c>
      <c r="M19" s="237">
        <v>22725</v>
      </c>
      <c r="N19" s="236">
        <v>0</v>
      </c>
      <c r="O19" s="236">
        <v>0</v>
      </c>
      <c r="P19" s="236">
        <v>0</v>
      </c>
      <c r="Q19" s="237">
        <v>0</v>
      </c>
      <c r="R19" s="238">
        <v>15</v>
      </c>
      <c r="S19" s="239">
        <v>22725</v>
      </c>
    </row>
    <row r="20" spans="1:19" hidden="1">
      <c r="A20" s="235">
        <v>150999</v>
      </c>
      <c r="B20" s="235">
        <v>3022021</v>
      </c>
      <c r="C20" s="235">
        <v>302</v>
      </c>
      <c r="D20" s="233" t="s">
        <v>340</v>
      </c>
      <c r="E20" s="235">
        <v>2021</v>
      </c>
      <c r="F20" s="233" t="s">
        <v>361</v>
      </c>
      <c r="G20" s="233" t="s">
        <v>330</v>
      </c>
      <c r="H20" s="233" t="s">
        <v>434</v>
      </c>
      <c r="I20" s="236">
        <v>368</v>
      </c>
      <c r="J20" s="236">
        <v>368</v>
      </c>
      <c r="K20" s="236">
        <v>115</v>
      </c>
      <c r="L20" s="236">
        <v>31.25</v>
      </c>
      <c r="M20" s="237">
        <v>174225</v>
      </c>
      <c r="N20" s="236">
        <v>0</v>
      </c>
      <c r="O20" s="236">
        <v>0</v>
      </c>
      <c r="P20" s="236">
        <v>0</v>
      </c>
      <c r="Q20" s="237">
        <v>0</v>
      </c>
      <c r="R20" s="238">
        <v>115</v>
      </c>
      <c r="S20" s="239">
        <v>174225</v>
      </c>
    </row>
    <row r="21" spans="1:19">
      <c r="A21" s="235">
        <v>101277</v>
      </c>
      <c r="B21" s="235">
        <v>3022023</v>
      </c>
      <c r="C21" s="235">
        <v>302</v>
      </c>
      <c r="D21" s="233" t="s">
        <v>340</v>
      </c>
      <c r="E21" s="235">
        <v>2023</v>
      </c>
      <c r="F21" s="233" t="s">
        <v>325</v>
      </c>
      <c r="G21" s="233" t="s">
        <v>433</v>
      </c>
      <c r="H21" s="233" t="s">
        <v>434</v>
      </c>
      <c r="I21" s="236">
        <v>409</v>
      </c>
      <c r="J21" s="236">
        <v>409</v>
      </c>
      <c r="K21" s="236">
        <v>149</v>
      </c>
      <c r="L21" s="236">
        <v>36.43</v>
      </c>
      <c r="M21" s="237">
        <v>225735</v>
      </c>
      <c r="N21" s="236">
        <v>0</v>
      </c>
      <c r="O21" s="236">
        <v>0</v>
      </c>
      <c r="P21" s="236">
        <v>0</v>
      </c>
      <c r="Q21" s="237">
        <v>0</v>
      </c>
      <c r="R21" s="238">
        <v>149</v>
      </c>
      <c r="S21" s="239">
        <v>225735</v>
      </c>
    </row>
    <row r="22" spans="1:19">
      <c r="A22" s="235">
        <v>101278</v>
      </c>
      <c r="B22" s="235">
        <v>3022024</v>
      </c>
      <c r="C22" s="235">
        <v>302</v>
      </c>
      <c r="D22" s="233" t="s">
        <v>340</v>
      </c>
      <c r="E22" s="235">
        <v>2024</v>
      </c>
      <c r="F22" s="233" t="s">
        <v>331</v>
      </c>
      <c r="G22" s="233" t="s">
        <v>433</v>
      </c>
      <c r="H22" s="233" t="s">
        <v>436</v>
      </c>
      <c r="I22" s="236">
        <v>202</v>
      </c>
      <c r="J22" s="236">
        <v>202</v>
      </c>
      <c r="K22" s="236">
        <v>66</v>
      </c>
      <c r="L22" s="236">
        <v>32.67</v>
      </c>
      <c r="M22" s="237">
        <v>99990</v>
      </c>
      <c r="N22" s="236">
        <v>0</v>
      </c>
      <c r="O22" s="236">
        <v>0</v>
      </c>
      <c r="P22" s="236">
        <v>0</v>
      </c>
      <c r="Q22" s="237">
        <v>0</v>
      </c>
      <c r="R22" s="238">
        <v>66</v>
      </c>
      <c r="S22" s="239">
        <v>99990</v>
      </c>
    </row>
    <row r="23" spans="1:19">
      <c r="A23" s="235">
        <v>101279</v>
      </c>
      <c r="B23" s="235">
        <v>3022025</v>
      </c>
      <c r="C23" s="235">
        <v>302</v>
      </c>
      <c r="D23" s="233" t="s">
        <v>340</v>
      </c>
      <c r="E23" s="235">
        <v>2025</v>
      </c>
      <c r="F23" s="233" t="s">
        <v>56</v>
      </c>
      <c r="G23" s="233" t="s">
        <v>433</v>
      </c>
      <c r="H23" s="233" t="s">
        <v>436</v>
      </c>
      <c r="I23" s="236">
        <v>317</v>
      </c>
      <c r="J23" s="236">
        <v>317</v>
      </c>
      <c r="K23" s="236">
        <v>12</v>
      </c>
      <c r="L23" s="236">
        <v>3.79</v>
      </c>
      <c r="M23" s="237">
        <v>18180</v>
      </c>
      <c r="N23" s="236">
        <v>0</v>
      </c>
      <c r="O23" s="236">
        <v>0</v>
      </c>
      <c r="P23" s="236">
        <v>0</v>
      </c>
      <c r="Q23" s="237">
        <v>0</v>
      </c>
      <c r="R23" s="238">
        <v>12</v>
      </c>
      <c r="S23" s="239">
        <v>18180</v>
      </c>
    </row>
    <row r="24" spans="1:19">
      <c r="A24" s="235">
        <v>101280</v>
      </c>
      <c r="B24" s="235">
        <v>3022026</v>
      </c>
      <c r="C24" s="235">
        <v>302</v>
      </c>
      <c r="D24" s="233" t="s">
        <v>340</v>
      </c>
      <c r="E24" s="235">
        <v>2026</v>
      </c>
      <c r="F24" s="233" t="s">
        <v>241</v>
      </c>
      <c r="G24" s="233" t="s">
        <v>433</v>
      </c>
      <c r="H24" s="233" t="s">
        <v>436</v>
      </c>
      <c r="I24" s="236">
        <v>409</v>
      </c>
      <c r="J24" s="236">
        <v>409</v>
      </c>
      <c r="K24" s="236">
        <v>44</v>
      </c>
      <c r="L24" s="236">
        <v>10.76</v>
      </c>
      <c r="M24" s="237">
        <v>66660</v>
      </c>
      <c r="N24" s="236">
        <v>0</v>
      </c>
      <c r="O24" s="236">
        <v>0</v>
      </c>
      <c r="P24" s="236">
        <v>0</v>
      </c>
      <c r="Q24" s="237">
        <v>0</v>
      </c>
      <c r="R24" s="238">
        <v>44</v>
      </c>
      <c r="S24" s="239">
        <v>66660</v>
      </c>
    </row>
    <row r="25" spans="1:19">
      <c r="A25" s="235">
        <v>101281</v>
      </c>
      <c r="B25" s="235">
        <v>3022027</v>
      </c>
      <c r="C25" s="235">
        <v>302</v>
      </c>
      <c r="D25" s="233" t="s">
        <v>340</v>
      </c>
      <c r="E25" s="235">
        <v>2027</v>
      </c>
      <c r="F25" s="233" t="s">
        <v>59</v>
      </c>
      <c r="G25" s="233" t="s">
        <v>433</v>
      </c>
      <c r="H25" s="233" t="s">
        <v>435</v>
      </c>
      <c r="I25" s="236">
        <v>344</v>
      </c>
      <c r="J25" s="236">
        <v>344</v>
      </c>
      <c r="K25" s="236">
        <v>104</v>
      </c>
      <c r="L25" s="236">
        <v>30.23</v>
      </c>
      <c r="M25" s="237">
        <v>157560</v>
      </c>
      <c r="N25" s="236">
        <v>0</v>
      </c>
      <c r="O25" s="236">
        <v>0</v>
      </c>
      <c r="P25" s="236">
        <v>0</v>
      </c>
      <c r="Q25" s="237">
        <v>0</v>
      </c>
      <c r="R25" s="238">
        <v>104</v>
      </c>
      <c r="S25" s="239">
        <v>157560</v>
      </c>
    </row>
    <row r="26" spans="1:19">
      <c r="A26" s="235">
        <v>101282</v>
      </c>
      <c r="B26" s="235">
        <v>3022028</v>
      </c>
      <c r="C26" s="235">
        <v>302</v>
      </c>
      <c r="D26" s="233" t="s">
        <v>340</v>
      </c>
      <c r="E26" s="235">
        <v>2028</v>
      </c>
      <c r="F26" s="233" t="s">
        <v>58</v>
      </c>
      <c r="G26" s="233" t="s">
        <v>433</v>
      </c>
      <c r="H26" s="233" t="s">
        <v>435</v>
      </c>
      <c r="I26" s="236">
        <v>190</v>
      </c>
      <c r="J26" s="236">
        <v>190</v>
      </c>
      <c r="K26" s="236">
        <v>38</v>
      </c>
      <c r="L26" s="236">
        <v>20</v>
      </c>
      <c r="M26" s="237">
        <v>57570</v>
      </c>
      <c r="N26" s="236">
        <v>0</v>
      </c>
      <c r="O26" s="236">
        <v>0</v>
      </c>
      <c r="P26" s="236">
        <v>0</v>
      </c>
      <c r="Q26" s="237">
        <v>0</v>
      </c>
      <c r="R26" s="238">
        <v>38</v>
      </c>
      <c r="S26" s="239">
        <v>57570</v>
      </c>
    </row>
    <row r="27" spans="1:19">
      <c r="A27" s="235">
        <v>101283</v>
      </c>
      <c r="B27" s="235">
        <v>3022029</v>
      </c>
      <c r="C27" s="235">
        <v>302</v>
      </c>
      <c r="D27" s="233" t="s">
        <v>340</v>
      </c>
      <c r="E27" s="235">
        <v>2029</v>
      </c>
      <c r="F27" s="233" t="s">
        <v>242</v>
      </c>
      <c r="G27" s="233" t="s">
        <v>433</v>
      </c>
      <c r="H27" s="233" t="s">
        <v>434</v>
      </c>
      <c r="I27" s="236">
        <v>422</v>
      </c>
      <c r="J27" s="236">
        <v>422</v>
      </c>
      <c r="K27" s="236">
        <v>171</v>
      </c>
      <c r="L27" s="236">
        <v>40.520000000000003</v>
      </c>
      <c r="M27" s="237">
        <v>259065</v>
      </c>
      <c r="N27" s="236">
        <v>0</v>
      </c>
      <c r="O27" s="236">
        <v>0</v>
      </c>
      <c r="P27" s="236">
        <v>0</v>
      </c>
      <c r="Q27" s="237">
        <v>0</v>
      </c>
      <c r="R27" s="238">
        <v>171</v>
      </c>
      <c r="S27" s="239">
        <v>259065</v>
      </c>
    </row>
    <row r="28" spans="1:19">
      <c r="A28" s="235">
        <v>101285</v>
      </c>
      <c r="B28" s="235">
        <v>3022031</v>
      </c>
      <c r="C28" s="235">
        <v>302</v>
      </c>
      <c r="D28" s="233" t="s">
        <v>340</v>
      </c>
      <c r="E28" s="235">
        <v>2031</v>
      </c>
      <c r="F28" s="233" t="s">
        <v>243</v>
      </c>
      <c r="G28" s="233" t="s">
        <v>433</v>
      </c>
      <c r="H28" s="233" t="s">
        <v>479</v>
      </c>
      <c r="I28" s="236">
        <v>189</v>
      </c>
      <c r="J28" s="236">
        <v>189</v>
      </c>
      <c r="K28" s="236">
        <v>81</v>
      </c>
      <c r="L28" s="236">
        <v>42.86</v>
      </c>
      <c r="M28" s="237">
        <v>122715</v>
      </c>
      <c r="N28" s="236">
        <v>0</v>
      </c>
      <c r="O28" s="236">
        <v>0</v>
      </c>
      <c r="P28" s="236">
        <v>0</v>
      </c>
      <c r="Q28" s="237">
        <v>0</v>
      </c>
      <c r="R28" s="238">
        <v>81</v>
      </c>
      <c r="S28" s="239">
        <v>122715</v>
      </c>
    </row>
    <row r="29" spans="1:19">
      <c r="A29" s="235">
        <v>101286</v>
      </c>
      <c r="B29" s="235">
        <v>3022032</v>
      </c>
      <c r="C29" s="235">
        <v>302</v>
      </c>
      <c r="D29" s="233" t="s">
        <v>340</v>
      </c>
      <c r="E29" s="235">
        <v>2032</v>
      </c>
      <c r="F29" s="233" t="s">
        <v>244</v>
      </c>
      <c r="G29" s="233" t="s">
        <v>433</v>
      </c>
      <c r="H29" s="233" t="s">
        <v>479</v>
      </c>
      <c r="I29" s="236">
        <v>391</v>
      </c>
      <c r="J29" s="236">
        <v>391</v>
      </c>
      <c r="K29" s="236">
        <v>79</v>
      </c>
      <c r="L29" s="236">
        <v>20.2</v>
      </c>
      <c r="M29" s="237">
        <v>119685</v>
      </c>
      <c r="N29" s="236">
        <v>0</v>
      </c>
      <c r="O29" s="236">
        <v>0</v>
      </c>
      <c r="P29" s="236">
        <v>0</v>
      </c>
      <c r="Q29" s="237">
        <v>0</v>
      </c>
      <c r="R29" s="238">
        <v>79</v>
      </c>
      <c r="S29" s="239">
        <v>119685</v>
      </c>
    </row>
    <row r="30" spans="1:19">
      <c r="A30" s="235">
        <v>101289</v>
      </c>
      <c r="B30" s="235">
        <v>3022036</v>
      </c>
      <c r="C30" s="235">
        <v>302</v>
      </c>
      <c r="D30" s="233" t="s">
        <v>340</v>
      </c>
      <c r="E30" s="235">
        <v>2036</v>
      </c>
      <c r="F30" s="233" t="s">
        <v>332</v>
      </c>
      <c r="G30" s="233" t="s">
        <v>433</v>
      </c>
      <c r="H30" s="233" t="s">
        <v>436</v>
      </c>
      <c r="I30" s="236">
        <v>210</v>
      </c>
      <c r="J30" s="236">
        <v>210</v>
      </c>
      <c r="K30" s="236">
        <v>65</v>
      </c>
      <c r="L30" s="236">
        <v>30.95</v>
      </c>
      <c r="M30" s="237">
        <v>98475</v>
      </c>
      <c r="N30" s="236">
        <v>0</v>
      </c>
      <c r="O30" s="236">
        <v>0</v>
      </c>
      <c r="P30" s="236">
        <v>0</v>
      </c>
      <c r="Q30" s="237">
        <v>0</v>
      </c>
      <c r="R30" s="238">
        <v>65</v>
      </c>
      <c r="S30" s="239">
        <v>98475</v>
      </c>
    </row>
    <row r="31" spans="1:19">
      <c r="A31" s="235">
        <v>101290</v>
      </c>
      <c r="B31" s="235">
        <v>3022037</v>
      </c>
      <c r="C31" s="235">
        <v>302</v>
      </c>
      <c r="D31" s="233" t="s">
        <v>340</v>
      </c>
      <c r="E31" s="235">
        <v>2037</v>
      </c>
      <c r="F31" s="233" t="s">
        <v>246</v>
      </c>
      <c r="G31" s="233" t="s">
        <v>433</v>
      </c>
      <c r="H31" s="233" t="s">
        <v>435</v>
      </c>
      <c r="I31" s="236">
        <v>207</v>
      </c>
      <c r="J31" s="236">
        <v>207</v>
      </c>
      <c r="K31" s="236">
        <v>35</v>
      </c>
      <c r="L31" s="236">
        <v>16.91</v>
      </c>
      <c r="M31" s="237">
        <v>53025</v>
      </c>
      <c r="N31" s="236">
        <v>0</v>
      </c>
      <c r="O31" s="236">
        <v>0</v>
      </c>
      <c r="P31" s="236">
        <v>0</v>
      </c>
      <c r="Q31" s="237">
        <v>0</v>
      </c>
      <c r="R31" s="238">
        <v>35</v>
      </c>
      <c r="S31" s="239">
        <v>53025</v>
      </c>
    </row>
    <row r="32" spans="1:19" hidden="1">
      <c r="A32" s="235">
        <v>139633</v>
      </c>
      <c r="B32" s="235">
        <v>3022038</v>
      </c>
      <c r="C32" s="235">
        <v>302</v>
      </c>
      <c r="D32" s="233" t="s">
        <v>340</v>
      </c>
      <c r="E32" s="235">
        <v>2038</v>
      </c>
      <c r="F32" s="233" t="s">
        <v>254</v>
      </c>
      <c r="G32" s="233" t="s">
        <v>330</v>
      </c>
      <c r="H32" s="233" t="s">
        <v>434</v>
      </c>
      <c r="I32" s="236">
        <v>403</v>
      </c>
      <c r="J32" s="236">
        <v>403</v>
      </c>
      <c r="K32" s="236">
        <v>94</v>
      </c>
      <c r="L32" s="236">
        <v>23.33</v>
      </c>
      <c r="M32" s="237">
        <v>142410</v>
      </c>
      <c r="N32" s="236">
        <v>0</v>
      </c>
      <c r="O32" s="236">
        <v>0</v>
      </c>
      <c r="P32" s="236">
        <v>0</v>
      </c>
      <c r="Q32" s="237">
        <v>0</v>
      </c>
      <c r="R32" s="238">
        <v>94</v>
      </c>
      <c r="S32" s="239">
        <v>142410</v>
      </c>
    </row>
    <row r="33" spans="1:19" hidden="1">
      <c r="A33" s="235">
        <v>146662</v>
      </c>
      <c r="B33" s="235">
        <v>3022041</v>
      </c>
      <c r="C33" s="235">
        <v>302</v>
      </c>
      <c r="D33" s="233" t="s">
        <v>340</v>
      </c>
      <c r="E33" s="235">
        <v>2041</v>
      </c>
      <c r="F33" s="233" t="s">
        <v>328</v>
      </c>
      <c r="G33" s="233" t="s">
        <v>330</v>
      </c>
      <c r="H33" s="233" t="s">
        <v>435</v>
      </c>
      <c r="I33" s="236">
        <v>202</v>
      </c>
      <c r="J33" s="236">
        <v>202</v>
      </c>
      <c r="K33" s="236">
        <v>5</v>
      </c>
      <c r="L33" s="236">
        <v>2.48</v>
      </c>
      <c r="M33" s="237">
        <v>7575</v>
      </c>
      <c r="N33" s="236">
        <v>0</v>
      </c>
      <c r="O33" s="236">
        <v>0</v>
      </c>
      <c r="P33" s="236">
        <v>0</v>
      </c>
      <c r="Q33" s="237">
        <v>0</v>
      </c>
      <c r="R33" s="238">
        <v>5</v>
      </c>
      <c r="S33" s="239">
        <v>7575</v>
      </c>
    </row>
    <row r="34" spans="1:19">
      <c r="A34" s="235">
        <v>101293</v>
      </c>
      <c r="B34" s="235">
        <v>3022042</v>
      </c>
      <c r="C34" s="235">
        <v>302</v>
      </c>
      <c r="D34" s="233" t="s">
        <v>340</v>
      </c>
      <c r="E34" s="235">
        <v>2042</v>
      </c>
      <c r="F34" s="233" t="s">
        <v>250</v>
      </c>
      <c r="G34" s="233" t="s">
        <v>433</v>
      </c>
      <c r="H34" s="233" t="s">
        <v>436</v>
      </c>
      <c r="I34" s="236">
        <v>417</v>
      </c>
      <c r="J34" s="236">
        <v>417</v>
      </c>
      <c r="K34" s="236">
        <v>16</v>
      </c>
      <c r="L34" s="236">
        <v>3.84</v>
      </c>
      <c r="M34" s="237">
        <v>24240</v>
      </c>
      <c r="N34" s="236">
        <v>0</v>
      </c>
      <c r="O34" s="236">
        <v>0</v>
      </c>
      <c r="P34" s="236">
        <v>0</v>
      </c>
      <c r="Q34" s="237">
        <v>0</v>
      </c>
      <c r="R34" s="238">
        <v>16</v>
      </c>
      <c r="S34" s="239">
        <v>24240</v>
      </c>
    </row>
    <row r="35" spans="1:19">
      <c r="A35" s="235">
        <v>101294</v>
      </c>
      <c r="B35" s="235">
        <v>3022043</v>
      </c>
      <c r="C35" s="235">
        <v>302</v>
      </c>
      <c r="D35" s="233" t="s">
        <v>340</v>
      </c>
      <c r="E35" s="235">
        <v>2043</v>
      </c>
      <c r="F35" s="233" t="s">
        <v>74</v>
      </c>
      <c r="G35" s="233" t="s">
        <v>433</v>
      </c>
      <c r="H35" s="233" t="s">
        <v>435</v>
      </c>
      <c r="I35" s="236">
        <v>475</v>
      </c>
      <c r="J35" s="236">
        <v>475</v>
      </c>
      <c r="K35" s="236">
        <v>89</v>
      </c>
      <c r="L35" s="236">
        <v>18.739999999999998</v>
      </c>
      <c r="M35" s="237">
        <v>134835</v>
      </c>
      <c r="N35" s="236">
        <v>0</v>
      </c>
      <c r="O35" s="236">
        <v>0</v>
      </c>
      <c r="P35" s="236">
        <v>0</v>
      </c>
      <c r="Q35" s="237">
        <v>0</v>
      </c>
      <c r="R35" s="238">
        <v>89</v>
      </c>
      <c r="S35" s="239">
        <v>134835</v>
      </c>
    </row>
    <row r="36" spans="1:19">
      <c r="A36" s="235">
        <v>101295</v>
      </c>
      <c r="B36" s="235">
        <v>3022044</v>
      </c>
      <c r="C36" s="235">
        <v>302</v>
      </c>
      <c r="D36" s="233" t="s">
        <v>340</v>
      </c>
      <c r="E36" s="235">
        <v>2044</v>
      </c>
      <c r="F36" s="233" t="s">
        <v>73</v>
      </c>
      <c r="G36" s="233" t="s">
        <v>433</v>
      </c>
      <c r="H36" s="233" t="s">
        <v>435</v>
      </c>
      <c r="I36" s="236">
        <v>317</v>
      </c>
      <c r="J36" s="236">
        <v>317</v>
      </c>
      <c r="K36" s="236">
        <v>47</v>
      </c>
      <c r="L36" s="236">
        <v>14.83</v>
      </c>
      <c r="M36" s="237">
        <v>71205</v>
      </c>
      <c r="N36" s="236">
        <v>0</v>
      </c>
      <c r="O36" s="236">
        <v>0</v>
      </c>
      <c r="P36" s="236">
        <v>0</v>
      </c>
      <c r="Q36" s="237">
        <v>0</v>
      </c>
      <c r="R36" s="238">
        <v>47</v>
      </c>
      <c r="S36" s="239">
        <v>71205</v>
      </c>
    </row>
    <row r="37" spans="1:19">
      <c r="A37" s="235">
        <v>101296</v>
      </c>
      <c r="B37" s="235">
        <v>3022045</v>
      </c>
      <c r="C37" s="235">
        <v>302</v>
      </c>
      <c r="D37" s="233" t="s">
        <v>340</v>
      </c>
      <c r="E37" s="235">
        <v>2045</v>
      </c>
      <c r="F37" s="233" t="s">
        <v>251</v>
      </c>
      <c r="G37" s="233" t="s">
        <v>433</v>
      </c>
      <c r="H37" s="233" t="s">
        <v>435</v>
      </c>
      <c r="I37" s="236">
        <v>212</v>
      </c>
      <c r="J37" s="236">
        <v>212</v>
      </c>
      <c r="K37" s="236">
        <v>31</v>
      </c>
      <c r="L37" s="236">
        <v>14.62</v>
      </c>
      <c r="M37" s="237">
        <v>46965</v>
      </c>
      <c r="N37" s="236">
        <v>0</v>
      </c>
      <c r="O37" s="236">
        <v>0</v>
      </c>
      <c r="P37" s="236">
        <v>0</v>
      </c>
      <c r="Q37" s="237">
        <v>0</v>
      </c>
      <c r="R37" s="238">
        <v>31</v>
      </c>
      <c r="S37" s="239">
        <v>46965</v>
      </c>
    </row>
    <row r="38" spans="1:19" hidden="1">
      <c r="A38" s="235">
        <v>139817</v>
      </c>
      <c r="B38" s="235">
        <v>3022047</v>
      </c>
      <c r="C38" s="235">
        <v>302</v>
      </c>
      <c r="D38" s="233" t="s">
        <v>340</v>
      </c>
      <c r="E38" s="235">
        <v>2047</v>
      </c>
      <c r="F38" s="233" t="s">
        <v>262</v>
      </c>
      <c r="G38" s="233" t="s">
        <v>330</v>
      </c>
      <c r="H38" s="233" t="s">
        <v>434</v>
      </c>
      <c r="I38" s="236">
        <v>424</v>
      </c>
      <c r="J38" s="236">
        <v>424</v>
      </c>
      <c r="K38" s="236">
        <v>94</v>
      </c>
      <c r="L38" s="236">
        <v>22.17</v>
      </c>
      <c r="M38" s="237">
        <v>142410</v>
      </c>
      <c r="N38" s="236">
        <v>0</v>
      </c>
      <c r="O38" s="236">
        <v>0</v>
      </c>
      <c r="P38" s="236">
        <v>0</v>
      </c>
      <c r="Q38" s="237">
        <v>0</v>
      </c>
      <c r="R38" s="238">
        <v>94</v>
      </c>
      <c r="S38" s="239">
        <v>142410</v>
      </c>
    </row>
    <row r="39" spans="1:19" hidden="1">
      <c r="A39" s="235">
        <v>140601</v>
      </c>
      <c r="B39" s="235">
        <v>3022048</v>
      </c>
      <c r="C39" s="235">
        <v>302</v>
      </c>
      <c r="D39" s="233" t="s">
        <v>340</v>
      </c>
      <c r="E39" s="235">
        <v>2048</v>
      </c>
      <c r="F39" s="233" t="s">
        <v>322</v>
      </c>
      <c r="G39" s="233" t="s">
        <v>330</v>
      </c>
      <c r="H39" s="233" t="s">
        <v>436</v>
      </c>
      <c r="I39" s="236">
        <v>396</v>
      </c>
      <c r="J39" s="236">
        <v>396</v>
      </c>
      <c r="K39" s="236">
        <v>113</v>
      </c>
      <c r="L39" s="236">
        <v>28.54</v>
      </c>
      <c r="M39" s="237">
        <v>171195</v>
      </c>
      <c r="N39" s="236">
        <v>0</v>
      </c>
      <c r="O39" s="236">
        <v>0</v>
      </c>
      <c r="P39" s="236">
        <v>0</v>
      </c>
      <c r="Q39" s="237">
        <v>0</v>
      </c>
      <c r="R39" s="238">
        <v>113</v>
      </c>
      <c r="S39" s="239">
        <v>171195</v>
      </c>
    </row>
    <row r="40" spans="1:19" hidden="1">
      <c r="A40" s="235">
        <v>142114</v>
      </c>
      <c r="B40" s="235">
        <v>3022049</v>
      </c>
      <c r="C40" s="235">
        <v>302</v>
      </c>
      <c r="D40" s="233" t="s">
        <v>340</v>
      </c>
      <c r="E40" s="235">
        <v>2049</v>
      </c>
      <c r="F40" s="233" t="s">
        <v>345</v>
      </c>
      <c r="G40" s="233" t="s">
        <v>330</v>
      </c>
      <c r="H40" s="233" t="s">
        <v>434</v>
      </c>
      <c r="I40" s="236">
        <v>409</v>
      </c>
      <c r="J40" s="236">
        <v>409</v>
      </c>
      <c r="K40" s="236">
        <v>200</v>
      </c>
      <c r="L40" s="236">
        <v>48.9</v>
      </c>
      <c r="M40" s="237">
        <v>303000</v>
      </c>
      <c r="N40" s="236">
        <v>0</v>
      </c>
      <c r="O40" s="236">
        <v>0</v>
      </c>
      <c r="P40" s="236">
        <v>0</v>
      </c>
      <c r="Q40" s="237">
        <v>0</v>
      </c>
      <c r="R40" s="238">
        <v>200</v>
      </c>
      <c r="S40" s="239">
        <v>303000</v>
      </c>
    </row>
    <row r="41" spans="1:19" hidden="1">
      <c r="A41" s="235">
        <v>142772</v>
      </c>
      <c r="B41" s="235">
        <v>3022050</v>
      </c>
      <c r="C41" s="235">
        <v>302</v>
      </c>
      <c r="D41" s="233" t="s">
        <v>340</v>
      </c>
      <c r="E41" s="235">
        <v>2050</v>
      </c>
      <c r="F41" s="233" t="s">
        <v>346</v>
      </c>
      <c r="G41" s="233" t="s">
        <v>330</v>
      </c>
      <c r="H41" s="233" t="s">
        <v>436</v>
      </c>
      <c r="I41" s="236">
        <v>421</v>
      </c>
      <c r="J41" s="236">
        <v>421</v>
      </c>
      <c r="K41" s="236">
        <v>29</v>
      </c>
      <c r="L41" s="236">
        <v>6.89</v>
      </c>
      <c r="M41" s="237">
        <v>43935</v>
      </c>
      <c r="N41" s="236">
        <v>0</v>
      </c>
      <c r="O41" s="236">
        <v>0</v>
      </c>
      <c r="P41" s="236">
        <v>0</v>
      </c>
      <c r="Q41" s="237">
        <v>0</v>
      </c>
      <c r="R41" s="238">
        <v>29</v>
      </c>
      <c r="S41" s="239">
        <v>43935</v>
      </c>
    </row>
    <row r="42" spans="1:19" hidden="1">
      <c r="A42" s="235">
        <v>144653</v>
      </c>
      <c r="B42" s="235">
        <v>3022051</v>
      </c>
      <c r="C42" s="235">
        <v>302</v>
      </c>
      <c r="D42" s="233" t="s">
        <v>340</v>
      </c>
      <c r="E42" s="235">
        <v>2051</v>
      </c>
      <c r="F42" s="233" t="s">
        <v>354</v>
      </c>
      <c r="G42" s="233" t="s">
        <v>330</v>
      </c>
      <c r="H42" s="233" t="s">
        <v>435</v>
      </c>
      <c r="I42" s="236">
        <v>364</v>
      </c>
      <c r="J42" s="236">
        <v>364</v>
      </c>
      <c r="K42" s="236">
        <v>125</v>
      </c>
      <c r="L42" s="236">
        <v>34.340000000000003</v>
      </c>
      <c r="M42" s="237">
        <v>189375</v>
      </c>
      <c r="N42" s="236">
        <v>0</v>
      </c>
      <c r="O42" s="236">
        <v>0</v>
      </c>
      <c r="P42" s="236">
        <v>0</v>
      </c>
      <c r="Q42" s="237">
        <v>0</v>
      </c>
      <c r="R42" s="238">
        <v>125</v>
      </c>
      <c r="S42" s="239">
        <v>189375</v>
      </c>
    </row>
    <row r="43" spans="1:19">
      <c r="A43" s="235">
        <v>146803</v>
      </c>
      <c r="B43" s="235">
        <v>3022053</v>
      </c>
      <c r="C43" s="235">
        <v>302</v>
      </c>
      <c r="D43" s="233" t="s">
        <v>340</v>
      </c>
      <c r="E43" s="235">
        <v>2053</v>
      </c>
      <c r="F43" s="233" t="s">
        <v>386</v>
      </c>
      <c r="G43" s="233" t="s">
        <v>433</v>
      </c>
      <c r="H43" s="233" t="s">
        <v>434</v>
      </c>
      <c r="I43" s="236">
        <v>205</v>
      </c>
      <c r="J43" s="236">
        <v>205</v>
      </c>
      <c r="K43" s="236">
        <v>6</v>
      </c>
      <c r="L43" s="236">
        <v>2.93</v>
      </c>
      <c r="M43" s="237">
        <v>9090</v>
      </c>
      <c r="N43" s="236">
        <v>0</v>
      </c>
      <c r="O43" s="236">
        <v>0</v>
      </c>
      <c r="P43" s="236">
        <v>0</v>
      </c>
      <c r="Q43" s="237">
        <v>0</v>
      </c>
      <c r="R43" s="238">
        <v>6</v>
      </c>
      <c r="S43" s="239">
        <v>9090</v>
      </c>
    </row>
    <row r="44" spans="1:19">
      <c r="A44" s="235">
        <v>101298</v>
      </c>
      <c r="B44" s="235">
        <v>3022054</v>
      </c>
      <c r="C44" s="235">
        <v>302</v>
      </c>
      <c r="D44" s="233" t="s">
        <v>340</v>
      </c>
      <c r="E44" s="235">
        <v>2054</v>
      </c>
      <c r="F44" s="233" t="s">
        <v>268</v>
      </c>
      <c r="G44" s="233" t="s">
        <v>433</v>
      </c>
      <c r="H44" s="233" t="s">
        <v>436</v>
      </c>
      <c r="I44" s="236">
        <v>208</v>
      </c>
      <c r="J44" s="236">
        <v>208</v>
      </c>
      <c r="K44" s="236">
        <v>11</v>
      </c>
      <c r="L44" s="236">
        <v>5.29</v>
      </c>
      <c r="M44" s="237">
        <v>16665</v>
      </c>
      <c r="N44" s="236">
        <v>0</v>
      </c>
      <c r="O44" s="236">
        <v>0</v>
      </c>
      <c r="P44" s="236">
        <v>0</v>
      </c>
      <c r="Q44" s="237">
        <v>0</v>
      </c>
      <c r="R44" s="238">
        <v>11</v>
      </c>
      <c r="S44" s="239">
        <v>16665</v>
      </c>
    </row>
    <row r="45" spans="1:19">
      <c r="A45" s="235">
        <v>101299</v>
      </c>
      <c r="B45" s="235">
        <v>3022055</v>
      </c>
      <c r="C45" s="235">
        <v>302</v>
      </c>
      <c r="D45" s="233" t="s">
        <v>340</v>
      </c>
      <c r="E45" s="235">
        <v>2055</v>
      </c>
      <c r="F45" s="233" t="s">
        <v>265</v>
      </c>
      <c r="G45" s="233" t="s">
        <v>433</v>
      </c>
      <c r="H45" s="233" t="s">
        <v>435</v>
      </c>
      <c r="I45" s="236">
        <v>182</v>
      </c>
      <c r="J45" s="236">
        <v>182</v>
      </c>
      <c r="K45" s="236">
        <v>50</v>
      </c>
      <c r="L45" s="236">
        <v>27.47</v>
      </c>
      <c r="M45" s="237">
        <v>75750</v>
      </c>
      <c r="N45" s="236">
        <v>0</v>
      </c>
      <c r="O45" s="236">
        <v>0</v>
      </c>
      <c r="P45" s="236">
        <v>0</v>
      </c>
      <c r="Q45" s="237">
        <v>0</v>
      </c>
      <c r="R45" s="238">
        <v>50</v>
      </c>
      <c r="S45" s="239">
        <v>75750</v>
      </c>
    </row>
    <row r="46" spans="1:19">
      <c r="A46" s="235">
        <v>101301</v>
      </c>
      <c r="B46" s="235">
        <v>3022057</v>
      </c>
      <c r="C46" s="235">
        <v>302</v>
      </c>
      <c r="D46" s="233" t="s">
        <v>340</v>
      </c>
      <c r="E46" s="235">
        <v>2057</v>
      </c>
      <c r="F46" s="233" t="s">
        <v>342</v>
      </c>
      <c r="G46" s="233" t="s">
        <v>433</v>
      </c>
      <c r="H46" s="233" t="s">
        <v>436</v>
      </c>
      <c r="I46" s="236">
        <v>436</v>
      </c>
      <c r="J46" s="236">
        <v>436</v>
      </c>
      <c r="K46" s="236">
        <v>176</v>
      </c>
      <c r="L46" s="236">
        <v>40.369999999999997</v>
      </c>
      <c r="M46" s="237">
        <v>266640</v>
      </c>
      <c r="N46" s="236">
        <v>0</v>
      </c>
      <c r="O46" s="236">
        <v>0</v>
      </c>
      <c r="P46" s="236">
        <v>0</v>
      </c>
      <c r="Q46" s="237">
        <v>0</v>
      </c>
      <c r="R46" s="238">
        <v>176</v>
      </c>
      <c r="S46" s="239">
        <v>266640</v>
      </c>
    </row>
    <row r="47" spans="1:19">
      <c r="A47" s="235">
        <v>101304</v>
      </c>
      <c r="B47" s="235">
        <v>3022060</v>
      </c>
      <c r="C47" s="235">
        <v>302</v>
      </c>
      <c r="D47" s="233" t="s">
        <v>340</v>
      </c>
      <c r="E47" s="235">
        <v>2060</v>
      </c>
      <c r="F47" s="233" t="s">
        <v>267</v>
      </c>
      <c r="G47" s="233" t="s">
        <v>433</v>
      </c>
      <c r="H47" s="233" t="s">
        <v>436</v>
      </c>
      <c r="I47" s="236">
        <v>417</v>
      </c>
      <c r="J47" s="236">
        <v>417</v>
      </c>
      <c r="K47" s="236">
        <v>116</v>
      </c>
      <c r="L47" s="236">
        <v>27.82</v>
      </c>
      <c r="M47" s="237">
        <v>175740</v>
      </c>
      <c r="N47" s="236">
        <v>0</v>
      </c>
      <c r="O47" s="236">
        <v>0</v>
      </c>
      <c r="P47" s="236">
        <v>0</v>
      </c>
      <c r="Q47" s="237">
        <v>0</v>
      </c>
      <c r="R47" s="238">
        <v>116</v>
      </c>
      <c r="S47" s="239">
        <v>175740</v>
      </c>
    </row>
    <row r="48" spans="1:19">
      <c r="A48" s="235">
        <v>150274</v>
      </c>
      <c r="B48" s="235">
        <v>3022061</v>
      </c>
      <c r="C48" s="235">
        <v>302</v>
      </c>
      <c r="D48" s="233" t="s">
        <v>340</v>
      </c>
      <c r="E48" s="235">
        <v>2061</v>
      </c>
      <c r="F48" s="233" t="s">
        <v>497</v>
      </c>
      <c r="G48" s="233" t="s">
        <v>433</v>
      </c>
      <c r="H48" s="233" t="s">
        <v>435</v>
      </c>
      <c r="I48" s="236">
        <v>182</v>
      </c>
      <c r="J48" s="236">
        <v>182</v>
      </c>
      <c r="K48" s="236">
        <v>1</v>
      </c>
      <c r="L48" s="236">
        <v>0.55000000000000004</v>
      </c>
      <c r="M48" s="237">
        <v>1515</v>
      </c>
      <c r="N48" s="236">
        <v>0</v>
      </c>
      <c r="O48" s="236">
        <v>0</v>
      </c>
      <c r="P48" s="236">
        <v>0</v>
      </c>
      <c r="Q48" s="237">
        <v>0</v>
      </c>
      <c r="R48" s="238">
        <v>1</v>
      </c>
      <c r="S48" s="239">
        <v>1515</v>
      </c>
    </row>
    <row r="49" spans="1:19" hidden="1">
      <c r="A49" s="235">
        <v>150355</v>
      </c>
      <c r="B49" s="235">
        <v>3022066</v>
      </c>
      <c r="C49" s="235">
        <v>302</v>
      </c>
      <c r="D49" s="233" t="s">
        <v>340</v>
      </c>
      <c r="E49" s="235">
        <v>2066</v>
      </c>
      <c r="F49" s="233" t="s">
        <v>480</v>
      </c>
      <c r="G49" s="233" t="s">
        <v>330</v>
      </c>
      <c r="H49" s="233" t="s">
        <v>434</v>
      </c>
      <c r="I49" s="236">
        <v>379</v>
      </c>
      <c r="J49" s="236">
        <v>379</v>
      </c>
      <c r="K49" s="236">
        <v>131</v>
      </c>
      <c r="L49" s="236">
        <v>34.56</v>
      </c>
      <c r="M49" s="237">
        <v>198465</v>
      </c>
      <c r="N49" s="236">
        <v>0</v>
      </c>
      <c r="O49" s="236">
        <v>0</v>
      </c>
      <c r="P49" s="236">
        <v>0</v>
      </c>
      <c r="Q49" s="237">
        <v>0</v>
      </c>
      <c r="R49" s="238">
        <v>131</v>
      </c>
      <c r="S49" s="239">
        <v>198465</v>
      </c>
    </row>
    <row r="50" spans="1:19">
      <c r="A50" s="235">
        <v>101309</v>
      </c>
      <c r="B50" s="235">
        <v>3022067</v>
      </c>
      <c r="C50" s="235">
        <v>302</v>
      </c>
      <c r="D50" s="233" t="s">
        <v>340</v>
      </c>
      <c r="E50" s="235">
        <v>2067</v>
      </c>
      <c r="F50" s="233" t="s">
        <v>234</v>
      </c>
      <c r="G50" s="233" t="s">
        <v>433</v>
      </c>
      <c r="H50" s="233" t="s">
        <v>435</v>
      </c>
      <c r="I50" s="236">
        <v>221</v>
      </c>
      <c r="J50" s="236">
        <v>221</v>
      </c>
      <c r="K50" s="236">
        <v>43</v>
      </c>
      <c r="L50" s="236">
        <v>19.46</v>
      </c>
      <c r="M50" s="237">
        <v>65145</v>
      </c>
      <c r="N50" s="236">
        <v>0</v>
      </c>
      <c r="O50" s="236">
        <v>0</v>
      </c>
      <c r="P50" s="236">
        <v>0</v>
      </c>
      <c r="Q50" s="237">
        <v>0</v>
      </c>
      <c r="R50" s="238">
        <v>43</v>
      </c>
      <c r="S50" s="239">
        <v>65145</v>
      </c>
    </row>
    <row r="51" spans="1:19">
      <c r="A51" s="235">
        <v>152214</v>
      </c>
      <c r="B51" s="235">
        <v>3022069</v>
      </c>
      <c r="C51" s="235">
        <v>302</v>
      </c>
      <c r="D51" s="233" t="s">
        <v>340</v>
      </c>
      <c r="E51" s="235">
        <v>2069</v>
      </c>
      <c r="F51" s="233" t="s">
        <v>484</v>
      </c>
      <c r="G51" s="233" t="s">
        <v>433</v>
      </c>
      <c r="H51" s="233" t="s">
        <v>434</v>
      </c>
      <c r="I51" s="236">
        <v>163</v>
      </c>
      <c r="J51" s="236">
        <v>163</v>
      </c>
      <c r="K51" s="236">
        <v>0</v>
      </c>
      <c r="L51" s="236">
        <v>0</v>
      </c>
      <c r="M51" s="237">
        <v>0</v>
      </c>
      <c r="N51" s="236">
        <v>0</v>
      </c>
      <c r="O51" s="236">
        <v>0</v>
      </c>
      <c r="P51" s="236">
        <v>0</v>
      </c>
      <c r="Q51" s="237">
        <v>0</v>
      </c>
      <c r="R51" s="238">
        <v>0</v>
      </c>
      <c r="S51" s="239">
        <v>0</v>
      </c>
    </row>
    <row r="52" spans="1:19">
      <c r="A52" s="235">
        <v>101311</v>
      </c>
      <c r="B52" s="235">
        <v>3022070</v>
      </c>
      <c r="C52" s="235">
        <v>302</v>
      </c>
      <c r="D52" s="233" t="s">
        <v>340</v>
      </c>
      <c r="E52" s="235">
        <v>2070</v>
      </c>
      <c r="F52" s="233" t="s">
        <v>260</v>
      </c>
      <c r="G52" s="233" t="s">
        <v>433</v>
      </c>
      <c r="H52" s="233" t="s">
        <v>434</v>
      </c>
      <c r="I52" s="236">
        <v>207</v>
      </c>
      <c r="J52" s="236">
        <v>207</v>
      </c>
      <c r="K52" s="236">
        <v>64</v>
      </c>
      <c r="L52" s="236">
        <v>30.92</v>
      </c>
      <c r="M52" s="237">
        <v>96960</v>
      </c>
      <c r="N52" s="236">
        <v>0</v>
      </c>
      <c r="O52" s="236">
        <v>0</v>
      </c>
      <c r="P52" s="236">
        <v>0</v>
      </c>
      <c r="Q52" s="237">
        <v>0</v>
      </c>
      <c r="R52" s="238">
        <v>64</v>
      </c>
      <c r="S52" s="239">
        <v>96960</v>
      </c>
    </row>
    <row r="53" spans="1:19">
      <c r="A53" s="235">
        <v>101312</v>
      </c>
      <c r="B53" s="235">
        <v>3022071</v>
      </c>
      <c r="C53" s="235">
        <v>302</v>
      </c>
      <c r="D53" s="233" t="s">
        <v>340</v>
      </c>
      <c r="E53" s="235">
        <v>2071</v>
      </c>
      <c r="F53" s="233" t="s">
        <v>333</v>
      </c>
      <c r="G53" s="233" t="s">
        <v>433</v>
      </c>
      <c r="H53" s="233" t="s">
        <v>436</v>
      </c>
      <c r="I53" s="236">
        <v>145</v>
      </c>
      <c r="J53" s="236">
        <v>145</v>
      </c>
      <c r="K53" s="236">
        <v>30</v>
      </c>
      <c r="L53" s="236">
        <v>20.69</v>
      </c>
      <c r="M53" s="237">
        <v>45450</v>
      </c>
      <c r="N53" s="236">
        <v>0</v>
      </c>
      <c r="O53" s="236">
        <v>0</v>
      </c>
      <c r="P53" s="236">
        <v>0</v>
      </c>
      <c r="Q53" s="237">
        <v>0</v>
      </c>
      <c r="R53" s="238">
        <v>30</v>
      </c>
      <c r="S53" s="239">
        <v>45450</v>
      </c>
    </row>
    <row r="54" spans="1:19">
      <c r="A54" s="235">
        <v>101313</v>
      </c>
      <c r="B54" s="235">
        <v>3022072</v>
      </c>
      <c r="C54" s="235">
        <v>302</v>
      </c>
      <c r="D54" s="233" t="s">
        <v>340</v>
      </c>
      <c r="E54" s="235">
        <v>2072</v>
      </c>
      <c r="F54" s="233" t="s">
        <v>80</v>
      </c>
      <c r="G54" s="233" t="s">
        <v>433</v>
      </c>
      <c r="H54" s="233" t="s">
        <v>436</v>
      </c>
      <c r="I54" s="236">
        <v>268</v>
      </c>
      <c r="J54" s="236">
        <v>268</v>
      </c>
      <c r="K54" s="236">
        <v>94</v>
      </c>
      <c r="L54" s="236">
        <v>35.07</v>
      </c>
      <c r="M54" s="237">
        <v>142410</v>
      </c>
      <c r="N54" s="236">
        <v>0</v>
      </c>
      <c r="O54" s="236">
        <v>0</v>
      </c>
      <c r="P54" s="236">
        <v>0</v>
      </c>
      <c r="Q54" s="237">
        <v>0</v>
      </c>
      <c r="R54" s="238">
        <v>94</v>
      </c>
      <c r="S54" s="239">
        <v>142410</v>
      </c>
    </row>
    <row r="55" spans="1:19">
      <c r="A55" s="235">
        <v>101314</v>
      </c>
      <c r="B55" s="235">
        <v>3022073</v>
      </c>
      <c r="C55" s="235">
        <v>302</v>
      </c>
      <c r="D55" s="233" t="s">
        <v>340</v>
      </c>
      <c r="E55" s="235">
        <v>2073</v>
      </c>
      <c r="F55" s="233" t="s">
        <v>240</v>
      </c>
      <c r="G55" s="233" t="s">
        <v>433</v>
      </c>
      <c r="H55" s="233" t="s">
        <v>436</v>
      </c>
      <c r="I55" s="236">
        <v>625</v>
      </c>
      <c r="J55" s="236">
        <v>625</v>
      </c>
      <c r="K55" s="236">
        <v>217</v>
      </c>
      <c r="L55" s="236">
        <v>34.72</v>
      </c>
      <c r="M55" s="237">
        <v>328755</v>
      </c>
      <c r="N55" s="236">
        <v>0</v>
      </c>
      <c r="O55" s="236">
        <v>0</v>
      </c>
      <c r="P55" s="236">
        <v>0</v>
      </c>
      <c r="Q55" s="237">
        <v>0</v>
      </c>
      <c r="R55" s="238">
        <v>217</v>
      </c>
      <c r="S55" s="239">
        <v>328755</v>
      </c>
    </row>
    <row r="56" spans="1:19">
      <c r="A56" s="235">
        <v>131617</v>
      </c>
      <c r="B56" s="235">
        <v>3022076</v>
      </c>
      <c r="C56" s="235">
        <v>302</v>
      </c>
      <c r="D56" s="233" t="s">
        <v>340</v>
      </c>
      <c r="E56" s="235">
        <v>2076</v>
      </c>
      <c r="F56" s="233" t="s">
        <v>266</v>
      </c>
      <c r="G56" s="233" t="s">
        <v>433</v>
      </c>
      <c r="H56" s="233" t="s">
        <v>435</v>
      </c>
      <c r="I56" s="236">
        <v>231</v>
      </c>
      <c r="J56" s="236">
        <v>231</v>
      </c>
      <c r="K56" s="236">
        <v>80</v>
      </c>
      <c r="L56" s="236">
        <v>34.630000000000003</v>
      </c>
      <c r="M56" s="237">
        <v>121200</v>
      </c>
      <c r="N56" s="236">
        <v>0</v>
      </c>
      <c r="O56" s="236">
        <v>0</v>
      </c>
      <c r="P56" s="236">
        <v>0</v>
      </c>
      <c r="Q56" s="237">
        <v>0</v>
      </c>
      <c r="R56" s="238">
        <v>80</v>
      </c>
      <c r="S56" s="239">
        <v>121200</v>
      </c>
    </row>
    <row r="57" spans="1:19">
      <c r="A57" s="235">
        <v>131970</v>
      </c>
      <c r="B57" s="235">
        <v>3022077</v>
      </c>
      <c r="C57" s="235">
        <v>302</v>
      </c>
      <c r="D57" s="233" t="s">
        <v>340</v>
      </c>
      <c r="E57" s="235">
        <v>2077</v>
      </c>
      <c r="F57" s="233" t="s">
        <v>263</v>
      </c>
      <c r="G57" s="233" t="s">
        <v>433</v>
      </c>
      <c r="H57" s="233" t="s">
        <v>434</v>
      </c>
      <c r="I57" s="236">
        <v>843</v>
      </c>
      <c r="J57" s="236">
        <v>843</v>
      </c>
      <c r="K57" s="236">
        <v>392</v>
      </c>
      <c r="L57" s="236">
        <v>46.5</v>
      </c>
      <c r="M57" s="237">
        <v>593880</v>
      </c>
      <c r="N57" s="236">
        <v>0</v>
      </c>
      <c r="O57" s="236">
        <v>0</v>
      </c>
      <c r="P57" s="236">
        <v>0</v>
      </c>
      <c r="Q57" s="237">
        <v>0</v>
      </c>
      <c r="R57" s="238">
        <v>392</v>
      </c>
      <c r="S57" s="239">
        <v>593880</v>
      </c>
    </row>
    <row r="58" spans="1:19">
      <c r="A58" s="235">
        <v>133364</v>
      </c>
      <c r="B58" s="235">
        <v>3022078</v>
      </c>
      <c r="C58" s="235">
        <v>302</v>
      </c>
      <c r="D58" s="233" t="s">
        <v>340</v>
      </c>
      <c r="E58" s="235">
        <v>2078</v>
      </c>
      <c r="F58" s="233" t="s">
        <v>253</v>
      </c>
      <c r="G58" s="233" t="s">
        <v>433</v>
      </c>
      <c r="H58" s="233" t="s">
        <v>435</v>
      </c>
      <c r="I58" s="236">
        <v>355</v>
      </c>
      <c r="J58" s="236">
        <v>355</v>
      </c>
      <c r="K58" s="236">
        <v>13</v>
      </c>
      <c r="L58" s="236">
        <v>3.66</v>
      </c>
      <c r="M58" s="237">
        <v>19695</v>
      </c>
      <c r="N58" s="236">
        <v>0</v>
      </c>
      <c r="O58" s="236">
        <v>0</v>
      </c>
      <c r="P58" s="236">
        <v>0</v>
      </c>
      <c r="Q58" s="237">
        <v>0</v>
      </c>
      <c r="R58" s="238">
        <v>13</v>
      </c>
      <c r="S58" s="239">
        <v>19695</v>
      </c>
    </row>
    <row r="59" spans="1:19">
      <c r="A59" s="235">
        <v>133365</v>
      </c>
      <c r="B59" s="235">
        <v>3022079</v>
      </c>
      <c r="C59" s="235">
        <v>302</v>
      </c>
      <c r="D59" s="233" t="s">
        <v>340</v>
      </c>
      <c r="E59" s="235">
        <v>2079</v>
      </c>
      <c r="F59" s="233" t="s">
        <v>231</v>
      </c>
      <c r="G59" s="233" t="s">
        <v>433</v>
      </c>
      <c r="H59" s="233" t="s">
        <v>481</v>
      </c>
      <c r="I59" s="236">
        <v>410</v>
      </c>
      <c r="J59" s="236">
        <v>410</v>
      </c>
      <c r="K59" s="236">
        <v>7</v>
      </c>
      <c r="L59" s="236">
        <v>1.71</v>
      </c>
      <c r="M59" s="237">
        <v>10605</v>
      </c>
      <c r="N59" s="236">
        <v>0</v>
      </c>
      <c r="O59" s="236">
        <v>0</v>
      </c>
      <c r="P59" s="236">
        <v>0</v>
      </c>
      <c r="Q59" s="237">
        <v>0</v>
      </c>
      <c r="R59" s="238">
        <v>7</v>
      </c>
      <c r="S59" s="239">
        <v>10605</v>
      </c>
    </row>
    <row r="60" spans="1:19">
      <c r="A60" s="235">
        <v>101315</v>
      </c>
      <c r="B60" s="235">
        <v>3023300</v>
      </c>
      <c r="C60" s="235">
        <v>302</v>
      </c>
      <c r="D60" s="233" t="s">
        <v>340</v>
      </c>
      <c r="E60" s="235">
        <v>3300</v>
      </c>
      <c r="F60" s="233" t="s">
        <v>334</v>
      </c>
      <c r="G60" s="233" t="s">
        <v>433</v>
      </c>
      <c r="H60" s="233" t="s">
        <v>435</v>
      </c>
      <c r="I60" s="236">
        <v>172</v>
      </c>
      <c r="J60" s="236">
        <v>172</v>
      </c>
      <c r="K60" s="236">
        <v>75</v>
      </c>
      <c r="L60" s="236">
        <v>43.6</v>
      </c>
      <c r="M60" s="237">
        <v>113625</v>
      </c>
      <c r="N60" s="236">
        <v>0</v>
      </c>
      <c r="O60" s="236">
        <v>0</v>
      </c>
      <c r="P60" s="236">
        <v>0</v>
      </c>
      <c r="Q60" s="237">
        <v>0</v>
      </c>
      <c r="R60" s="238">
        <v>75</v>
      </c>
      <c r="S60" s="239">
        <v>113625</v>
      </c>
    </row>
    <row r="61" spans="1:19">
      <c r="A61" s="235">
        <v>101316</v>
      </c>
      <c r="B61" s="235">
        <v>3023302</v>
      </c>
      <c r="C61" s="235">
        <v>302</v>
      </c>
      <c r="D61" s="233" t="s">
        <v>340</v>
      </c>
      <c r="E61" s="235">
        <v>3302</v>
      </c>
      <c r="F61" s="233" t="s">
        <v>235</v>
      </c>
      <c r="G61" s="233" t="s">
        <v>433</v>
      </c>
      <c r="H61" s="233" t="s">
        <v>436</v>
      </c>
      <c r="I61" s="236">
        <v>195</v>
      </c>
      <c r="J61" s="236">
        <v>195</v>
      </c>
      <c r="K61" s="236">
        <v>20</v>
      </c>
      <c r="L61" s="236">
        <v>10.26</v>
      </c>
      <c r="M61" s="237">
        <v>30300</v>
      </c>
      <c r="N61" s="236">
        <v>0</v>
      </c>
      <c r="O61" s="236">
        <v>0</v>
      </c>
      <c r="P61" s="236">
        <v>0</v>
      </c>
      <c r="Q61" s="237">
        <v>0</v>
      </c>
      <c r="R61" s="238">
        <v>20</v>
      </c>
      <c r="S61" s="239">
        <v>30300</v>
      </c>
    </row>
    <row r="62" spans="1:19">
      <c r="A62" s="235">
        <v>101317</v>
      </c>
      <c r="B62" s="235">
        <v>3023304</v>
      </c>
      <c r="C62" s="235">
        <v>302</v>
      </c>
      <c r="D62" s="233" t="s">
        <v>340</v>
      </c>
      <c r="E62" s="235">
        <v>3304</v>
      </c>
      <c r="F62" s="233" t="s">
        <v>245</v>
      </c>
      <c r="G62" s="233" t="s">
        <v>433</v>
      </c>
      <c r="H62" s="233" t="s">
        <v>435</v>
      </c>
      <c r="I62" s="236">
        <v>189</v>
      </c>
      <c r="J62" s="236">
        <v>189</v>
      </c>
      <c r="K62" s="236">
        <v>43</v>
      </c>
      <c r="L62" s="236">
        <v>22.75</v>
      </c>
      <c r="M62" s="237">
        <v>65145</v>
      </c>
      <c r="N62" s="236">
        <v>0</v>
      </c>
      <c r="O62" s="236">
        <v>0</v>
      </c>
      <c r="P62" s="236">
        <v>0</v>
      </c>
      <c r="Q62" s="237">
        <v>0</v>
      </c>
      <c r="R62" s="238">
        <v>43</v>
      </c>
      <c r="S62" s="239">
        <v>65145</v>
      </c>
    </row>
    <row r="63" spans="1:19">
      <c r="A63" s="235">
        <v>101318</v>
      </c>
      <c r="B63" s="235">
        <v>3023305</v>
      </c>
      <c r="C63" s="235">
        <v>302</v>
      </c>
      <c r="D63" s="233" t="s">
        <v>340</v>
      </c>
      <c r="E63" s="235">
        <v>3305</v>
      </c>
      <c r="F63" s="233" t="s">
        <v>249</v>
      </c>
      <c r="G63" s="233" t="s">
        <v>433</v>
      </c>
      <c r="H63" s="233" t="s">
        <v>436</v>
      </c>
      <c r="I63" s="236">
        <v>150</v>
      </c>
      <c r="J63" s="236">
        <v>150</v>
      </c>
      <c r="K63" s="236">
        <v>24</v>
      </c>
      <c r="L63" s="236">
        <v>16</v>
      </c>
      <c r="M63" s="237">
        <v>36360</v>
      </c>
      <c r="N63" s="236">
        <v>0</v>
      </c>
      <c r="O63" s="236">
        <v>0</v>
      </c>
      <c r="P63" s="236">
        <v>0</v>
      </c>
      <c r="Q63" s="237">
        <v>0</v>
      </c>
      <c r="R63" s="238">
        <v>24</v>
      </c>
      <c r="S63" s="239">
        <v>36360</v>
      </c>
    </row>
    <row r="64" spans="1:19">
      <c r="A64" s="235">
        <v>101319</v>
      </c>
      <c r="B64" s="235">
        <v>3023307</v>
      </c>
      <c r="C64" s="235">
        <v>302</v>
      </c>
      <c r="D64" s="233" t="s">
        <v>340</v>
      </c>
      <c r="E64" s="235">
        <v>3307</v>
      </c>
      <c r="F64" s="233" t="s">
        <v>335</v>
      </c>
      <c r="G64" s="233" t="s">
        <v>433</v>
      </c>
      <c r="H64" s="233" t="s">
        <v>479</v>
      </c>
      <c r="I64" s="236">
        <v>210</v>
      </c>
      <c r="J64" s="236">
        <v>210</v>
      </c>
      <c r="K64" s="236">
        <v>22</v>
      </c>
      <c r="L64" s="236">
        <v>10.48</v>
      </c>
      <c r="M64" s="237">
        <v>33330</v>
      </c>
      <c r="N64" s="236">
        <v>0</v>
      </c>
      <c r="O64" s="236">
        <v>0</v>
      </c>
      <c r="P64" s="236">
        <v>0</v>
      </c>
      <c r="Q64" s="237">
        <v>0</v>
      </c>
      <c r="R64" s="238">
        <v>22</v>
      </c>
      <c r="S64" s="239">
        <v>33330</v>
      </c>
    </row>
    <row r="65" spans="1:19">
      <c r="A65" s="235">
        <v>101321</v>
      </c>
      <c r="B65" s="235">
        <v>3023309</v>
      </c>
      <c r="C65" s="235">
        <v>302</v>
      </c>
      <c r="D65" s="233" t="s">
        <v>340</v>
      </c>
      <c r="E65" s="235">
        <v>3309</v>
      </c>
      <c r="F65" s="233" t="s">
        <v>427</v>
      </c>
      <c r="G65" s="233" t="s">
        <v>433</v>
      </c>
      <c r="H65" s="233" t="s">
        <v>436</v>
      </c>
      <c r="I65" s="236">
        <v>211</v>
      </c>
      <c r="J65" s="236">
        <v>211</v>
      </c>
      <c r="K65" s="236">
        <v>20</v>
      </c>
      <c r="L65" s="236">
        <v>9.48</v>
      </c>
      <c r="M65" s="237">
        <v>30300</v>
      </c>
      <c r="N65" s="236">
        <v>0</v>
      </c>
      <c r="O65" s="236">
        <v>0</v>
      </c>
      <c r="P65" s="236">
        <v>0</v>
      </c>
      <c r="Q65" s="237">
        <v>0</v>
      </c>
      <c r="R65" s="238">
        <v>20</v>
      </c>
      <c r="S65" s="239">
        <v>30300</v>
      </c>
    </row>
    <row r="66" spans="1:19">
      <c r="A66" s="235">
        <v>101323</v>
      </c>
      <c r="B66" s="235">
        <v>3023311</v>
      </c>
      <c r="C66" s="235">
        <v>302</v>
      </c>
      <c r="D66" s="233" t="s">
        <v>340</v>
      </c>
      <c r="E66" s="235">
        <v>3311</v>
      </c>
      <c r="F66" s="233" t="s">
        <v>336</v>
      </c>
      <c r="G66" s="233" t="s">
        <v>433</v>
      </c>
      <c r="H66" s="233" t="s">
        <v>435</v>
      </c>
      <c r="I66" s="236">
        <v>383</v>
      </c>
      <c r="J66" s="236">
        <v>383</v>
      </c>
      <c r="K66" s="236">
        <v>42</v>
      </c>
      <c r="L66" s="236">
        <v>10.97</v>
      </c>
      <c r="M66" s="237">
        <v>63630</v>
      </c>
      <c r="N66" s="236">
        <v>0</v>
      </c>
      <c r="O66" s="236">
        <v>0</v>
      </c>
      <c r="P66" s="236">
        <v>0</v>
      </c>
      <c r="Q66" s="237">
        <v>0</v>
      </c>
      <c r="R66" s="238">
        <v>42</v>
      </c>
      <c r="S66" s="239">
        <v>63630</v>
      </c>
    </row>
    <row r="67" spans="1:19">
      <c r="A67" s="235">
        <v>101324</v>
      </c>
      <c r="B67" s="235">
        <v>3023312</v>
      </c>
      <c r="C67" s="235">
        <v>302</v>
      </c>
      <c r="D67" s="233" t="s">
        <v>340</v>
      </c>
      <c r="E67" s="235">
        <v>3312</v>
      </c>
      <c r="F67" s="233" t="s">
        <v>258</v>
      </c>
      <c r="G67" s="233" t="s">
        <v>433</v>
      </c>
      <c r="H67" s="233" t="s">
        <v>436</v>
      </c>
      <c r="I67" s="236">
        <v>214</v>
      </c>
      <c r="J67" s="236">
        <v>214</v>
      </c>
      <c r="K67" s="236">
        <v>27</v>
      </c>
      <c r="L67" s="236">
        <v>12.62</v>
      </c>
      <c r="M67" s="237">
        <v>40905</v>
      </c>
      <c r="N67" s="236">
        <v>0</v>
      </c>
      <c r="O67" s="236">
        <v>0</v>
      </c>
      <c r="P67" s="236">
        <v>0</v>
      </c>
      <c r="Q67" s="237">
        <v>0</v>
      </c>
      <c r="R67" s="238">
        <v>27</v>
      </c>
      <c r="S67" s="239">
        <v>40905</v>
      </c>
    </row>
    <row r="68" spans="1:19">
      <c r="A68" s="235">
        <v>101325</v>
      </c>
      <c r="B68" s="235">
        <v>3023313</v>
      </c>
      <c r="C68" s="235">
        <v>302</v>
      </c>
      <c r="D68" s="233" t="s">
        <v>340</v>
      </c>
      <c r="E68" s="235">
        <v>3313</v>
      </c>
      <c r="F68" s="233" t="s">
        <v>259</v>
      </c>
      <c r="G68" s="233" t="s">
        <v>433</v>
      </c>
      <c r="H68" s="233" t="s">
        <v>436</v>
      </c>
      <c r="I68" s="236">
        <v>178</v>
      </c>
      <c r="J68" s="236">
        <v>178</v>
      </c>
      <c r="K68" s="236">
        <v>48</v>
      </c>
      <c r="L68" s="236">
        <v>26.97</v>
      </c>
      <c r="M68" s="237">
        <v>72720</v>
      </c>
      <c r="N68" s="236">
        <v>0</v>
      </c>
      <c r="O68" s="236">
        <v>0</v>
      </c>
      <c r="P68" s="236">
        <v>0</v>
      </c>
      <c r="Q68" s="237">
        <v>0</v>
      </c>
      <c r="R68" s="238">
        <v>48</v>
      </c>
      <c r="S68" s="239">
        <v>72720</v>
      </c>
    </row>
    <row r="69" spans="1:19">
      <c r="A69" s="235">
        <v>101326</v>
      </c>
      <c r="B69" s="235">
        <v>3023314</v>
      </c>
      <c r="C69" s="235">
        <v>302</v>
      </c>
      <c r="D69" s="233" t="s">
        <v>340</v>
      </c>
      <c r="E69" s="235">
        <v>3314</v>
      </c>
      <c r="F69" s="233" t="s">
        <v>299</v>
      </c>
      <c r="G69" s="233" t="s">
        <v>433</v>
      </c>
      <c r="H69" s="233" t="s">
        <v>434</v>
      </c>
      <c r="I69" s="236">
        <v>207</v>
      </c>
      <c r="J69" s="236">
        <v>207</v>
      </c>
      <c r="K69" s="236">
        <v>40</v>
      </c>
      <c r="L69" s="236">
        <v>19.32</v>
      </c>
      <c r="M69" s="237">
        <v>60600</v>
      </c>
      <c r="N69" s="236">
        <v>0</v>
      </c>
      <c r="O69" s="236">
        <v>0</v>
      </c>
      <c r="P69" s="236">
        <v>0</v>
      </c>
      <c r="Q69" s="237">
        <v>0</v>
      </c>
      <c r="R69" s="238">
        <v>40</v>
      </c>
      <c r="S69" s="239">
        <v>60600</v>
      </c>
    </row>
    <row r="70" spans="1:19">
      <c r="A70" s="235">
        <v>101327</v>
      </c>
      <c r="B70" s="235">
        <v>3023315</v>
      </c>
      <c r="C70" s="235">
        <v>302</v>
      </c>
      <c r="D70" s="233" t="s">
        <v>340</v>
      </c>
      <c r="E70" s="235">
        <v>3315</v>
      </c>
      <c r="F70" s="233" t="s">
        <v>337</v>
      </c>
      <c r="G70" s="233" t="s">
        <v>433</v>
      </c>
      <c r="H70" s="233" t="s">
        <v>436</v>
      </c>
      <c r="I70" s="236">
        <v>198</v>
      </c>
      <c r="J70" s="236">
        <v>198</v>
      </c>
      <c r="K70" s="236">
        <v>7</v>
      </c>
      <c r="L70" s="236">
        <v>3.54</v>
      </c>
      <c r="M70" s="237">
        <v>10605</v>
      </c>
      <c r="N70" s="236">
        <v>0</v>
      </c>
      <c r="O70" s="236">
        <v>0</v>
      </c>
      <c r="P70" s="236">
        <v>0</v>
      </c>
      <c r="Q70" s="237">
        <v>0</v>
      </c>
      <c r="R70" s="238">
        <v>7</v>
      </c>
      <c r="S70" s="239">
        <v>10605</v>
      </c>
    </row>
    <row r="71" spans="1:19">
      <c r="A71" s="235">
        <v>101328</v>
      </c>
      <c r="B71" s="235">
        <v>3023316</v>
      </c>
      <c r="C71" s="235">
        <v>302</v>
      </c>
      <c r="D71" s="233" t="s">
        <v>340</v>
      </c>
      <c r="E71" s="235">
        <v>3316</v>
      </c>
      <c r="F71" s="233" t="s">
        <v>264</v>
      </c>
      <c r="G71" s="233" t="s">
        <v>433</v>
      </c>
      <c r="H71" s="233" t="s">
        <v>436</v>
      </c>
      <c r="I71" s="236">
        <v>209</v>
      </c>
      <c r="J71" s="236">
        <v>209</v>
      </c>
      <c r="K71" s="236">
        <v>20</v>
      </c>
      <c r="L71" s="236">
        <v>9.57</v>
      </c>
      <c r="M71" s="237">
        <v>30300</v>
      </c>
      <c r="N71" s="236">
        <v>0</v>
      </c>
      <c r="O71" s="236">
        <v>0</v>
      </c>
      <c r="P71" s="236">
        <v>0</v>
      </c>
      <c r="Q71" s="237">
        <v>0</v>
      </c>
      <c r="R71" s="238">
        <v>20</v>
      </c>
      <c r="S71" s="239">
        <v>30300</v>
      </c>
    </row>
    <row r="72" spans="1:19">
      <c r="A72" s="235">
        <v>101329</v>
      </c>
      <c r="B72" s="235">
        <v>3023317</v>
      </c>
      <c r="C72" s="235">
        <v>302</v>
      </c>
      <c r="D72" s="233" t="s">
        <v>340</v>
      </c>
      <c r="E72" s="235">
        <v>3317</v>
      </c>
      <c r="F72" s="233" t="s">
        <v>476</v>
      </c>
      <c r="G72" s="233" t="s">
        <v>433</v>
      </c>
      <c r="H72" s="233" t="s">
        <v>436</v>
      </c>
      <c r="I72" s="236">
        <v>202</v>
      </c>
      <c r="J72" s="236">
        <v>202</v>
      </c>
      <c r="K72" s="236">
        <v>44</v>
      </c>
      <c r="L72" s="236">
        <v>21.78</v>
      </c>
      <c r="M72" s="237">
        <v>66660</v>
      </c>
      <c r="N72" s="236">
        <v>0</v>
      </c>
      <c r="O72" s="236">
        <v>0</v>
      </c>
      <c r="P72" s="236">
        <v>0</v>
      </c>
      <c r="Q72" s="237">
        <v>0</v>
      </c>
      <c r="R72" s="238">
        <v>44</v>
      </c>
      <c r="S72" s="239">
        <v>66660</v>
      </c>
    </row>
    <row r="73" spans="1:19">
      <c r="A73" s="235">
        <v>101330</v>
      </c>
      <c r="B73" s="235">
        <v>3023500</v>
      </c>
      <c r="C73" s="235">
        <v>302</v>
      </c>
      <c r="D73" s="233" t="s">
        <v>340</v>
      </c>
      <c r="E73" s="235">
        <v>3500</v>
      </c>
      <c r="F73" s="233" t="s">
        <v>313</v>
      </c>
      <c r="G73" s="233" t="s">
        <v>433</v>
      </c>
      <c r="H73" s="233" t="s">
        <v>434</v>
      </c>
      <c r="I73" s="236">
        <v>148</v>
      </c>
      <c r="J73" s="236">
        <v>148</v>
      </c>
      <c r="K73" s="236">
        <v>33</v>
      </c>
      <c r="L73" s="236">
        <v>22.3</v>
      </c>
      <c r="M73" s="237">
        <v>49995</v>
      </c>
      <c r="N73" s="236">
        <v>0</v>
      </c>
      <c r="O73" s="236">
        <v>0</v>
      </c>
      <c r="P73" s="236">
        <v>0</v>
      </c>
      <c r="Q73" s="237">
        <v>0</v>
      </c>
      <c r="R73" s="238">
        <v>33</v>
      </c>
      <c r="S73" s="239">
        <v>49995</v>
      </c>
    </row>
    <row r="74" spans="1:19">
      <c r="A74" s="235">
        <v>101331</v>
      </c>
      <c r="B74" s="235">
        <v>3023501</v>
      </c>
      <c r="C74" s="235">
        <v>302</v>
      </c>
      <c r="D74" s="233" t="s">
        <v>340</v>
      </c>
      <c r="E74" s="235">
        <v>3501</v>
      </c>
      <c r="F74" s="233" t="s">
        <v>78</v>
      </c>
      <c r="G74" s="233" t="s">
        <v>433</v>
      </c>
      <c r="H74" s="233" t="s">
        <v>435</v>
      </c>
      <c r="I74" s="236">
        <v>184</v>
      </c>
      <c r="J74" s="236">
        <v>184</v>
      </c>
      <c r="K74" s="236">
        <v>40</v>
      </c>
      <c r="L74" s="236">
        <v>21.74</v>
      </c>
      <c r="M74" s="237">
        <v>60600</v>
      </c>
      <c r="N74" s="236">
        <v>0</v>
      </c>
      <c r="O74" s="236">
        <v>0</v>
      </c>
      <c r="P74" s="236">
        <v>0</v>
      </c>
      <c r="Q74" s="237">
        <v>0</v>
      </c>
      <c r="R74" s="238">
        <v>40</v>
      </c>
      <c r="S74" s="239">
        <v>60600</v>
      </c>
    </row>
    <row r="75" spans="1:19">
      <c r="A75" s="235">
        <v>101332</v>
      </c>
      <c r="B75" s="235">
        <v>3023502</v>
      </c>
      <c r="C75" s="235">
        <v>302</v>
      </c>
      <c r="D75" s="233" t="s">
        <v>340</v>
      </c>
      <c r="E75" s="235">
        <v>3502</v>
      </c>
      <c r="F75" s="233" t="s">
        <v>426</v>
      </c>
      <c r="G75" s="233" t="s">
        <v>433</v>
      </c>
      <c r="H75" s="233" t="s">
        <v>435</v>
      </c>
      <c r="I75" s="236">
        <v>406</v>
      </c>
      <c r="J75" s="236">
        <v>406</v>
      </c>
      <c r="K75" s="236">
        <v>107</v>
      </c>
      <c r="L75" s="236">
        <v>26.35</v>
      </c>
      <c r="M75" s="237">
        <v>162105</v>
      </c>
      <c r="N75" s="236">
        <v>0</v>
      </c>
      <c r="O75" s="236">
        <v>0</v>
      </c>
      <c r="P75" s="236">
        <v>0</v>
      </c>
      <c r="Q75" s="237">
        <v>0</v>
      </c>
      <c r="R75" s="238">
        <v>107</v>
      </c>
      <c r="S75" s="239">
        <v>162105</v>
      </c>
    </row>
    <row r="76" spans="1:19">
      <c r="A76" s="235">
        <v>101333</v>
      </c>
      <c r="B76" s="235">
        <v>3023504</v>
      </c>
      <c r="C76" s="235">
        <v>302</v>
      </c>
      <c r="D76" s="233" t="s">
        <v>340</v>
      </c>
      <c r="E76" s="235">
        <v>3504</v>
      </c>
      <c r="F76" s="233" t="s">
        <v>257</v>
      </c>
      <c r="G76" s="233" t="s">
        <v>433</v>
      </c>
      <c r="H76" s="233" t="s">
        <v>436</v>
      </c>
      <c r="I76" s="236">
        <v>422</v>
      </c>
      <c r="J76" s="236">
        <v>422</v>
      </c>
      <c r="K76" s="236">
        <v>25</v>
      </c>
      <c r="L76" s="236">
        <v>5.92</v>
      </c>
      <c r="M76" s="237">
        <v>37875</v>
      </c>
      <c r="N76" s="236">
        <v>0</v>
      </c>
      <c r="O76" s="236">
        <v>0</v>
      </c>
      <c r="P76" s="236">
        <v>0</v>
      </c>
      <c r="Q76" s="237">
        <v>0</v>
      </c>
      <c r="R76" s="238">
        <v>25</v>
      </c>
      <c r="S76" s="239">
        <v>37875</v>
      </c>
    </row>
    <row r="77" spans="1:19">
      <c r="A77" s="235">
        <v>101334</v>
      </c>
      <c r="B77" s="235">
        <v>3023506</v>
      </c>
      <c r="C77" s="235">
        <v>302</v>
      </c>
      <c r="D77" s="233" t="s">
        <v>340</v>
      </c>
      <c r="E77" s="235">
        <v>3506</v>
      </c>
      <c r="F77" s="233" t="s">
        <v>314</v>
      </c>
      <c r="G77" s="233" t="s">
        <v>433</v>
      </c>
      <c r="H77" s="233" t="s">
        <v>434</v>
      </c>
      <c r="I77" s="236">
        <v>275</v>
      </c>
      <c r="J77" s="236">
        <v>275</v>
      </c>
      <c r="K77" s="236">
        <v>39</v>
      </c>
      <c r="L77" s="236">
        <v>14.18</v>
      </c>
      <c r="M77" s="237">
        <v>59085</v>
      </c>
      <c r="N77" s="236">
        <v>0</v>
      </c>
      <c r="O77" s="236">
        <v>0</v>
      </c>
      <c r="P77" s="236">
        <v>0</v>
      </c>
      <c r="Q77" s="237">
        <v>0</v>
      </c>
      <c r="R77" s="238">
        <v>39</v>
      </c>
      <c r="S77" s="239">
        <v>59085</v>
      </c>
    </row>
    <row r="78" spans="1:19">
      <c r="A78" s="235">
        <v>101335</v>
      </c>
      <c r="B78" s="235">
        <v>3023507</v>
      </c>
      <c r="C78" s="235">
        <v>302</v>
      </c>
      <c r="D78" s="233" t="s">
        <v>340</v>
      </c>
      <c r="E78" s="235">
        <v>3507</v>
      </c>
      <c r="F78" s="233" t="s">
        <v>338</v>
      </c>
      <c r="G78" s="233" t="s">
        <v>433</v>
      </c>
      <c r="H78" s="233" t="s">
        <v>435</v>
      </c>
      <c r="I78" s="236">
        <v>159</v>
      </c>
      <c r="J78" s="236">
        <v>159</v>
      </c>
      <c r="K78" s="236">
        <v>38</v>
      </c>
      <c r="L78" s="236">
        <v>23.9</v>
      </c>
      <c r="M78" s="237">
        <v>57570</v>
      </c>
      <c r="N78" s="236">
        <v>0</v>
      </c>
      <c r="O78" s="236">
        <v>0</v>
      </c>
      <c r="P78" s="236">
        <v>0</v>
      </c>
      <c r="Q78" s="237">
        <v>0</v>
      </c>
      <c r="R78" s="238">
        <v>38</v>
      </c>
      <c r="S78" s="239">
        <v>57570</v>
      </c>
    </row>
    <row r="79" spans="1:19">
      <c r="A79" s="235">
        <v>101337</v>
      </c>
      <c r="B79" s="235">
        <v>3023509</v>
      </c>
      <c r="C79" s="235">
        <v>302</v>
      </c>
      <c r="D79" s="233" t="s">
        <v>340</v>
      </c>
      <c r="E79" s="235">
        <v>3509</v>
      </c>
      <c r="F79" s="233" t="s">
        <v>326</v>
      </c>
      <c r="G79" s="233" t="s">
        <v>433</v>
      </c>
      <c r="H79" s="233" t="s">
        <v>434</v>
      </c>
      <c r="I79" s="236">
        <v>444</v>
      </c>
      <c r="J79" s="236">
        <v>444</v>
      </c>
      <c r="K79" s="236">
        <v>110</v>
      </c>
      <c r="L79" s="236">
        <v>24.77</v>
      </c>
      <c r="M79" s="237">
        <v>166650</v>
      </c>
      <c r="N79" s="236">
        <v>0</v>
      </c>
      <c r="O79" s="236">
        <v>0</v>
      </c>
      <c r="P79" s="236">
        <v>0</v>
      </c>
      <c r="Q79" s="237">
        <v>0</v>
      </c>
      <c r="R79" s="238">
        <v>110</v>
      </c>
      <c r="S79" s="239">
        <v>166650</v>
      </c>
    </row>
    <row r="80" spans="1:19">
      <c r="A80" s="235">
        <v>101338</v>
      </c>
      <c r="B80" s="235">
        <v>3023510</v>
      </c>
      <c r="C80" s="235">
        <v>302</v>
      </c>
      <c r="D80" s="233" t="s">
        <v>340</v>
      </c>
      <c r="E80" s="235">
        <v>3510</v>
      </c>
      <c r="F80" s="233" t="s">
        <v>256</v>
      </c>
      <c r="G80" s="233" t="s">
        <v>433</v>
      </c>
      <c r="H80" s="233" t="s">
        <v>436</v>
      </c>
      <c r="I80" s="236">
        <v>400</v>
      </c>
      <c r="J80" s="236">
        <v>400</v>
      </c>
      <c r="K80" s="236">
        <v>57</v>
      </c>
      <c r="L80" s="236">
        <v>14.25</v>
      </c>
      <c r="M80" s="237">
        <v>86355</v>
      </c>
      <c r="N80" s="236">
        <v>0</v>
      </c>
      <c r="O80" s="236">
        <v>0</v>
      </c>
      <c r="P80" s="236">
        <v>0</v>
      </c>
      <c r="Q80" s="237">
        <v>0</v>
      </c>
      <c r="R80" s="238">
        <v>57</v>
      </c>
      <c r="S80" s="239">
        <v>86355</v>
      </c>
    </row>
    <row r="81" spans="1:19">
      <c r="A81" s="235">
        <v>101339</v>
      </c>
      <c r="B81" s="235">
        <v>3023511</v>
      </c>
      <c r="C81" s="235">
        <v>302</v>
      </c>
      <c r="D81" s="233" t="s">
        <v>340</v>
      </c>
      <c r="E81" s="235">
        <v>3511</v>
      </c>
      <c r="F81" s="233" t="s">
        <v>347</v>
      </c>
      <c r="G81" s="233" t="s">
        <v>433</v>
      </c>
      <c r="H81" s="233" t="s">
        <v>434</v>
      </c>
      <c r="I81" s="236">
        <v>418</v>
      </c>
      <c r="J81" s="236">
        <v>418</v>
      </c>
      <c r="K81" s="236">
        <v>83</v>
      </c>
      <c r="L81" s="236">
        <v>19.86</v>
      </c>
      <c r="M81" s="237">
        <v>125745</v>
      </c>
      <c r="N81" s="236">
        <v>0</v>
      </c>
      <c r="O81" s="236">
        <v>0</v>
      </c>
      <c r="P81" s="236">
        <v>0</v>
      </c>
      <c r="Q81" s="237">
        <v>0</v>
      </c>
      <c r="R81" s="238">
        <v>83</v>
      </c>
      <c r="S81" s="239">
        <v>125745</v>
      </c>
    </row>
    <row r="82" spans="1:19">
      <c r="A82" s="235">
        <v>101340</v>
      </c>
      <c r="B82" s="235">
        <v>3023512</v>
      </c>
      <c r="C82" s="235">
        <v>302</v>
      </c>
      <c r="D82" s="233" t="s">
        <v>340</v>
      </c>
      <c r="E82" s="235">
        <v>3512</v>
      </c>
      <c r="F82" s="233" t="s">
        <v>255</v>
      </c>
      <c r="G82" s="233" t="s">
        <v>433</v>
      </c>
      <c r="H82" s="233" t="s">
        <v>436</v>
      </c>
      <c r="I82" s="236">
        <v>349</v>
      </c>
      <c r="J82" s="236">
        <v>349</v>
      </c>
      <c r="K82" s="236">
        <v>5</v>
      </c>
      <c r="L82" s="236">
        <v>1.43</v>
      </c>
      <c r="M82" s="237">
        <v>7575</v>
      </c>
      <c r="N82" s="236">
        <v>0</v>
      </c>
      <c r="O82" s="236">
        <v>0</v>
      </c>
      <c r="P82" s="236">
        <v>0</v>
      </c>
      <c r="Q82" s="237">
        <v>0</v>
      </c>
      <c r="R82" s="238">
        <v>5</v>
      </c>
      <c r="S82" s="239">
        <v>7575</v>
      </c>
    </row>
    <row r="83" spans="1:19">
      <c r="A83" s="235">
        <v>101341</v>
      </c>
      <c r="B83" s="235">
        <v>3023513</v>
      </c>
      <c r="C83" s="235">
        <v>302</v>
      </c>
      <c r="D83" s="233" t="s">
        <v>340</v>
      </c>
      <c r="E83" s="235">
        <v>3513</v>
      </c>
      <c r="F83" s="233" t="s">
        <v>455</v>
      </c>
      <c r="G83" s="233" t="s">
        <v>433</v>
      </c>
      <c r="H83" s="233" t="s">
        <v>435</v>
      </c>
      <c r="I83" s="236">
        <v>190</v>
      </c>
      <c r="J83" s="236">
        <v>190</v>
      </c>
      <c r="K83" s="236">
        <v>3</v>
      </c>
      <c r="L83" s="236">
        <v>1.58</v>
      </c>
      <c r="M83" s="237">
        <v>4545</v>
      </c>
      <c r="N83" s="236">
        <v>0</v>
      </c>
      <c r="O83" s="236">
        <v>0</v>
      </c>
      <c r="P83" s="236">
        <v>0</v>
      </c>
      <c r="Q83" s="237">
        <v>0</v>
      </c>
      <c r="R83" s="238">
        <v>3</v>
      </c>
      <c r="S83" s="239">
        <v>4545</v>
      </c>
    </row>
    <row r="84" spans="1:19">
      <c r="A84" s="235">
        <v>101342</v>
      </c>
      <c r="B84" s="235">
        <v>3023514</v>
      </c>
      <c r="C84" s="235">
        <v>302</v>
      </c>
      <c r="D84" s="233" t="s">
        <v>340</v>
      </c>
      <c r="E84" s="235">
        <v>3514</v>
      </c>
      <c r="F84" s="233" t="s">
        <v>261</v>
      </c>
      <c r="G84" s="233" t="s">
        <v>433</v>
      </c>
      <c r="H84" s="233" t="s">
        <v>434</v>
      </c>
      <c r="I84" s="236">
        <v>173</v>
      </c>
      <c r="J84" s="236">
        <v>173</v>
      </c>
      <c r="K84" s="236">
        <v>44</v>
      </c>
      <c r="L84" s="236">
        <v>25.43</v>
      </c>
      <c r="M84" s="237">
        <v>66660</v>
      </c>
      <c r="N84" s="236">
        <v>0</v>
      </c>
      <c r="O84" s="236">
        <v>0</v>
      </c>
      <c r="P84" s="236">
        <v>0</v>
      </c>
      <c r="Q84" s="237">
        <v>0</v>
      </c>
      <c r="R84" s="238">
        <v>44</v>
      </c>
      <c r="S84" s="239">
        <v>66660</v>
      </c>
    </row>
    <row r="85" spans="1:19" hidden="1">
      <c r="A85" s="235">
        <v>137303</v>
      </c>
      <c r="B85" s="235">
        <v>3023515</v>
      </c>
      <c r="C85" s="235">
        <v>302</v>
      </c>
      <c r="D85" s="233" t="s">
        <v>340</v>
      </c>
      <c r="E85" s="235">
        <v>3515</v>
      </c>
      <c r="F85" s="233" t="s">
        <v>315</v>
      </c>
      <c r="G85" s="233" t="s">
        <v>330</v>
      </c>
      <c r="H85" s="233" t="s">
        <v>434</v>
      </c>
      <c r="I85" s="236">
        <v>202</v>
      </c>
      <c r="J85" s="236">
        <v>202</v>
      </c>
      <c r="K85" s="236">
        <v>1</v>
      </c>
      <c r="L85" s="236">
        <v>0.5</v>
      </c>
      <c r="M85" s="237">
        <v>1515</v>
      </c>
      <c r="N85" s="236">
        <v>0</v>
      </c>
      <c r="O85" s="236">
        <v>0</v>
      </c>
      <c r="P85" s="236">
        <v>0</v>
      </c>
      <c r="Q85" s="237">
        <v>0</v>
      </c>
      <c r="R85" s="238">
        <v>1</v>
      </c>
      <c r="S85" s="239">
        <v>1515</v>
      </c>
    </row>
    <row r="86" spans="1:19">
      <c r="A86" s="235">
        <v>130998</v>
      </c>
      <c r="B86" s="235">
        <v>3023516</v>
      </c>
      <c r="C86" s="235">
        <v>302</v>
      </c>
      <c r="D86" s="233" t="s">
        <v>340</v>
      </c>
      <c r="E86" s="235">
        <v>3516</v>
      </c>
      <c r="F86" s="233" t="s">
        <v>61</v>
      </c>
      <c r="G86" s="233" t="s">
        <v>433</v>
      </c>
      <c r="H86" s="233" t="s">
        <v>434</v>
      </c>
      <c r="I86" s="236">
        <v>182</v>
      </c>
      <c r="J86" s="236">
        <v>182</v>
      </c>
      <c r="K86" s="236">
        <v>37</v>
      </c>
      <c r="L86" s="236">
        <v>20.329999999999998</v>
      </c>
      <c r="M86" s="237">
        <v>56055</v>
      </c>
      <c r="N86" s="236">
        <v>0</v>
      </c>
      <c r="O86" s="236">
        <v>0</v>
      </c>
      <c r="P86" s="236">
        <v>0</v>
      </c>
      <c r="Q86" s="237">
        <v>0</v>
      </c>
      <c r="R86" s="238">
        <v>37</v>
      </c>
      <c r="S86" s="239">
        <v>56055</v>
      </c>
    </row>
    <row r="87" spans="1:19">
      <c r="A87" s="235">
        <v>134677</v>
      </c>
      <c r="B87" s="235">
        <v>3023518</v>
      </c>
      <c r="C87" s="235">
        <v>302</v>
      </c>
      <c r="D87" s="233" t="s">
        <v>340</v>
      </c>
      <c r="E87" s="235">
        <v>3518</v>
      </c>
      <c r="F87" s="233" t="s">
        <v>100</v>
      </c>
      <c r="G87" s="233" t="s">
        <v>433</v>
      </c>
      <c r="H87" s="233" t="s">
        <v>434</v>
      </c>
      <c r="I87" s="236">
        <v>380</v>
      </c>
      <c r="J87" s="236">
        <v>380</v>
      </c>
      <c r="K87" s="236">
        <v>131</v>
      </c>
      <c r="L87" s="236">
        <v>34.47</v>
      </c>
      <c r="M87" s="237">
        <v>198465</v>
      </c>
      <c r="N87" s="236">
        <v>0</v>
      </c>
      <c r="O87" s="236">
        <v>0</v>
      </c>
      <c r="P87" s="236">
        <v>0</v>
      </c>
      <c r="Q87" s="237">
        <v>0</v>
      </c>
      <c r="R87" s="238">
        <v>131</v>
      </c>
      <c r="S87" s="239">
        <v>198465</v>
      </c>
    </row>
    <row r="88" spans="1:19" hidden="1">
      <c r="A88" s="235">
        <v>140236</v>
      </c>
      <c r="B88" s="235">
        <v>3023519</v>
      </c>
      <c r="C88" s="235">
        <v>302</v>
      </c>
      <c r="D88" s="233" t="s">
        <v>340</v>
      </c>
      <c r="E88" s="235">
        <v>3519</v>
      </c>
      <c r="F88" s="233" t="s">
        <v>40</v>
      </c>
      <c r="G88" s="233" t="s">
        <v>330</v>
      </c>
      <c r="H88" s="233" t="s">
        <v>436</v>
      </c>
      <c r="I88" s="236">
        <v>629</v>
      </c>
      <c r="J88" s="236">
        <v>629</v>
      </c>
      <c r="K88" s="236">
        <v>254</v>
      </c>
      <c r="L88" s="236">
        <v>40.380000000000003</v>
      </c>
      <c r="M88" s="237">
        <v>384810</v>
      </c>
      <c r="N88" s="236">
        <v>0</v>
      </c>
      <c r="O88" s="236">
        <v>0</v>
      </c>
      <c r="P88" s="236">
        <v>0</v>
      </c>
      <c r="Q88" s="237">
        <v>0</v>
      </c>
      <c r="R88" s="238">
        <v>254</v>
      </c>
      <c r="S88" s="239">
        <v>384810</v>
      </c>
    </row>
    <row r="89" spans="1:19">
      <c r="A89" s="235">
        <v>135086</v>
      </c>
      <c r="B89" s="235">
        <v>3023520</v>
      </c>
      <c r="C89" s="235">
        <v>302</v>
      </c>
      <c r="D89" s="233" t="s">
        <v>340</v>
      </c>
      <c r="E89" s="235">
        <v>3520</v>
      </c>
      <c r="F89" s="233" t="s">
        <v>229</v>
      </c>
      <c r="G89" s="233" t="s">
        <v>433</v>
      </c>
      <c r="H89" s="233" t="s">
        <v>435</v>
      </c>
      <c r="I89" s="236">
        <v>419</v>
      </c>
      <c r="J89" s="236">
        <v>419</v>
      </c>
      <c r="K89" s="236">
        <v>2</v>
      </c>
      <c r="L89" s="236">
        <v>0.48</v>
      </c>
      <c r="M89" s="237">
        <v>3030</v>
      </c>
      <c r="N89" s="236">
        <v>0</v>
      </c>
      <c r="O89" s="236">
        <v>0</v>
      </c>
      <c r="P89" s="236">
        <v>0</v>
      </c>
      <c r="Q89" s="237">
        <v>0</v>
      </c>
      <c r="R89" s="238">
        <v>2</v>
      </c>
      <c r="S89" s="239">
        <v>3030</v>
      </c>
    </row>
    <row r="90" spans="1:19" hidden="1">
      <c r="A90" s="235">
        <v>151504</v>
      </c>
      <c r="B90" s="235">
        <v>3023521</v>
      </c>
      <c r="C90" s="235">
        <v>302</v>
      </c>
      <c r="D90" s="233" t="s">
        <v>340</v>
      </c>
      <c r="E90" s="235">
        <v>3521</v>
      </c>
      <c r="F90" s="233" t="s">
        <v>348</v>
      </c>
      <c r="G90" s="233" t="s">
        <v>330</v>
      </c>
      <c r="H90" s="233" t="s">
        <v>434</v>
      </c>
      <c r="I90" s="236">
        <v>1503</v>
      </c>
      <c r="J90" s="236">
        <v>610</v>
      </c>
      <c r="K90" s="236">
        <v>115</v>
      </c>
      <c r="L90" s="236">
        <v>18.850000000000001</v>
      </c>
      <c r="M90" s="237">
        <v>174225</v>
      </c>
      <c r="N90" s="236">
        <v>893</v>
      </c>
      <c r="O90" s="236">
        <v>279</v>
      </c>
      <c r="P90" s="236">
        <v>31.24</v>
      </c>
      <c r="Q90" s="237">
        <v>299925</v>
      </c>
      <c r="R90" s="238">
        <v>394</v>
      </c>
      <c r="S90" s="239">
        <v>474150</v>
      </c>
    </row>
    <row r="91" spans="1:19" hidden="1">
      <c r="A91" s="235">
        <v>142636</v>
      </c>
      <c r="B91" s="235">
        <v>3023522</v>
      </c>
      <c r="C91" s="235">
        <v>302</v>
      </c>
      <c r="D91" s="233" t="s">
        <v>340</v>
      </c>
      <c r="E91" s="235">
        <v>3522</v>
      </c>
      <c r="F91" s="233" t="s">
        <v>236</v>
      </c>
      <c r="G91" s="233" t="s">
        <v>330</v>
      </c>
      <c r="H91" s="233" t="s">
        <v>435</v>
      </c>
      <c r="I91" s="236">
        <v>279</v>
      </c>
      <c r="J91" s="236">
        <v>279</v>
      </c>
      <c r="K91" s="236">
        <v>121</v>
      </c>
      <c r="L91" s="236">
        <v>43.37</v>
      </c>
      <c r="M91" s="237">
        <v>183315</v>
      </c>
      <c r="N91" s="236">
        <v>0</v>
      </c>
      <c r="O91" s="236">
        <v>0</v>
      </c>
      <c r="P91" s="236">
        <v>0</v>
      </c>
      <c r="Q91" s="237">
        <v>0</v>
      </c>
      <c r="R91" s="238">
        <v>121</v>
      </c>
      <c r="S91" s="239">
        <v>183315</v>
      </c>
    </row>
    <row r="92" spans="1:19">
      <c r="A92" s="235">
        <v>135226</v>
      </c>
      <c r="B92" s="235">
        <v>3023523</v>
      </c>
      <c r="C92" s="235">
        <v>302</v>
      </c>
      <c r="D92" s="233" t="s">
        <v>340</v>
      </c>
      <c r="E92" s="235">
        <v>3523</v>
      </c>
      <c r="F92" s="233" t="s">
        <v>247</v>
      </c>
      <c r="G92" s="233" t="s">
        <v>433</v>
      </c>
      <c r="H92" s="233" t="s">
        <v>435</v>
      </c>
      <c r="I92" s="236">
        <v>607</v>
      </c>
      <c r="J92" s="236">
        <v>607</v>
      </c>
      <c r="K92" s="236">
        <v>191</v>
      </c>
      <c r="L92" s="236">
        <v>31.47</v>
      </c>
      <c r="M92" s="237">
        <v>289365</v>
      </c>
      <c r="N92" s="236">
        <v>0</v>
      </c>
      <c r="O92" s="236">
        <v>0</v>
      </c>
      <c r="P92" s="236">
        <v>0</v>
      </c>
      <c r="Q92" s="237">
        <v>0</v>
      </c>
      <c r="R92" s="238">
        <v>191</v>
      </c>
      <c r="S92" s="239">
        <v>289365</v>
      </c>
    </row>
    <row r="93" spans="1:19">
      <c r="A93" s="235">
        <v>136402</v>
      </c>
      <c r="B93" s="235">
        <v>3023524</v>
      </c>
      <c r="C93" s="235">
        <v>302</v>
      </c>
      <c r="D93" s="233" t="s">
        <v>340</v>
      </c>
      <c r="E93" s="235">
        <v>3524</v>
      </c>
      <c r="F93" s="233" t="s">
        <v>316</v>
      </c>
      <c r="G93" s="233" t="s">
        <v>433</v>
      </c>
      <c r="H93" s="233" t="s">
        <v>434</v>
      </c>
      <c r="I93" s="236">
        <v>204</v>
      </c>
      <c r="J93" s="236">
        <v>204</v>
      </c>
      <c r="K93" s="236">
        <v>10</v>
      </c>
      <c r="L93" s="236">
        <v>4.9000000000000004</v>
      </c>
      <c r="M93" s="237">
        <v>15150</v>
      </c>
      <c r="N93" s="236">
        <v>0</v>
      </c>
      <c r="O93" s="236">
        <v>0</v>
      </c>
      <c r="P93" s="236">
        <v>0</v>
      </c>
      <c r="Q93" s="237">
        <v>0</v>
      </c>
      <c r="R93" s="238">
        <v>10</v>
      </c>
      <c r="S93" s="239">
        <v>15150</v>
      </c>
    </row>
    <row r="94" spans="1:19" hidden="1">
      <c r="A94" s="235">
        <v>139410</v>
      </c>
      <c r="B94" s="235">
        <v>3024000</v>
      </c>
      <c r="C94" s="235">
        <v>302</v>
      </c>
      <c r="D94" s="233" t="s">
        <v>340</v>
      </c>
      <c r="E94" s="235">
        <v>4000</v>
      </c>
      <c r="F94" s="233" t="s">
        <v>317</v>
      </c>
      <c r="G94" s="233" t="s">
        <v>330</v>
      </c>
      <c r="H94" s="233" t="s">
        <v>436</v>
      </c>
      <c r="I94" s="236">
        <v>481</v>
      </c>
      <c r="J94" s="236">
        <v>0</v>
      </c>
      <c r="K94" s="236">
        <v>0</v>
      </c>
      <c r="L94" s="236">
        <v>0</v>
      </c>
      <c r="M94" s="237">
        <v>0</v>
      </c>
      <c r="N94" s="236">
        <v>481</v>
      </c>
      <c r="O94" s="236">
        <v>140</v>
      </c>
      <c r="P94" s="236">
        <v>29.11</v>
      </c>
      <c r="Q94" s="237">
        <v>150500</v>
      </c>
      <c r="R94" s="238">
        <v>140</v>
      </c>
      <c r="S94" s="239">
        <v>150500</v>
      </c>
    </row>
    <row r="95" spans="1:19" hidden="1">
      <c r="A95" s="235">
        <v>139594</v>
      </c>
      <c r="B95" s="235">
        <v>3024001</v>
      </c>
      <c r="C95" s="235">
        <v>302</v>
      </c>
      <c r="D95" s="233" t="s">
        <v>340</v>
      </c>
      <c r="E95" s="235">
        <v>4001</v>
      </c>
      <c r="F95" s="233" t="s">
        <v>318</v>
      </c>
      <c r="G95" s="233" t="s">
        <v>330</v>
      </c>
      <c r="H95" s="233" t="s">
        <v>435</v>
      </c>
      <c r="I95" s="236">
        <v>816</v>
      </c>
      <c r="J95" s="236">
        <v>0</v>
      </c>
      <c r="K95" s="236">
        <v>0</v>
      </c>
      <c r="L95" s="236">
        <v>0</v>
      </c>
      <c r="M95" s="237">
        <v>0</v>
      </c>
      <c r="N95" s="236">
        <v>816</v>
      </c>
      <c r="O95" s="236">
        <v>137</v>
      </c>
      <c r="P95" s="236">
        <v>16.79</v>
      </c>
      <c r="Q95" s="237">
        <v>147275</v>
      </c>
      <c r="R95" s="238">
        <v>137</v>
      </c>
      <c r="S95" s="239">
        <v>147275</v>
      </c>
    </row>
    <row r="96" spans="1:19">
      <c r="A96" s="235">
        <v>101345</v>
      </c>
      <c r="B96" s="235">
        <v>3024003</v>
      </c>
      <c r="C96" s="235">
        <v>302</v>
      </c>
      <c r="D96" s="233" t="s">
        <v>340</v>
      </c>
      <c r="E96" s="235">
        <v>4003</v>
      </c>
      <c r="F96" s="233" t="s">
        <v>103</v>
      </c>
      <c r="G96" s="233" t="s">
        <v>433</v>
      </c>
      <c r="H96" s="233" t="s">
        <v>479</v>
      </c>
      <c r="I96" s="236">
        <v>649</v>
      </c>
      <c r="J96" s="236">
        <v>0</v>
      </c>
      <c r="K96" s="236">
        <v>0</v>
      </c>
      <c r="L96" s="236">
        <v>0</v>
      </c>
      <c r="M96" s="237">
        <v>0</v>
      </c>
      <c r="N96" s="236">
        <v>649</v>
      </c>
      <c r="O96" s="236">
        <v>259</v>
      </c>
      <c r="P96" s="236">
        <v>39.909999999999997</v>
      </c>
      <c r="Q96" s="237">
        <v>278425</v>
      </c>
      <c r="R96" s="238">
        <v>259</v>
      </c>
      <c r="S96" s="239">
        <v>278425</v>
      </c>
    </row>
    <row r="97" spans="1:19">
      <c r="A97" s="235">
        <v>142627</v>
      </c>
      <c r="B97" s="235">
        <v>3024004</v>
      </c>
      <c r="C97" s="235">
        <v>302</v>
      </c>
      <c r="D97" s="233" t="s">
        <v>340</v>
      </c>
      <c r="E97" s="235">
        <v>4004</v>
      </c>
      <c r="F97" s="233" t="s">
        <v>341</v>
      </c>
      <c r="G97" s="233" t="s">
        <v>433</v>
      </c>
      <c r="H97" s="233" t="s">
        <v>481</v>
      </c>
      <c r="I97" s="236">
        <v>304</v>
      </c>
      <c r="J97" s="236">
        <v>0</v>
      </c>
      <c r="K97" s="236">
        <v>0</v>
      </c>
      <c r="L97" s="236">
        <v>0</v>
      </c>
      <c r="M97" s="237">
        <v>0</v>
      </c>
      <c r="N97" s="236">
        <v>304</v>
      </c>
      <c r="O97" s="236">
        <v>12</v>
      </c>
      <c r="P97" s="236">
        <v>3.95</v>
      </c>
      <c r="Q97" s="237">
        <v>12900</v>
      </c>
      <c r="R97" s="238">
        <v>12</v>
      </c>
      <c r="S97" s="239">
        <v>12900</v>
      </c>
    </row>
    <row r="98" spans="1:19" hidden="1">
      <c r="A98" s="235">
        <v>144502</v>
      </c>
      <c r="B98" s="235">
        <v>3024010</v>
      </c>
      <c r="C98" s="235">
        <v>302</v>
      </c>
      <c r="D98" s="233" t="s">
        <v>340</v>
      </c>
      <c r="E98" s="235">
        <v>4010</v>
      </c>
      <c r="F98" s="233" t="s">
        <v>284</v>
      </c>
      <c r="G98" s="233" t="s">
        <v>330</v>
      </c>
      <c r="H98" s="233" t="s">
        <v>436</v>
      </c>
      <c r="I98" s="236">
        <v>894</v>
      </c>
      <c r="J98" s="236">
        <v>0</v>
      </c>
      <c r="K98" s="236">
        <v>0</v>
      </c>
      <c r="L98" s="236">
        <v>0</v>
      </c>
      <c r="M98" s="237">
        <v>0</v>
      </c>
      <c r="N98" s="236">
        <v>894</v>
      </c>
      <c r="O98" s="236">
        <v>281</v>
      </c>
      <c r="P98" s="236">
        <v>31.43</v>
      </c>
      <c r="Q98" s="237">
        <v>302075</v>
      </c>
      <c r="R98" s="238">
        <v>281</v>
      </c>
      <c r="S98" s="239">
        <v>302075</v>
      </c>
    </row>
    <row r="99" spans="1:19" hidden="1">
      <c r="A99" s="235">
        <v>145921</v>
      </c>
      <c r="B99" s="235">
        <v>3024011</v>
      </c>
      <c r="C99" s="235">
        <v>302</v>
      </c>
      <c r="D99" s="233" t="s">
        <v>340</v>
      </c>
      <c r="E99" s="235">
        <v>4011</v>
      </c>
      <c r="F99" s="233" t="s">
        <v>357</v>
      </c>
      <c r="G99" s="233" t="s">
        <v>330</v>
      </c>
      <c r="H99" s="233" t="s">
        <v>434</v>
      </c>
      <c r="I99" s="236">
        <v>909</v>
      </c>
      <c r="J99" s="236">
        <v>0</v>
      </c>
      <c r="K99" s="236">
        <v>0</v>
      </c>
      <c r="L99" s="236">
        <v>0</v>
      </c>
      <c r="M99" s="237">
        <v>0</v>
      </c>
      <c r="N99" s="236">
        <v>909</v>
      </c>
      <c r="O99" s="236">
        <v>523</v>
      </c>
      <c r="P99" s="236">
        <v>57.54</v>
      </c>
      <c r="Q99" s="237">
        <v>562225</v>
      </c>
      <c r="R99" s="238">
        <v>523</v>
      </c>
      <c r="S99" s="239">
        <v>562225</v>
      </c>
    </row>
    <row r="100" spans="1:19" hidden="1">
      <c r="A100" s="235">
        <v>137361</v>
      </c>
      <c r="B100" s="235">
        <v>3024012</v>
      </c>
      <c r="C100" s="235">
        <v>302</v>
      </c>
      <c r="D100" s="233" t="s">
        <v>340</v>
      </c>
      <c r="E100" s="235">
        <v>4012</v>
      </c>
      <c r="F100" s="233" t="s">
        <v>109</v>
      </c>
      <c r="G100" s="233" t="s">
        <v>330</v>
      </c>
      <c r="H100" s="233" t="s">
        <v>435</v>
      </c>
      <c r="I100" s="236">
        <v>590.5</v>
      </c>
      <c r="J100" s="236">
        <v>0</v>
      </c>
      <c r="K100" s="236">
        <v>0</v>
      </c>
      <c r="L100" s="236">
        <v>0</v>
      </c>
      <c r="M100" s="237">
        <v>0</v>
      </c>
      <c r="N100" s="236">
        <v>590.5</v>
      </c>
      <c r="O100" s="236">
        <v>291.5</v>
      </c>
      <c r="P100" s="236">
        <v>49.36</v>
      </c>
      <c r="Q100" s="237">
        <v>313362.5</v>
      </c>
      <c r="R100" s="238">
        <v>291.5</v>
      </c>
      <c r="S100" s="239">
        <v>313362.5</v>
      </c>
    </row>
    <row r="101" spans="1:19" hidden="1">
      <c r="A101" s="235">
        <v>147061</v>
      </c>
      <c r="B101" s="235">
        <v>3024013</v>
      </c>
      <c r="C101" s="235">
        <v>302</v>
      </c>
      <c r="D101" s="233" t="s">
        <v>340</v>
      </c>
      <c r="E101" s="235">
        <v>4013</v>
      </c>
      <c r="F101" s="233" t="s">
        <v>385</v>
      </c>
      <c r="G101" s="233" t="s">
        <v>330</v>
      </c>
      <c r="H101" s="233" t="s">
        <v>436</v>
      </c>
      <c r="I101" s="236">
        <v>893</v>
      </c>
      <c r="J101" s="236">
        <v>0</v>
      </c>
      <c r="K101" s="236">
        <v>0</v>
      </c>
      <c r="L101" s="236">
        <v>0</v>
      </c>
      <c r="M101" s="237">
        <v>0</v>
      </c>
      <c r="N101" s="236">
        <v>893</v>
      </c>
      <c r="O101" s="236">
        <v>347</v>
      </c>
      <c r="P101" s="236">
        <v>38.86</v>
      </c>
      <c r="Q101" s="237">
        <v>373025</v>
      </c>
      <c r="R101" s="238">
        <v>347</v>
      </c>
      <c r="S101" s="239">
        <v>373025</v>
      </c>
    </row>
    <row r="102" spans="1:19" hidden="1">
      <c r="A102" s="235">
        <v>147238</v>
      </c>
      <c r="B102" s="235">
        <v>3024014</v>
      </c>
      <c r="C102" s="235">
        <v>302</v>
      </c>
      <c r="D102" s="233" t="s">
        <v>340</v>
      </c>
      <c r="E102" s="235">
        <v>4014</v>
      </c>
      <c r="F102" s="233" t="s">
        <v>362</v>
      </c>
      <c r="G102" s="233" t="s">
        <v>330</v>
      </c>
      <c r="H102" s="233" t="s">
        <v>434</v>
      </c>
      <c r="I102" s="236">
        <v>426.5</v>
      </c>
      <c r="J102" s="236">
        <v>0</v>
      </c>
      <c r="K102" s="236">
        <v>0</v>
      </c>
      <c r="L102" s="236">
        <v>0</v>
      </c>
      <c r="M102" s="237">
        <v>0</v>
      </c>
      <c r="N102" s="236">
        <v>426.5</v>
      </c>
      <c r="O102" s="236">
        <v>37</v>
      </c>
      <c r="P102" s="236">
        <v>8.68</v>
      </c>
      <c r="Q102" s="237">
        <v>39775</v>
      </c>
      <c r="R102" s="238">
        <v>37</v>
      </c>
      <c r="S102" s="239">
        <v>39775</v>
      </c>
    </row>
    <row r="103" spans="1:19" hidden="1">
      <c r="A103" s="235">
        <v>137131</v>
      </c>
      <c r="B103" s="235">
        <v>3024208</v>
      </c>
      <c r="C103" s="235">
        <v>302</v>
      </c>
      <c r="D103" s="233" t="s">
        <v>340</v>
      </c>
      <c r="E103" s="235">
        <v>4208</v>
      </c>
      <c r="F103" s="233" t="s">
        <v>105</v>
      </c>
      <c r="G103" s="233" t="s">
        <v>330</v>
      </c>
      <c r="H103" s="233" t="s">
        <v>436</v>
      </c>
      <c r="I103" s="236">
        <v>975</v>
      </c>
      <c r="J103" s="236">
        <v>0</v>
      </c>
      <c r="K103" s="236">
        <v>0</v>
      </c>
      <c r="L103" s="236">
        <v>0</v>
      </c>
      <c r="M103" s="237">
        <v>0</v>
      </c>
      <c r="N103" s="236">
        <v>975</v>
      </c>
      <c r="O103" s="236">
        <v>226</v>
      </c>
      <c r="P103" s="236">
        <v>23.18</v>
      </c>
      <c r="Q103" s="237">
        <v>242950</v>
      </c>
      <c r="R103" s="238">
        <v>226</v>
      </c>
      <c r="S103" s="239">
        <v>242950</v>
      </c>
    </row>
    <row r="104" spans="1:19" hidden="1">
      <c r="A104" s="235">
        <v>138685</v>
      </c>
      <c r="B104" s="235">
        <v>3024210</v>
      </c>
      <c r="C104" s="235">
        <v>302</v>
      </c>
      <c r="D104" s="233" t="s">
        <v>340</v>
      </c>
      <c r="E104" s="235">
        <v>4210</v>
      </c>
      <c r="F104" s="233" t="s">
        <v>49</v>
      </c>
      <c r="G104" s="233" t="s">
        <v>330</v>
      </c>
      <c r="H104" s="233" t="s">
        <v>434</v>
      </c>
      <c r="I104" s="236">
        <v>727</v>
      </c>
      <c r="J104" s="236">
        <v>0</v>
      </c>
      <c r="K104" s="236">
        <v>0</v>
      </c>
      <c r="L104" s="236">
        <v>0</v>
      </c>
      <c r="M104" s="237">
        <v>0</v>
      </c>
      <c r="N104" s="236">
        <v>727</v>
      </c>
      <c r="O104" s="236">
        <v>322</v>
      </c>
      <c r="P104" s="236">
        <v>44.29</v>
      </c>
      <c r="Q104" s="237">
        <v>346150</v>
      </c>
      <c r="R104" s="238">
        <v>322</v>
      </c>
      <c r="S104" s="239">
        <v>346150</v>
      </c>
    </row>
    <row r="105" spans="1:19" hidden="1">
      <c r="A105" s="235">
        <v>137388</v>
      </c>
      <c r="B105" s="235">
        <v>3024211</v>
      </c>
      <c r="C105" s="235">
        <v>302</v>
      </c>
      <c r="D105" s="233" t="s">
        <v>340</v>
      </c>
      <c r="E105" s="235">
        <v>4211</v>
      </c>
      <c r="F105" s="233" t="s">
        <v>270</v>
      </c>
      <c r="G105" s="233" t="s">
        <v>330</v>
      </c>
      <c r="H105" s="233" t="s">
        <v>435</v>
      </c>
      <c r="I105" s="236">
        <v>854</v>
      </c>
      <c r="J105" s="236">
        <v>0</v>
      </c>
      <c r="K105" s="236">
        <v>0</v>
      </c>
      <c r="L105" s="236">
        <v>0</v>
      </c>
      <c r="M105" s="237">
        <v>0</v>
      </c>
      <c r="N105" s="236">
        <v>854</v>
      </c>
      <c r="O105" s="236">
        <v>287</v>
      </c>
      <c r="P105" s="236">
        <v>33.61</v>
      </c>
      <c r="Q105" s="237">
        <v>308525</v>
      </c>
      <c r="R105" s="238">
        <v>287</v>
      </c>
      <c r="S105" s="239">
        <v>308525</v>
      </c>
    </row>
    <row r="106" spans="1:19" hidden="1">
      <c r="A106" s="235">
        <v>136658</v>
      </c>
      <c r="B106" s="235">
        <v>3024212</v>
      </c>
      <c r="C106" s="235">
        <v>302</v>
      </c>
      <c r="D106" s="233" t="s">
        <v>340</v>
      </c>
      <c r="E106" s="235">
        <v>4212</v>
      </c>
      <c r="F106" s="233" t="s">
        <v>319</v>
      </c>
      <c r="G106" s="233" t="s">
        <v>330</v>
      </c>
      <c r="H106" s="233" t="s">
        <v>436</v>
      </c>
      <c r="I106" s="236">
        <v>1127</v>
      </c>
      <c r="J106" s="236">
        <v>0</v>
      </c>
      <c r="K106" s="236">
        <v>0</v>
      </c>
      <c r="L106" s="236">
        <v>0</v>
      </c>
      <c r="M106" s="237">
        <v>0</v>
      </c>
      <c r="N106" s="236">
        <v>1127</v>
      </c>
      <c r="O106" s="236">
        <v>249</v>
      </c>
      <c r="P106" s="236">
        <v>22.09</v>
      </c>
      <c r="Q106" s="237">
        <v>267675</v>
      </c>
      <c r="R106" s="238">
        <v>249</v>
      </c>
      <c r="S106" s="239">
        <v>267675</v>
      </c>
    </row>
    <row r="107" spans="1:19" hidden="1">
      <c r="A107" s="235">
        <v>136418</v>
      </c>
      <c r="B107" s="235">
        <v>3024215</v>
      </c>
      <c r="C107" s="235">
        <v>302</v>
      </c>
      <c r="D107" s="233" t="s">
        <v>340</v>
      </c>
      <c r="E107" s="235">
        <v>4215</v>
      </c>
      <c r="F107" s="233" t="s">
        <v>320</v>
      </c>
      <c r="G107" s="233" t="s">
        <v>330</v>
      </c>
      <c r="H107" s="233" t="s">
        <v>435</v>
      </c>
      <c r="I107" s="236">
        <v>1052</v>
      </c>
      <c r="J107" s="236">
        <v>0</v>
      </c>
      <c r="K107" s="236">
        <v>0</v>
      </c>
      <c r="L107" s="236">
        <v>0</v>
      </c>
      <c r="M107" s="237">
        <v>0</v>
      </c>
      <c r="N107" s="236">
        <v>1052</v>
      </c>
      <c r="O107" s="236">
        <v>346</v>
      </c>
      <c r="P107" s="236">
        <v>32.89</v>
      </c>
      <c r="Q107" s="237">
        <v>371950</v>
      </c>
      <c r="R107" s="238">
        <v>346</v>
      </c>
      <c r="S107" s="239">
        <v>371950</v>
      </c>
    </row>
    <row r="108" spans="1:19" hidden="1">
      <c r="A108" s="235">
        <v>138051</v>
      </c>
      <c r="B108" s="235">
        <v>3024752</v>
      </c>
      <c r="C108" s="235">
        <v>302</v>
      </c>
      <c r="D108" s="233" t="s">
        <v>340</v>
      </c>
      <c r="E108" s="235">
        <v>4752</v>
      </c>
      <c r="F108" s="233" t="s">
        <v>272</v>
      </c>
      <c r="G108" s="233" t="s">
        <v>330</v>
      </c>
      <c r="H108" s="233" t="s">
        <v>435</v>
      </c>
      <c r="I108" s="236">
        <v>521</v>
      </c>
      <c r="J108" s="236">
        <v>0</v>
      </c>
      <c r="K108" s="236">
        <v>0</v>
      </c>
      <c r="L108" s="236">
        <v>0</v>
      </c>
      <c r="M108" s="237">
        <v>0</v>
      </c>
      <c r="N108" s="236">
        <v>521</v>
      </c>
      <c r="O108" s="236">
        <v>33</v>
      </c>
      <c r="P108" s="236">
        <v>6.33</v>
      </c>
      <c r="Q108" s="237">
        <v>35475</v>
      </c>
      <c r="R108" s="238">
        <v>33</v>
      </c>
      <c r="S108" s="239">
        <v>35475</v>
      </c>
    </row>
    <row r="109" spans="1:19" hidden="1">
      <c r="A109" s="235">
        <v>151014</v>
      </c>
      <c r="B109" s="235">
        <v>3025201</v>
      </c>
      <c r="C109" s="235">
        <v>302</v>
      </c>
      <c r="D109" s="233" t="s">
        <v>340</v>
      </c>
      <c r="E109" s="235">
        <v>5201</v>
      </c>
      <c r="F109" s="233" t="s">
        <v>252</v>
      </c>
      <c r="G109" s="233" t="s">
        <v>330</v>
      </c>
      <c r="H109" s="233" t="s">
        <v>436</v>
      </c>
      <c r="I109" s="236">
        <v>381</v>
      </c>
      <c r="J109" s="236">
        <v>381</v>
      </c>
      <c r="K109" s="236">
        <v>85</v>
      </c>
      <c r="L109" s="236">
        <v>22.31</v>
      </c>
      <c r="M109" s="237">
        <v>128775</v>
      </c>
      <c r="N109" s="236">
        <v>0</v>
      </c>
      <c r="O109" s="236">
        <v>0</v>
      </c>
      <c r="P109" s="236">
        <v>0</v>
      </c>
      <c r="Q109" s="237">
        <v>0</v>
      </c>
      <c r="R109" s="238">
        <v>85</v>
      </c>
      <c r="S109" s="239">
        <v>128775</v>
      </c>
    </row>
    <row r="110" spans="1:19" hidden="1">
      <c r="A110" s="235">
        <v>137645</v>
      </c>
      <c r="B110" s="235">
        <v>3025400</v>
      </c>
      <c r="C110" s="235">
        <v>302</v>
      </c>
      <c r="D110" s="233" t="s">
        <v>340</v>
      </c>
      <c r="E110" s="235">
        <v>5400</v>
      </c>
      <c r="F110" s="233" t="s">
        <v>104</v>
      </c>
      <c r="G110" s="233" t="s">
        <v>330</v>
      </c>
      <c r="H110" s="233" t="s">
        <v>434</v>
      </c>
      <c r="I110" s="236">
        <v>1012</v>
      </c>
      <c r="J110" s="236">
        <v>0</v>
      </c>
      <c r="K110" s="236">
        <v>0</v>
      </c>
      <c r="L110" s="236">
        <v>0</v>
      </c>
      <c r="M110" s="237">
        <v>0</v>
      </c>
      <c r="N110" s="236">
        <v>1012</v>
      </c>
      <c r="O110" s="236">
        <v>432</v>
      </c>
      <c r="P110" s="236">
        <v>42.69</v>
      </c>
      <c r="Q110" s="237">
        <v>464400</v>
      </c>
      <c r="R110" s="238">
        <v>432</v>
      </c>
      <c r="S110" s="239">
        <v>464400</v>
      </c>
    </row>
    <row r="111" spans="1:19" hidden="1">
      <c r="A111" s="235">
        <v>136290</v>
      </c>
      <c r="B111" s="235">
        <v>3025401</v>
      </c>
      <c r="C111" s="235">
        <v>302</v>
      </c>
      <c r="D111" s="233" t="s">
        <v>340</v>
      </c>
      <c r="E111" s="235">
        <v>5401</v>
      </c>
      <c r="F111" s="233" t="s">
        <v>106</v>
      </c>
      <c r="G111" s="233" t="s">
        <v>330</v>
      </c>
      <c r="H111" s="233" t="s">
        <v>436</v>
      </c>
      <c r="I111" s="236">
        <v>961</v>
      </c>
      <c r="J111" s="236">
        <v>0</v>
      </c>
      <c r="K111" s="236">
        <v>0</v>
      </c>
      <c r="L111" s="236">
        <v>0</v>
      </c>
      <c r="M111" s="237">
        <v>0</v>
      </c>
      <c r="N111" s="236">
        <v>961</v>
      </c>
      <c r="O111" s="236">
        <v>39</v>
      </c>
      <c r="P111" s="236">
        <v>4.0599999999999996</v>
      </c>
      <c r="Q111" s="237">
        <v>41925</v>
      </c>
      <c r="R111" s="238">
        <v>39</v>
      </c>
      <c r="S111" s="239">
        <v>41925</v>
      </c>
    </row>
    <row r="112" spans="1:19" hidden="1">
      <c r="A112" s="235">
        <v>137386</v>
      </c>
      <c r="B112" s="235">
        <v>3025402</v>
      </c>
      <c r="C112" s="235">
        <v>302</v>
      </c>
      <c r="D112" s="233" t="s">
        <v>340</v>
      </c>
      <c r="E112" s="235">
        <v>5402</v>
      </c>
      <c r="F112" s="233" t="s">
        <v>285</v>
      </c>
      <c r="G112" s="233" t="s">
        <v>330</v>
      </c>
      <c r="H112" s="233" t="s">
        <v>436</v>
      </c>
      <c r="I112" s="236">
        <v>1251.5</v>
      </c>
      <c r="J112" s="236">
        <v>0</v>
      </c>
      <c r="K112" s="236">
        <v>0</v>
      </c>
      <c r="L112" s="236">
        <v>0</v>
      </c>
      <c r="M112" s="237">
        <v>0</v>
      </c>
      <c r="N112" s="236">
        <v>1251.5</v>
      </c>
      <c r="O112" s="236">
        <v>306</v>
      </c>
      <c r="P112" s="236">
        <v>24.45</v>
      </c>
      <c r="Q112" s="237">
        <v>328950</v>
      </c>
      <c r="R112" s="238">
        <v>306</v>
      </c>
      <c r="S112" s="239">
        <v>328950</v>
      </c>
    </row>
    <row r="113" spans="1:19">
      <c r="A113" s="235">
        <v>101361</v>
      </c>
      <c r="B113" s="235">
        <v>3025404</v>
      </c>
      <c r="C113" s="235">
        <v>302</v>
      </c>
      <c r="D113" s="233" t="s">
        <v>340</v>
      </c>
      <c r="E113" s="235">
        <v>5404</v>
      </c>
      <c r="F113" s="233" t="s">
        <v>271</v>
      </c>
      <c r="G113" s="233" t="s">
        <v>433</v>
      </c>
      <c r="H113" s="233" t="s">
        <v>435</v>
      </c>
      <c r="I113" s="236">
        <v>639</v>
      </c>
      <c r="J113" s="236">
        <v>0</v>
      </c>
      <c r="K113" s="236">
        <v>0</v>
      </c>
      <c r="L113" s="236">
        <v>0</v>
      </c>
      <c r="M113" s="237">
        <v>0</v>
      </c>
      <c r="N113" s="236">
        <v>639</v>
      </c>
      <c r="O113" s="236">
        <v>75</v>
      </c>
      <c r="P113" s="236">
        <v>11.74</v>
      </c>
      <c r="Q113" s="237">
        <v>80625</v>
      </c>
      <c r="R113" s="238">
        <v>75</v>
      </c>
      <c r="S113" s="239">
        <v>80625</v>
      </c>
    </row>
    <row r="114" spans="1:19">
      <c r="A114" s="235">
        <v>101362</v>
      </c>
      <c r="B114" s="235">
        <v>3025405</v>
      </c>
      <c r="C114" s="235">
        <v>302</v>
      </c>
      <c r="D114" s="233" t="s">
        <v>340</v>
      </c>
      <c r="E114" s="235">
        <v>5405</v>
      </c>
      <c r="F114" s="233" t="s">
        <v>102</v>
      </c>
      <c r="G114" s="233" t="s">
        <v>433</v>
      </c>
      <c r="H114" s="233" t="s">
        <v>436</v>
      </c>
      <c r="I114" s="236">
        <v>880</v>
      </c>
      <c r="J114" s="236">
        <v>0</v>
      </c>
      <c r="K114" s="236">
        <v>0</v>
      </c>
      <c r="L114" s="236">
        <v>0</v>
      </c>
      <c r="M114" s="237">
        <v>0</v>
      </c>
      <c r="N114" s="236">
        <v>880</v>
      </c>
      <c r="O114" s="236">
        <v>149</v>
      </c>
      <c r="P114" s="236">
        <v>16.93</v>
      </c>
      <c r="Q114" s="237">
        <v>160175</v>
      </c>
      <c r="R114" s="238">
        <v>149</v>
      </c>
      <c r="S114" s="239">
        <v>160175</v>
      </c>
    </row>
    <row r="115" spans="1:19" hidden="1">
      <c r="A115" s="235">
        <v>136308</v>
      </c>
      <c r="B115" s="235">
        <v>3025406</v>
      </c>
      <c r="C115" s="235">
        <v>302</v>
      </c>
      <c r="D115" s="233" t="s">
        <v>340</v>
      </c>
      <c r="E115" s="235">
        <v>5406</v>
      </c>
      <c r="F115" s="233" t="s">
        <v>286</v>
      </c>
      <c r="G115" s="233" t="s">
        <v>330</v>
      </c>
      <c r="H115" s="233" t="s">
        <v>436</v>
      </c>
      <c r="I115" s="236">
        <v>1302</v>
      </c>
      <c r="J115" s="236">
        <v>0</v>
      </c>
      <c r="K115" s="236">
        <v>0</v>
      </c>
      <c r="L115" s="236">
        <v>0</v>
      </c>
      <c r="M115" s="237">
        <v>0</v>
      </c>
      <c r="N115" s="236">
        <v>1302</v>
      </c>
      <c r="O115" s="236">
        <v>171</v>
      </c>
      <c r="P115" s="236">
        <v>13.13</v>
      </c>
      <c r="Q115" s="237">
        <v>183825</v>
      </c>
      <c r="R115" s="238">
        <v>171</v>
      </c>
      <c r="S115" s="239">
        <v>183825</v>
      </c>
    </row>
    <row r="116" spans="1:19">
      <c r="A116" s="235">
        <v>101364</v>
      </c>
      <c r="B116" s="235">
        <v>3025407</v>
      </c>
      <c r="C116" s="235">
        <v>302</v>
      </c>
      <c r="D116" s="233" t="s">
        <v>340</v>
      </c>
      <c r="E116" s="235">
        <v>5407</v>
      </c>
      <c r="F116" s="233" t="s">
        <v>107</v>
      </c>
      <c r="G116" s="233" t="s">
        <v>433</v>
      </c>
      <c r="H116" s="233" t="s">
        <v>434</v>
      </c>
      <c r="I116" s="236">
        <v>1057</v>
      </c>
      <c r="J116" s="236">
        <v>0</v>
      </c>
      <c r="K116" s="236">
        <v>0</v>
      </c>
      <c r="L116" s="236">
        <v>0</v>
      </c>
      <c r="M116" s="237">
        <v>0</v>
      </c>
      <c r="N116" s="236">
        <v>1057</v>
      </c>
      <c r="O116" s="236">
        <v>343</v>
      </c>
      <c r="P116" s="236">
        <v>32.450000000000003</v>
      </c>
      <c r="Q116" s="237">
        <v>368725</v>
      </c>
      <c r="R116" s="238">
        <v>343</v>
      </c>
      <c r="S116" s="239">
        <v>368725</v>
      </c>
    </row>
    <row r="117" spans="1:19" hidden="1">
      <c r="A117" s="235">
        <v>143082</v>
      </c>
      <c r="B117" s="235">
        <v>3025408</v>
      </c>
      <c r="C117" s="235">
        <v>302</v>
      </c>
      <c r="D117" s="233" t="s">
        <v>340</v>
      </c>
      <c r="E117" s="235">
        <v>5408</v>
      </c>
      <c r="F117" s="233" t="s">
        <v>269</v>
      </c>
      <c r="G117" s="233" t="s">
        <v>330</v>
      </c>
      <c r="H117" s="233" t="s">
        <v>435</v>
      </c>
      <c r="I117" s="236">
        <v>738</v>
      </c>
      <c r="J117" s="236">
        <v>0</v>
      </c>
      <c r="K117" s="236">
        <v>0</v>
      </c>
      <c r="L117" s="236">
        <v>0</v>
      </c>
      <c r="M117" s="237">
        <v>0</v>
      </c>
      <c r="N117" s="236">
        <v>738</v>
      </c>
      <c r="O117" s="236">
        <v>263</v>
      </c>
      <c r="P117" s="236">
        <v>35.64</v>
      </c>
      <c r="Q117" s="237">
        <v>282725</v>
      </c>
      <c r="R117" s="238">
        <v>263</v>
      </c>
      <c r="S117" s="239">
        <v>282725</v>
      </c>
    </row>
    <row r="118" spans="1:19" hidden="1">
      <c r="A118" s="235">
        <v>137539</v>
      </c>
      <c r="B118" s="235">
        <v>3025409</v>
      </c>
      <c r="C118" s="235">
        <v>302</v>
      </c>
      <c r="D118" s="233" t="s">
        <v>340</v>
      </c>
      <c r="E118" s="235">
        <v>5409</v>
      </c>
      <c r="F118" s="233" t="s">
        <v>384</v>
      </c>
      <c r="G118" s="233" t="s">
        <v>330</v>
      </c>
      <c r="H118" s="233" t="s">
        <v>435</v>
      </c>
      <c r="I118" s="236">
        <v>614</v>
      </c>
      <c r="J118" s="236">
        <v>0</v>
      </c>
      <c r="K118" s="236">
        <v>0</v>
      </c>
      <c r="L118" s="236">
        <v>0</v>
      </c>
      <c r="M118" s="237">
        <v>0</v>
      </c>
      <c r="N118" s="236">
        <v>614</v>
      </c>
      <c r="O118" s="236">
        <v>62</v>
      </c>
      <c r="P118" s="236">
        <v>10.1</v>
      </c>
      <c r="Q118" s="237">
        <v>66650</v>
      </c>
      <c r="R118" s="238">
        <v>62</v>
      </c>
      <c r="S118" s="239">
        <v>66650</v>
      </c>
    </row>
    <row r="119" spans="1:19">
      <c r="A119" s="235">
        <v>135747</v>
      </c>
      <c r="B119" s="235">
        <v>3025427</v>
      </c>
      <c r="C119" s="235">
        <v>302</v>
      </c>
      <c r="D119" s="233" t="s">
        <v>340</v>
      </c>
      <c r="E119" s="235">
        <v>5427</v>
      </c>
      <c r="F119" s="233" t="s">
        <v>281</v>
      </c>
      <c r="G119" s="233" t="s">
        <v>433</v>
      </c>
      <c r="H119" s="233" t="s">
        <v>436</v>
      </c>
      <c r="I119" s="236">
        <v>1002</v>
      </c>
      <c r="J119" s="236">
        <v>0</v>
      </c>
      <c r="K119" s="236">
        <v>0</v>
      </c>
      <c r="L119" s="236">
        <v>0</v>
      </c>
      <c r="M119" s="237">
        <v>0</v>
      </c>
      <c r="N119" s="236">
        <v>1002</v>
      </c>
      <c r="O119" s="236">
        <v>45</v>
      </c>
      <c r="P119" s="236">
        <v>4.49</v>
      </c>
      <c r="Q119" s="237">
        <v>48375</v>
      </c>
      <c r="R119" s="238">
        <v>45</v>
      </c>
      <c r="S119" s="239">
        <v>48375</v>
      </c>
    </row>
    <row r="120" spans="1:19">
      <c r="A120" s="235">
        <v>101376</v>
      </c>
      <c r="B120" s="235">
        <v>3025948</v>
      </c>
      <c r="C120" s="235">
        <v>302</v>
      </c>
      <c r="D120" s="233" t="s">
        <v>340</v>
      </c>
      <c r="E120" s="235">
        <v>5948</v>
      </c>
      <c r="F120" s="233" t="s">
        <v>248</v>
      </c>
      <c r="G120" s="233" t="s">
        <v>433</v>
      </c>
      <c r="H120" s="233" t="s">
        <v>434</v>
      </c>
      <c r="I120" s="236">
        <v>193</v>
      </c>
      <c r="J120" s="236">
        <v>193</v>
      </c>
      <c r="K120" s="236">
        <v>4</v>
      </c>
      <c r="L120" s="236">
        <v>2.0699999999999998</v>
      </c>
      <c r="M120" s="237">
        <v>6060</v>
      </c>
      <c r="N120" s="236">
        <v>0</v>
      </c>
      <c r="O120" s="236">
        <v>0</v>
      </c>
      <c r="P120" s="236">
        <v>0</v>
      </c>
      <c r="Q120" s="237">
        <v>0</v>
      </c>
      <c r="R120" s="238">
        <v>4</v>
      </c>
      <c r="S120" s="239">
        <v>6060</v>
      </c>
    </row>
    <row r="121" spans="1:19">
      <c r="A121" s="235">
        <v>131359</v>
      </c>
      <c r="B121" s="235">
        <v>3025949</v>
      </c>
      <c r="C121" s="235">
        <v>302</v>
      </c>
      <c r="D121" s="233" t="s">
        <v>340</v>
      </c>
      <c r="E121" s="235">
        <v>5949</v>
      </c>
      <c r="F121" s="233" t="s">
        <v>69</v>
      </c>
      <c r="G121" s="233" t="s">
        <v>433</v>
      </c>
      <c r="H121" s="233" t="s">
        <v>434</v>
      </c>
      <c r="I121" s="236">
        <v>289</v>
      </c>
      <c r="J121" s="236">
        <v>289</v>
      </c>
      <c r="K121" s="236">
        <v>11</v>
      </c>
      <c r="L121" s="236">
        <v>3.81</v>
      </c>
      <c r="M121" s="237">
        <v>16665</v>
      </c>
      <c r="N121" s="236">
        <v>0</v>
      </c>
      <c r="O121" s="236">
        <v>0</v>
      </c>
      <c r="P121" s="236">
        <v>0</v>
      </c>
      <c r="Q121" s="237">
        <v>0</v>
      </c>
      <c r="R121" s="238">
        <v>11</v>
      </c>
      <c r="S121" s="239">
        <v>16665</v>
      </c>
    </row>
    <row r="122" spans="1:19" hidden="1">
      <c r="A122" s="235">
        <v>144784</v>
      </c>
      <c r="B122" s="235">
        <v>3025950</v>
      </c>
      <c r="C122" s="235">
        <v>302</v>
      </c>
      <c r="D122" s="233" t="s">
        <v>340</v>
      </c>
      <c r="E122" s="235">
        <v>5950</v>
      </c>
      <c r="F122" s="233" t="s">
        <v>355</v>
      </c>
      <c r="G122" s="233" t="s">
        <v>349</v>
      </c>
      <c r="H122" s="233" t="s">
        <v>436</v>
      </c>
      <c r="I122" s="236">
        <v>50</v>
      </c>
      <c r="J122" s="236">
        <v>0</v>
      </c>
      <c r="K122" s="236">
        <v>0</v>
      </c>
      <c r="L122" s="236">
        <v>0</v>
      </c>
      <c r="M122" s="237">
        <v>0</v>
      </c>
      <c r="N122" s="236">
        <v>50</v>
      </c>
      <c r="O122" s="236">
        <v>31</v>
      </c>
      <c r="P122" s="236">
        <v>62</v>
      </c>
      <c r="Q122" s="237">
        <v>33325</v>
      </c>
      <c r="R122" s="238">
        <v>31</v>
      </c>
      <c r="S122" s="239">
        <v>33325</v>
      </c>
    </row>
    <row r="123" spans="1:19" hidden="1">
      <c r="A123" s="235">
        <v>144752</v>
      </c>
      <c r="B123" s="235">
        <v>3026085</v>
      </c>
      <c r="C123" s="235">
        <v>302</v>
      </c>
      <c r="D123" s="233" t="s">
        <v>340</v>
      </c>
      <c r="E123" s="235">
        <v>6085</v>
      </c>
      <c r="F123" s="233" t="s">
        <v>363</v>
      </c>
      <c r="G123" s="233" t="s">
        <v>349</v>
      </c>
      <c r="H123" s="233" t="s">
        <v>434</v>
      </c>
      <c r="I123" s="236">
        <v>66</v>
      </c>
      <c r="J123" s="236">
        <v>32</v>
      </c>
      <c r="K123" s="236">
        <v>7</v>
      </c>
      <c r="L123" s="236">
        <v>21.88</v>
      </c>
      <c r="M123" s="237">
        <v>10605</v>
      </c>
      <c r="N123" s="236">
        <v>34</v>
      </c>
      <c r="O123" s="236">
        <v>8</v>
      </c>
      <c r="P123" s="236">
        <v>23.53</v>
      </c>
      <c r="Q123" s="237">
        <v>8600</v>
      </c>
      <c r="R123" s="238">
        <v>15</v>
      </c>
      <c r="S123" s="239">
        <v>19205</v>
      </c>
    </row>
    <row r="124" spans="1:19" hidden="1">
      <c r="A124" s="235">
        <v>134798</v>
      </c>
      <c r="B124" s="235">
        <v>3026905</v>
      </c>
      <c r="C124" s="235">
        <v>302</v>
      </c>
      <c r="D124" s="233" t="s">
        <v>340</v>
      </c>
      <c r="E124" s="235">
        <v>6905</v>
      </c>
      <c r="F124" s="233" t="s">
        <v>291</v>
      </c>
      <c r="G124" s="233" t="s">
        <v>330</v>
      </c>
      <c r="H124" s="233" t="s">
        <v>434</v>
      </c>
      <c r="I124" s="236">
        <v>1425</v>
      </c>
      <c r="J124" s="236">
        <v>345</v>
      </c>
      <c r="K124" s="236">
        <v>137</v>
      </c>
      <c r="L124" s="236">
        <v>39.71</v>
      </c>
      <c r="M124" s="237">
        <v>207555</v>
      </c>
      <c r="N124" s="236">
        <v>1080</v>
      </c>
      <c r="O124" s="236">
        <v>470</v>
      </c>
      <c r="P124" s="236">
        <v>43.52</v>
      </c>
      <c r="Q124" s="237">
        <v>505250</v>
      </c>
      <c r="R124" s="238">
        <v>607</v>
      </c>
      <c r="S124" s="239">
        <v>712805</v>
      </c>
    </row>
    <row r="125" spans="1:19" hidden="1">
      <c r="A125" s="235">
        <v>135507</v>
      </c>
      <c r="B125" s="235">
        <v>3026906</v>
      </c>
      <c r="C125" s="235">
        <v>302</v>
      </c>
      <c r="D125" s="233" t="s">
        <v>340</v>
      </c>
      <c r="E125" s="235">
        <v>6906</v>
      </c>
      <c r="F125" s="233" t="s">
        <v>458</v>
      </c>
      <c r="G125" s="233" t="s">
        <v>330</v>
      </c>
      <c r="H125" s="233" t="s">
        <v>435</v>
      </c>
      <c r="I125" s="236">
        <v>1332</v>
      </c>
      <c r="J125" s="236">
        <v>418</v>
      </c>
      <c r="K125" s="236">
        <v>53</v>
      </c>
      <c r="L125" s="236">
        <v>12.68</v>
      </c>
      <c r="M125" s="237">
        <v>80295</v>
      </c>
      <c r="N125" s="236">
        <v>914</v>
      </c>
      <c r="O125" s="236">
        <v>153</v>
      </c>
      <c r="P125" s="236">
        <v>16.739999999999998</v>
      </c>
      <c r="Q125" s="237">
        <v>164475</v>
      </c>
      <c r="R125" s="238">
        <v>206</v>
      </c>
      <c r="S125" s="239">
        <v>244770</v>
      </c>
    </row>
    <row r="126" spans="1:19" hidden="1">
      <c r="A126" s="235">
        <v>143865</v>
      </c>
      <c r="B126" s="235">
        <v>3027000</v>
      </c>
      <c r="C126" s="235">
        <v>302</v>
      </c>
      <c r="D126" s="233" t="s">
        <v>340</v>
      </c>
      <c r="E126" s="235">
        <v>7000</v>
      </c>
      <c r="F126" s="233" t="s">
        <v>112</v>
      </c>
      <c r="G126" s="233" t="s">
        <v>349</v>
      </c>
      <c r="H126" s="233" t="s">
        <v>435</v>
      </c>
      <c r="I126" s="236">
        <v>121</v>
      </c>
      <c r="J126" s="236">
        <v>0</v>
      </c>
      <c r="K126" s="236">
        <v>0</v>
      </c>
      <c r="L126" s="236">
        <v>0</v>
      </c>
      <c r="M126" s="237">
        <v>0</v>
      </c>
      <c r="N126" s="236">
        <v>121</v>
      </c>
      <c r="O126" s="236">
        <v>68</v>
      </c>
      <c r="P126" s="236">
        <v>56.2</v>
      </c>
      <c r="Q126" s="237">
        <v>73100</v>
      </c>
      <c r="R126" s="238">
        <v>68</v>
      </c>
      <c r="S126" s="239">
        <v>73100</v>
      </c>
    </row>
    <row r="127" spans="1:19" hidden="1">
      <c r="A127" s="235">
        <v>143758</v>
      </c>
      <c r="B127" s="235">
        <v>3027002</v>
      </c>
      <c r="C127" s="235">
        <v>302</v>
      </c>
      <c r="D127" s="233" t="s">
        <v>340</v>
      </c>
      <c r="E127" s="235">
        <v>7002</v>
      </c>
      <c r="F127" s="233" t="s">
        <v>457</v>
      </c>
      <c r="G127" s="233" t="s">
        <v>349</v>
      </c>
      <c r="H127" s="233" t="s">
        <v>436</v>
      </c>
      <c r="I127" s="236">
        <v>62</v>
      </c>
      <c r="J127" s="236">
        <v>18</v>
      </c>
      <c r="K127" s="236">
        <v>4.75</v>
      </c>
      <c r="L127" s="236">
        <v>26.39</v>
      </c>
      <c r="M127" s="237">
        <v>7196.25</v>
      </c>
      <c r="N127" s="236">
        <v>44</v>
      </c>
      <c r="O127" s="236">
        <v>15.666666666666666</v>
      </c>
      <c r="P127" s="236">
        <v>35.61</v>
      </c>
      <c r="Q127" s="237">
        <v>16841.666666666668</v>
      </c>
      <c r="R127" s="238">
        <v>20.416666666666668</v>
      </c>
      <c r="S127" s="239">
        <v>24037.916666666668</v>
      </c>
    </row>
    <row r="128" spans="1:19">
      <c r="A128" s="235">
        <v>101395</v>
      </c>
      <c r="B128" s="235">
        <v>3027005</v>
      </c>
      <c r="C128" s="235">
        <v>302</v>
      </c>
      <c r="D128" s="233" t="s">
        <v>340</v>
      </c>
      <c r="E128" s="235">
        <v>7005</v>
      </c>
      <c r="F128" s="233" t="s">
        <v>111</v>
      </c>
      <c r="G128" s="233" t="s">
        <v>7</v>
      </c>
      <c r="H128" s="233" t="s">
        <v>436</v>
      </c>
      <c r="I128" s="236">
        <v>163</v>
      </c>
      <c r="J128" s="236">
        <v>134</v>
      </c>
      <c r="K128" s="236">
        <v>59</v>
      </c>
      <c r="L128" s="236">
        <v>44.03</v>
      </c>
      <c r="M128" s="237">
        <v>89385</v>
      </c>
      <c r="N128" s="236">
        <v>29</v>
      </c>
      <c r="O128" s="236">
        <v>10</v>
      </c>
      <c r="P128" s="236">
        <v>34.479999999999997</v>
      </c>
      <c r="Q128" s="237">
        <v>10750</v>
      </c>
      <c r="R128" s="238">
        <v>69</v>
      </c>
      <c r="S128" s="239">
        <v>100135</v>
      </c>
    </row>
    <row r="129" spans="1:19">
      <c r="A129" s="235">
        <v>101396</v>
      </c>
      <c r="B129" s="235">
        <v>3027009</v>
      </c>
      <c r="C129" s="235">
        <v>302</v>
      </c>
      <c r="D129" s="233" t="s">
        <v>340</v>
      </c>
      <c r="E129" s="235">
        <v>7009</v>
      </c>
      <c r="F129" s="233" t="s">
        <v>339</v>
      </c>
      <c r="G129" s="233" t="s">
        <v>7</v>
      </c>
      <c r="H129" s="233" t="s">
        <v>479</v>
      </c>
      <c r="I129" s="236">
        <v>135</v>
      </c>
      <c r="J129" s="236">
        <v>135</v>
      </c>
      <c r="K129" s="236">
        <v>68</v>
      </c>
      <c r="L129" s="236">
        <v>50.37</v>
      </c>
      <c r="M129" s="237">
        <v>103020</v>
      </c>
      <c r="N129" s="236">
        <v>0</v>
      </c>
      <c r="O129" s="236">
        <v>0</v>
      </c>
      <c r="P129" s="236">
        <v>0</v>
      </c>
      <c r="Q129" s="237">
        <v>0</v>
      </c>
      <c r="R129" s="238">
        <v>68</v>
      </c>
      <c r="S129" s="239">
        <v>103020</v>
      </c>
    </row>
    <row r="130" spans="1:19">
      <c r="A130" s="235">
        <v>101397</v>
      </c>
      <c r="B130" s="235">
        <v>3027010</v>
      </c>
      <c r="C130" s="235">
        <v>302</v>
      </c>
      <c r="D130" s="233" t="s">
        <v>340</v>
      </c>
      <c r="E130" s="235">
        <v>7010</v>
      </c>
      <c r="F130" s="233" t="s">
        <v>110</v>
      </c>
      <c r="G130" s="233" t="s">
        <v>7</v>
      </c>
      <c r="H130" s="233" t="s">
        <v>435</v>
      </c>
      <c r="I130" s="236">
        <v>73</v>
      </c>
      <c r="J130" s="236">
        <v>0</v>
      </c>
      <c r="K130" s="236">
        <v>0</v>
      </c>
      <c r="L130" s="236">
        <v>0</v>
      </c>
      <c r="M130" s="237">
        <v>0</v>
      </c>
      <c r="N130" s="236">
        <v>73</v>
      </c>
      <c r="O130" s="236">
        <v>36</v>
      </c>
      <c r="P130" s="236">
        <v>49.32</v>
      </c>
      <c r="Q130" s="237">
        <v>38700</v>
      </c>
      <c r="R130" s="238">
        <v>36</v>
      </c>
      <c r="S130" s="239">
        <v>38700</v>
      </c>
    </row>
  </sheetData>
  <autoFilter ref="A2:S130" xr:uid="{AE24B29D-EC71-476F-9538-D2BC4C6BB354}">
    <filterColumn colId="6">
      <filters>
        <filter val="Mainstream"/>
        <filter val="Pupil referral unit"/>
        <filter val="Special"/>
      </filters>
    </filterColumn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20608-C411-43DC-8160-F36686D8BFF1}">
  <dimension ref="A1:U14"/>
  <sheetViews>
    <sheetView zoomScale="85" zoomScaleNormal="85" workbookViewId="0">
      <selection activeCell="EE3" sqref="EE3"/>
    </sheetView>
  </sheetViews>
  <sheetFormatPr defaultRowHeight="14.4"/>
  <cols>
    <col min="1" max="1" width="8.88671875" style="257"/>
    <col min="2" max="2" width="65.33203125" style="257" customWidth="1"/>
    <col min="3" max="3" width="13.33203125" style="257" customWidth="1"/>
    <col min="4" max="4" width="12.5546875" style="257" customWidth="1"/>
    <col min="5" max="5" width="12.6640625" style="257" customWidth="1"/>
    <col min="6" max="6" width="12.5546875" style="257" customWidth="1"/>
    <col min="7" max="7" width="16" style="243" customWidth="1"/>
    <col min="8" max="8" width="10.5546875" style="271" customWidth="1"/>
    <col min="9" max="9" width="16" style="272" customWidth="1"/>
    <col min="10" max="10" width="16" style="257" customWidth="1"/>
    <col min="11" max="11" width="13.33203125" style="271" bestFit="1" customWidth="1"/>
    <col min="12" max="12" width="13.33203125" style="257" bestFit="1" customWidth="1"/>
    <col min="13" max="13" width="14.44140625" style="257" bestFit="1" customWidth="1"/>
    <col min="14" max="14" width="21.33203125" style="264" customWidth="1"/>
    <col min="15" max="15" width="16.5546875" style="274" bestFit="1" customWidth="1"/>
    <col min="16" max="16" width="16.5546875" style="274" customWidth="1"/>
    <col min="17" max="17" width="14.5546875" style="257" bestFit="1" customWidth="1"/>
    <col min="18" max="18" width="14.5546875" style="264" customWidth="1"/>
    <col min="19" max="19" width="13" style="264" customWidth="1"/>
    <col min="20" max="20" width="11.5546875" style="264" bestFit="1" customWidth="1"/>
    <col min="21" max="21" width="12" style="264" bestFit="1" customWidth="1"/>
    <col min="22" max="16384" width="8.88671875" style="257"/>
  </cols>
  <sheetData>
    <row r="1" spans="1:21" ht="74.25" customHeight="1">
      <c r="A1" s="243"/>
      <c r="B1" s="243" t="s">
        <v>499</v>
      </c>
      <c r="C1" s="244" t="s">
        <v>500</v>
      </c>
      <c r="D1" s="245" t="s">
        <v>501</v>
      </c>
      <c r="E1" s="245" t="s">
        <v>502</v>
      </c>
      <c r="F1" s="245" t="s">
        <v>503</v>
      </c>
      <c r="G1" s="246" t="s">
        <v>504</v>
      </c>
      <c r="H1" s="247" t="s">
        <v>505</v>
      </c>
      <c r="I1" s="248" t="s">
        <v>506</v>
      </c>
      <c r="J1" s="249" t="s">
        <v>507</v>
      </c>
      <c r="K1" s="250" t="s">
        <v>508</v>
      </c>
      <c r="L1" s="250" t="s">
        <v>509</v>
      </c>
      <c r="M1" s="251" t="s">
        <v>510</v>
      </c>
      <c r="N1" s="252" t="s">
        <v>511</v>
      </c>
      <c r="O1" s="252" t="s">
        <v>512</v>
      </c>
      <c r="P1" s="252" t="s">
        <v>513</v>
      </c>
      <c r="Q1" s="253" t="s">
        <v>514</v>
      </c>
      <c r="R1" s="254" t="s">
        <v>515</v>
      </c>
      <c r="S1" s="255" t="s">
        <v>516</v>
      </c>
      <c r="T1" s="255" t="s">
        <v>517</v>
      </c>
      <c r="U1" s="256" t="s">
        <v>518</v>
      </c>
    </row>
    <row r="2" spans="1:21">
      <c r="A2" s="257" t="str">
        <f>VLOOKUP(B2,[1]Supplier!$A:$B,2,FALSE)</f>
        <v>SCH005</v>
      </c>
      <c r="B2" s="257" t="s">
        <v>519</v>
      </c>
      <c r="C2" s="258">
        <v>8970</v>
      </c>
      <c r="D2" s="259">
        <v>94077.36</v>
      </c>
      <c r="E2" s="259"/>
      <c r="F2" s="259">
        <v>47038.68</v>
      </c>
      <c r="G2" s="260">
        <v>47038.68</v>
      </c>
      <c r="H2" s="261">
        <v>8970</v>
      </c>
      <c r="I2" s="262">
        <v>47038.68</v>
      </c>
      <c r="J2" s="263">
        <f>F2+I2</f>
        <v>94077.36</v>
      </c>
      <c r="K2" s="257">
        <v>23</v>
      </c>
      <c r="L2" s="257">
        <v>13</v>
      </c>
      <c r="M2" s="257">
        <v>8970</v>
      </c>
      <c r="N2" s="264">
        <v>117596.7</v>
      </c>
      <c r="O2" s="264">
        <v>0</v>
      </c>
      <c r="P2" s="264">
        <v>117596.7</v>
      </c>
      <c r="Q2" s="257">
        <v>8970</v>
      </c>
      <c r="R2" s="264">
        <v>117596.7</v>
      </c>
      <c r="S2" s="264">
        <v>94077.36</v>
      </c>
      <c r="T2" s="264">
        <v>5506.2</v>
      </c>
      <c r="U2" s="264">
        <v>29025.54</v>
      </c>
    </row>
    <row r="3" spans="1:21">
      <c r="A3" s="257" t="str">
        <f>VLOOKUP(B3,[1]Supplier!$A:$B,2,FALSE)</f>
        <v>SCH010</v>
      </c>
      <c r="B3" s="257" t="s">
        <v>520</v>
      </c>
      <c r="C3" s="258">
        <v>330</v>
      </c>
      <c r="D3" s="259">
        <v>3461.04</v>
      </c>
      <c r="E3" s="259"/>
      <c r="F3" s="259">
        <v>1730.52</v>
      </c>
      <c r="G3" s="260">
        <v>1730.52</v>
      </c>
      <c r="H3" s="261">
        <v>330</v>
      </c>
      <c r="I3" s="262">
        <v>1730.52</v>
      </c>
      <c r="J3" s="263">
        <f t="shared" ref="J3:J10" si="0">F3+I3</f>
        <v>3461.04</v>
      </c>
      <c r="K3" s="257">
        <v>1</v>
      </c>
      <c r="L3" s="257">
        <v>11</v>
      </c>
      <c r="M3" s="257">
        <v>330</v>
      </c>
      <c r="N3" s="264">
        <v>4326.3</v>
      </c>
      <c r="O3" s="264">
        <v>0</v>
      </c>
      <c r="P3" s="264">
        <v>4326.3</v>
      </c>
      <c r="Q3" s="257">
        <v>330</v>
      </c>
      <c r="R3" s="264">
        <v>4326.3</v>
      </c>
      <c r="S3" s="264">
        <v>3461.04</v>
      </c>
      <c r="T3" s="264">
        <v>0</v>
      </c>
      <c r="U3" s="264">
        <v>865.26</v>
      </c>
    </row>
    <row r="4" spans="1:21">
      <c r="A4" s="257" t="str">
        <f>VLOOKUP(B4,[1]Supplier!$A:$B,2,FALSE)</f>
        <v>SCH011</v>
      </c>
      <c r="B4" s="257" t="s">
        <v>521</v>
      </c>
      <c r="C4" s="258"/>
      <c r="D4" s="259">
        <v>0</v>
      </c>
      <c r="E4" s="259"/>
      <c r="F4" s="259">
        <v>0</v>
      </c>
      <c r="G4" s="260">
        <v>0</v>
      </c>
      <c r="H4" s="261"/>
      <c r="I4" s="262">
        <v>0</v>
      </c>
      <c r="J4" s="263">
        <f t="shared" si="0"/>
        <v>0</v>
      </c>
      <c r="K4" s="257">
        <v>11</v>
      </c>
      <c r="L4" s="257">
        <v>11</v>
      </c>
      <c r="M4" s="257">
        <v>3630</v>
      </c>
      <c r="N4" s="264">
        <v>47589.3</v>
      </c>
      <c r="O4" s="264">
        <v>0</v>
      </c>
      <c r="P4" s="264">
        <v>47589.3</v>
      </c>
      <c r="Q4" s="257">
        <v>3630</v>
      </c>
      <c r="R4" s="264">
        <v>47589.3</v>
      </c>
      <c r="S4" s="264">
        <v>0</v>
      </c>
      <c r="T4" s="264">
        <v>0</v>
      </c>
      <c r="U4" s="264">
        <v>47589.3</v>
      </c>
    </row>
    <row r="5" spans="1:21">
      <c r="A5" s="257" t="str">
        <f>VLOOKUP(B5,[1]Supplier!$A:$B,2,FALSE)</f>
        <v>SCH027</v>
      </c>
      <c r="B5" s="257" t="s">
        <v>522</v>
      </c>
      <c r="C5" s="258"/>
      <c r="D5" s="259">
        <v>0</v>
      </c>
      <c r="E5" s="259"/>
      <c r="F5" s="259">
        <v>0</v>
      </c>
      <c r="G5" s="260">
        <v>0</v>
      </c>
      <c r="H5" s="261"/>
      <c r="I5" s="262">
        <v>0</v>
      </c>
      <c r="J5" s="263">
        <f t="shared" si="0"/>
        <v>0</v>
      </c>
      <c r="K5" s="257">
        <v>0</v>
      </c>
      <c r="L5" s="257">
        <v>11.4</v>
      </c>
      <c r="M5" s="257">
        <v>0</v>
      </c>
      <c r="N5" s="264">
        <v>0</v>
      </c>
      <c r="O5" s="264">
        <v>0</v>
      </c>
      <c r="P5" s="264">
        <v>0</v>
      </c>
      <c r="R5" s="264">
        <v>0</v>
      </c>
      <c r="S5" s="264">
        <v>0</v>
      </c>
      <c r="T5" s="264">
        <v>0</v>
      </c>
      <c r="U5" s="264">
        <v>0</v>
      </c>
    </row>
    <row r="6" spans="1:21">
      <c r="A6" s="257" t="str">
        <f>VLOOKUP(B6,[1]Supplier!$A:$B,2,FALSE)</f>
        <v>SCH028</v>
      </c>
      <c r="B6" s="257" t="s">
        <v>523</v>
      </c>
      <c r="C6" s="258"/>
      <c r="D6" s="259">
        <v>0</v>
      </c>
      <c r="E6" s="259"/>
      <c r="F6" s="259">
        <v>0</v>
      </c>
      <c r="G6" s="260">
        <v>0</v>
      </c>
      <c r="H6" s="261"/>
      <c r="I6" s="262">
        <v>0</v>
      </c>
      <c r="J6" s="263">
        <f t="shared" si="0"/>
        <v>0</v>
      </c>
      <c r="K6" s="257">
        <v>0</v>
      </c>
      <c r="L6" s="257">
        <v>11</v>
      </c>
      <c r="M6" s="257">
        <v>0</v>
      </c>
      <c r="N6" s="264">
        <v>0</v>
      </c>
      <c r="O6" s="264">
        <v>0</v>
      </c>
      <c r="P6" s="264">
        <v>0</v>
      </c>
      <c r="R6" s="264">
        <v>0</v>
      </c>
      <c r="S6" s="264">
        <v>0</v>
      </c>
      <c r="T6" s="264">
        <v>0</v>
      </c>
      <c r="U6" s="264">
        <v>0</v>
      </c>
    </row>
    <row r="7" spans="1:21">
      <c r="A7" s="257" t="str">
        <f>VLOOKUP(B7,[1]Supplier!$A:$B,2,FALSE)</f>
        <v>SCH029</v>
      </c>
      <c r="B7" s="257" t="s">
        <v>524</v>
      </c>
      <c r="C7" s="265">
        <v>990</v>
      </c>
      <c r="D7" s="259">
        <v>10383.120000000001</v>
      </c>
      <c r="E7" s="259"/>
      <c r="F7" s="259">
        <v>5191.5600000000004</v>
      </c>
      <c r="G7" s="260">
        <v>5191.5600000000004</v>
      </c>
      <c r="H7" s="261">
        <v>990</v>
      </c>
      <c r="I7" s="262">
        <v>5191.5600000000004</v>
      </c>
      <c r="J7" s="263">
        <f t="shared" si="0"/>
        <v>10383.120000000001</v>
      </c>
      <c r="K7" s="257">
        <v>3</v>
      </c>
      <c r="L7" s="257">
        <v>11</v>
      </c>
      <c r="M7" s="257">
        <v>810</v>
      </c>
      <c r="N7" s="264">
        <v>10619.1</v>
      </c>
      <c r="O7" s="264">
        <v>0</v>
      </c>
      <c r="P7" s="264">
        <v>10619.1</v>
      </c>
      <c r="Q7" s="257">
        <v>810</v>
      </c>
      <c r="R7" s="264">
        <v>10619.1</v>
      </c>
      <c r="S7" s="264">
        <v>10383.120000000001</v>
      </c>
      <c r="T7" s="264">
        <v>0</v>
      </c>
      <c r="U7" s="264">
        <v>235.98</v>
      </c>
    </row>
    <row r="8" spans="1:21">
      <c r="A8" s="257" t="str">
        <f>VLOOKUP(B8,[1]Supplier!$A:$B,2,FALSE)</f>
        <v>SCH038</v>
      </c>
      <c r="B8" s="257" t="s">
        <v>525</v>
      </c>
      <c r="C8" s="265"/>
      <c r="D8" s="259">
        <v>0</v>
      </c>
      <c r="E8" s="259"/>
      <c r="F8" s="259">
        <v>0</v>
      </c>
      <c r="G8" s="260">
        <v>0</v>
      </c>
      <c r="H8" s="261"/>
      <c r="I8" s="262">
        <v>0</v>
      </c>
      <c r="J8" s="263"/>
      <c r="K8" s="257">
        <v>0</v>
      </c>
      <c r="L8" s="257">
        <v>11</v>
      </c>
      <c r="M8" s="257">
        <v>0</v>
      </c>
      <c r="N8" s="264">
        <v>0</v>
      </c>
      <c r="O8" s="264">
        <v>0</v>
      </c>
      <c r="P8" s="264">
        <v>0</v>
      </c>
      <c r="R8" s="264">
        <v>0</v>
      </c>
      <c r="S8" s="264">
        <v>0</v>
      </c>
      <c r="T8" s="264">
        <v>0</v>
      </c>
      <c r="U8" s="264">
        <v>0</v>
      </c>
    </row>
    <row r="9" spans="1:21">
      <c r="A9" s="257" t="str">
        <f>VLOOKUP(B9,[1]Supplier!$A:$B,2,FALSE)</f>
        <v>SCH083</v>
      </c>
      <c r="B9" s="257" t="s">
        <v>526</v>
      </c>
      <c r="C9" s="265"/>
      <c r="D9" s="259">
        <v>0</v>
      </c>
      <c r="E9" s="259"/>
      <c r="F9" s="259">
        <v>0</v>
      </c>
      <c r="G9" s="260">
        <v>0</v>
      </c>
      <c r="H9" s="261"/>
      <c r="I9" s="262">
        <v>0</v>
      </c>
      <c r="J9" s="263"/>
      <c r="K9" s="257">
        <v>0</v>
      </c>
      <c r="L9" s="257">
        <v>11</v>
      </c>
      <c r="M9" s="257">
        <v>0</v>
      </c>
      <c r="N9" s="264">
        <v>0</v>
      </c>
      <c r="O9" s="264">
        <v>0</v>
      </c>
      <c r="P9" s="264">
        <v>0</v>
      </c>
      <c r="R9" s="264">
        <v>0</v>
      </c>
      <c r="S9" s="264">
        <v>0</v>
      </c>
      <c r="T9" s="264">
        <v>0</v>
      </c>
      <c r="U9" s="264">
        <v>0</v>
      </c>
    </row>
    <row r="10" spans="1:21" ht="15" thickBot="1">
      <c r="A10" s="257" t="str">
        <f>VLOOKUP(B10,[1]Supplier!$A:$B,2,FALSE)</f>
        <v>SCH061</v>
      </c>
      <c r="B10" s="257" t="s">
        <v>527</v>
      </c>
      <c r="C10" s="266"/>
      <c r="D10" s="267">
        <v>0</v>
      </c>
      <c r="E10" s="267"/>
      <c r="F10" s="267">
        <v>0</v>
      </c>
      <c r="G10" s="260">
        <v>0</v>
      </c>
      <c r="H10" s="268"/>
      <c r="I10" s="269">
        <v>0</v>
      </c>
      <c r="J10" s="263">
        <f t="shared" si="0"/>
        <v>0</v>
      </c>
      <c r="K10" s="257">
        <v>0</v>
      </c>
      <c r="L10" s="257">
        <v>11</v>
      </c>
      <c r="M10" s="257">
        <v>0</v>
      </c>
      <c r="N10" s="264">
        <v>0</v>
      </c>
      <c r="O10" s="264">
        <v>0</v>
      </c>
      <c r="P10" s="264">
        <v>0</v>
      </c>
      <c r="R10" s="264">
        <v>0</v>
      </c>
      <c r="S10" s="264">
        <v>0</v>
      </c>
      <c r="T10" s="264">
        <v>0</v>
      </c>
      <c r="U10" s="264">
        <v>0</v>
      </c>
    </row>
    <row r="11" spans="1:21">
      <c r="D11" s="264"/>
      <c r="F11" s="270"/>
      <c r="O11" s="264"/>
      <c r="P11" s="264"/>
    </row>
    <row r="12" spans="1:21" ht="18">
      <c r="J12" s="273"/>
    </row>
    <row r="13" spans="1:21" ht="15" thickBot="1">
      <c r="G13" s="275">
        <f>SUM(G2:G10)</f>
        <v>53960.759999999995</v>
      </c>
      <c r="I13" s="276">
        <f>SUM(I2:I10)</f>
        <v>53960.759999999995</v>
      </c>
      <c r="J13" s="277">
        <f>SUM(J2:J10)</f>
        <v>107921.51999999999</v>
      </c>
      <c r="K13" s="264"/>
      <c r="L13" s="264"/>
      <c r="M13" s="257">
        <f t="shared" ref="M13" si="1">SUM(M2:M10)</f>
        <v>13740</v>
      </c>
      <c r="N13" s="278">
        <f>SUM(N2:N10)</f>
        <v>180131.4</v>
      </c>
      <c r="O13" s="278">
        <f t="shared" ref="O13:U13" si="2">SUM(O2:O10)</f>
        <v>0</v>
      </c>
      <c r="P13" s="278">
        <f t="shared" si="2"/>
        <v>180131.4</v>
      </c>
      <c r="Q13" s="279">
        <f t="shared" si="2"/>
        <v>13740</v>
      </c>
      <c r="R13" s="278">
        <f t="shared" si="2"/>
        <v>180131.4</v>
      </c>
      <c r="S13" s="278">
        <f t="shared" si="2"/>
        <v>107921.51999999999</v>
      </c>
      <c r="T13" s="278">
        <f t="shared" si="2"/>
        <v>5506.2</v>
      </c>
      <c r="U13" s="278">
        <f t="shared" si="2"/>
        <v>77716.08</v>
      </c>
    </row>
    <row r="14" spans="1:21" ht="15" thickTop="1"/>
  </sheetData>
  <autoFilter ref="A1:Q14" xr:uid="{1AB71065-4FFD-4E71-83C9-64137CD8244D}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D8139-837F-4AD3-BA58-C02F5D94F11C}">
  <dimension ref="A1:Y40"/>
  <sheetViews>
    <sheetView zoomScale="85" zoomScaleNormal="85" workbookViewId="0">
      <selection activeCell="EE3" sqref="EE3"/>
    </sheetView>
  </sheetViews>
  <sheetFormatPr defaultRowHeight="14.4"/>
  <cols>
    <col min="1" max="1" width="8.88671875" style="257"/>
    <col min="2" max="2" width="65.33203125" style="257" customWidth="1"/>
    <col min="3" max="3" width="13.33203125" style="257" customWidth="1"/>
    <col min="4" max="4" width="12.5546875" style="257" customWidth="1"/>
    <col min="5" max="5" width="12.6640625" style="257" customWidth="1"/>
    <col min="6" max="6" width="12.5546875" style="257" customWidth="1"/>
    <col min="7" max="7" width="16" style="243" customWidth="1"/>
    <col min="8" max="8" width="10.5546875" style="271" customWidth="1"/>
    <col min="9" max="9" width="16" style="272" customWidth="1"/>
    <col min="10" max="10" width="16" style="257" customWidth="1"/>
    <col min="11" max="11" width="13.33203125" style="271" customWidth="1"/>
    <col min="12" max="12" width="13.33203125" style="257" customWidth="1"/>
    <col min="13" max="13" width="14.44140625" style="257" customWidth="1"/>
    <col min="14" max="14" width="21.33203125" style="264" customWidth="1"/>
    <col min="15" max="15" width="16.44140625" style="274" customWidth="1"/>
    <col min="16" max="16" width="14.44140625" style="264" customWidth="1"/>
    <col min="17" max="17" width="12.5546875" style="257" bestFit="1" customWidth="1"/>
    <col min="18" max="18" width="12.5546875" style="264" bestFit="1" customWidth="1"/>
    <col min="19" max="19" width="16.6640625" style="264" customWidth="1"/>
    <col min="20" max="20" width="16.33203125" style="264" customWidth="1"/>
    <col min="21" max="21" width="16.109375" style="257" customWidth="1"/>
    <col min="22" max="22" width="14" style="264" customWidth="1"/>
    <col min="23" max="23" width="12.88671875" style="264" customWidth="1"/>
    <col min="24" max="24" width="13" style="257" customWidth="1"/>
    <col min="25" max="25" width="11.5546875" style="257" bestFit="1" customWidth="1"/>
    <col min="26" max="16384" width="8.88671875" style="257"/>
  </cols>
  <sheetData>
    <row r="1" spans="1:25" ht="74.25" customHeight="1">
      <c r="A1" s="243"/>
      <c r="B1" s="243" t="s">
        <v>499</v>
      </c>
      <c r="C1" s="244" t="s">
        <v>500</v>
      </c>
      <c r="D1" s="245" t="s">
        <v>501</v>
      </c>
      <c r="E1" s="245" t="s">
        <v>502</v>
      </c>
      <c r="F1" s="245" t="s">
        <v>503</v>
      </c>
      <c r="G1" s="246" t="s">
        <v>504</v>
      </c>
      <c r="H1" s="247" t="s">
        <v>505</v>
      </c>
      <c r="I1" s="248" t="s">
        <v>506</v>
      </c>
      <c r="J1" s="249" t="s">
        <v>507</v>
      </c>
      <c r="K1" s="250" t="s">
        <v>508</v>
      </c>
      <c r="L1" s="250" t="s">
        <v>509</v>
      </c>
      <c r="M1" s="251" t="s">
        <v>528</v>
      </c>
      <c r="N1" s="252" t="s">
        <v>529</v>
      </c>
      <c r="O1" s="252" t="s">
        <v>530</v>
      </c>
      <c r="P1" s="252" t="s">
        <v>531</v>
      </c>
      <c r="Q1" s="280" t="s">
        <v>510</v>
      </c>
      <c r="R1" s="252" t="s">
        <v>511</v>
      </c>
      <c r="S1" s="252" t="s">
        <v>512</v>
      </c>
      <c r="T1" s="252" t="s">
        <v>513</v>
      </c>
      <c r="U1" s="281" t="s">
        <v>514</v>
      </c>
      <c r="V1" s="254" t="s">
        <v>532</v>
      </c>
      <c r="W1" s="254" t="s">
        <v>516</v>
      </c>
      <c r="X1" s="256" t="s">
        <v>533</v>
      </c>
      <c r="Y1" s="256" t="s">
        <v>534</v>
      </c>
    </row>
    <row r="2" spans="1:25">
      <c r="A2" s="257" t="str">
        <f>VLOOKUP(B2,[1]Supplier!$A:$B,2,FALSE)</f>
        <v>SCH005</v>
      </c>
      <c r="B2" s="257" t="s">
        <v>519</v>
      </c>
      <c r="C2" s="258">
        <v>8190</v>
      </c>
      <c r="D2" s="259">
        <v>61457.760000000002</v>
      </c>
      <c r="E2" s="259"/>
      <c r="F2" s="259">
        <v>30728.880000000001</v>
      </c>
      <c r="G2" s="282">
        <v>30728.880000000001</v>
      </c>
      <c r="H2" s="261">
        <v>8190</v>
      </c>
      <c r="I2" s="262">
        <v>30728.880000000001</v>
      </c>
      <c r="J2" s="263">
        <f>G2+I2</f>
        <v>61457.760000000002</v>
      </c>
      <c r="K2" s="257">
        <v>25</v>
      </c>
      <c r="L2" s="257">
        <v>13</v>
      </c>
      <c r="M2" s="257">
        <v>0</v>
      </c>
      <c r="N2" s="264">
        <v>0</v>
      </c>
      <c r="O2" s="264">
        <v>0</v>
      </c>
      <c r="P2" s="264">
        <v>0</v>
      </c>
      <c r="Q2" s="257">
        <v>9750</v>
      </c>
      <c r="R2" s="264">
        <v>91455</v>
      </c>
      <c r="S2" s="264">
        <v>0</v>
      </c>
      <c r="T2" s="264">
        <v>91455</v>
      </c>
      <c r="U2" s="257">
        <v>9750</v>
      </c>
      <c r="V2" s="264">
        <v>91455</v>
      </c>
      <c r="W2" s="264">
        <v>61457.760000000002</v>
      </c>
      <c r="X2" s="264">
        <v>0</v>
      </c>
      <c r="Y2" s="264">
        <v>29997.24</v>
      </c>
    </row>
    <row r="3" spans="1:25">
      <c r="A3" s="257" t="str">
        <f>VLOOKUP(B3,[1]Supplier!$A:$B,2,FALSE)</f>
        <v>SCH007</v>
      </c>
      <c r="B3" s="257" t="s">
        <v>535</v>
      </c>
      <c r="C3" s="258">
        <v>990</v>
      </c>
      <c r="D3" s="259">
        <v>7428.96</v>
      </c>
      <c r="E3" s="259"/>
      <c r="F3" s="259">
        <v>3714.48</v>
      </c>
      <c r="G3" s="282">
        <v>3714.48</v>
      </c>
      <c r="H3" s="261">
        <v>990</v>
      </c>
      <c r="I3" s="262">
        <v>3714.48</v>
      </c>
      <c r="J3" s="263">
        <f t="shared" ref="J3:J36" si="0">G3+I3</f>
        <v>7428.96</v>
      </c>
      <c r="K3" s="257">
        <v>7</v>
      </c>
      <c r="L3" s="257">
        <v>11</v>
      </c>
      <c r="M3" s="257">
        <v>600</v>
      </c>
      <c r="N3" s="264">
        <v>5628</v>
      </c>
      <c r="O3" s="264">
        <v>861</v>
      </c>
      <c r="P3" s="264">
        <v>6489</v>
      </c>
      <c r="Q3" s="257">
        <v>495</v>
      </c>
      <c r="R3" s="264">
        <v>4643.1000000000004</v>
      </c>
      <c r="S3" s="264">
        <v>0</v>
      </c>
      <c r="T3" s="264">
        <v>4643.1000000000004</v>
      </c>
      <c r="U3" s="257">
        <v>1095</v>
      </c>
      <c r="V3" s="264">
        <v>11132.1</v>
      </c>
      <c r="W3" s="264">
        <v>7428.96</v>
      </c>
      <c r="X3" s="264">
        <v>0</v>
      </c>
      <c r="Y3" s="264">
        <v>3703.14</v>
      </c>
    </row>
    <row r="4" spans="1:25">
      <c r="A4" s="257" t="str">
        <f>VLOOKUP(B4,[1]Supplier!$A:$B,2,FALSE)</f>
        <v>SCH010</v>
      </c>
      <c r="B4" s="257" t="s">
        <v>520</v>
      </c>
      <c r="C4" s="258">
        <v>1260</v>
      </c>
      <c r="D4" s="259">
        <v>9455.0400000000009</v>
      </c>
      <c r="E4" s="259"/>
      <c r="F4" s="259">
        <v>4727.5200000000004</v>
      </c>
      <c r="G4" s="282">
        <v>4727.5200000000004</v>
      </c>
      <c r="H4" s="261">
        <v>1260</v>
      </c>
      <c r="I4" s="262">
        <v>4727.5200000000004</v>
      </c>
      <c r="J4" s="263">
        <f t="shared" si="0"/>
        <v>9455.0400000000009</v>
      </c>
      <c r="K4" s="257">
        <v>14</v>
      </c>
      <c r="L4" s="257">
        <v>11</v>
      </c>
      <c r="M4" s="257">
        <v>990</v>
      </c>
      <c r="N4" s="264">
        <v>9286.2000000000007</v>
      </c>
      <c r="O4" s="264">
        <v>1428.9</v>
      </c>
      <c r="P4" s="264">
        <v>10715.1</v>
      </c>
      <c r="Q4" s="257">
        <v>2310</v>
      </c>
      <c r="R4" s="264">
        <v>21667.8</v>
      </c>
      <c r="S4" s="264">
        <v>0</v>
      </c>
      <c r="T4" s="264">
        <v>21667.8</v>
      </c>
      <c r="U4" s="257">
        <v>3300</v>
      </c>
      <c r="V4" s="264">
        <v>32382.9</v>
      </c>
      <c r="W4" s="264">
        <v>9455.0400000000009</v>
      </c>
      <c r="X4" s="264">
        <v>0</v>
      </c>
      <c r="Y4" s="264">
        <v>22927.86</v>
      </c>
    </row>
    <row r="5" spans="1:25">
      <c r="A5" s="257" t="str">
        <f>VLOOKUP(B5,[1]Supplier!$A:$B,2,FALSE)</f>
        <v>SCH011</v>
      </c>
      <c r="B5" s="257" t="s">
        <v>521</v>
      </c>
      <c r="C5" s="258"/>
      <c r="D5" s="259">
        <v>0</v>
      </c>
      <c r="E5" s="259"/>
      <c r="F5" s="259">
        <v>0</v>
      </c>
      <c r="G5" s="282">
        <v>0</v>
      </c>
      <c r="H5" s="261"/>
      <c r="I5" s="262">
        <v>0</v>
      </c>
      <c r="J5" s="263">
        <f t="shared" si="0"/>
        <v>0</v>
      </c>
      <c r="K5" s="257">
        <v>23</v>
      </c>
      <c r="L5" s="257">
        <v>11</v>
      </c>
      <c r="M5" s="257">
        <v>660</v>
      </c>
      <c r="N5" s="264">
        <v>6190.8</v>
      </c>
      <c r="O5" s="264">
        <v>1062.5999999999999</v>
      </c>
      <c r="P5" s="264">
        <v>7253.4</v>
      </c>
      <c r="Q5" s="257">
        <v>6270</v>
      </c>
      <c r="R5" s="264">
        <v>58812.6</v>
      </c>
      <c r="S5" s="264">
        <v>165</v>
      </c>
      <c r="T5" s="264">
        <v>58977.599999999999</v>
      </c>
      <c r="U5" s="257">
        <v>6930</v>
      </c>
      <c r="V5" s="264">
        <v>66231</v>
      </c>
      <c r="W5" s="264">
        <v>0</v>
      </c>
      <c r="X5" s="264">
        <v>0</v>
      </c>
      <c r="Y5" s="264">
        <v>66231</v>
      </c>
    </row>
    <row r="6" spans="1:25">
      <c r="A6" s="257" t="str">
        <f>VLOOKUP(B6,[1]Supplier!$A:$B,2,FALSE)</f>
        <v>SCH018</v>
      </c>
      <c r="B6" s="257" t="s">
        <v>536</v>
      </c>
      <c r="C6" s="258">
        <v>1320</v>
      </c>
      <c r="D6" s="259">
        <v>9905.2800000000007</v>
      </c>
      <c r="E6" s="259"/>
      <c r="F6" s="259">
        <v>4952.6400000000003</v>
      </c>
      <c r="G6" s="282">
        <v>4952.6400000000003</v>
      </c>
      <c r="H6" s="261">
        <v>1320</v>
      </c>
      <c r="I6" s="262">
        <v>4952.6400000000003</v>
      </c>
      <c r="J6" s="263">
        <f t="shared" si="0"/>
        <v>9905.2800000000007</v>
      </c>
      <c r="K6" s="257">
        <v>11</v>
      </c>
      <c r="L6" s="257">
        <v>11</v>
      </c>
      <c r="M6" s="257">
        <v>576</v>
      </c>
      <c r="N6" s="264">
        <v>5402.88</v>
      </c>
      <c r="O6" s="264">
        <v>516.36</v>
      </c>
      <c r="P6" s="264">
        <v>5919.24</v>
      </c>
      <c r="Q6" s="257">
        <v>1215</v>
      </c>
      <c r="R6" s="264">
        <v>11396.7</v>
      </c>
      <c r="S6" s="264">
        <v>0</v>
      </c>
      <c r="T6" s="264">
        <v>11396.7</v>
      </c>
      <c r="U6" s="257">
        <v>1791</v>
      </c>
      <c r="V6" s="264">
        <v>17315.939999999999</v>
      </c>
      <c r="W6" s="264">
        <v>9905.2800000000007</v>
      </c>
      <c r="X6" s="264">
        <v>0</v>
      </c>
      <c r="Y6" s="264">
        <v>7410.66</v>
      </c>
    </row>
    <row r="7" spans="1:25">
      <c r="A7" s="257" t="str">
        <f>VLOOKUP(B7,[1]Supplier!$A:$B,2,FALSE)</f>
        <v>SCH019</v>
      </c>
      <c r="B7" s="257" t="s">
        <v>537</v>
      </c>
      <c r="C7" s="258">
        <v>660</v>
      </c>
      <c r="D7" s="259">
        <v>4952.6400000000003</v>
      </c>
      <c r="E7" s="259"/>
      <c r="F7" s="259">
        <v>2476.3200000000002</v>
      </c>
      <c r="G7" s="282">
        <v>2476.3200000000002</v>
      </c>
      <c r="H7" s="261">
        <v>660</v>
      </c>
      <c r="I7" s="262">
        <v>2476.3200000000002</v>
      </c>
      <c r="J7" s="263">
        <f t="shared" si="0"/>
        <v>4952.6400000000003</v>
      </c>
      <c r="K7" s="257">
        <v>8</v>
      </c>
      <c r="L7" s="257">
        <v>11</v>
      </c>
      <c r="M7" s="257">
        <v>975</v>
      </c>
      <c r="N7" s="264">
        <v>9145.5</v>
      </c>
      <c r="O7" s="264">
        <v>1089.75</v>
      </c>
      <c r="P7" s="264">
        <v>10235.25</v>
      </c>
      <c r="Q7" s="257">
        <v>660</v>
      </c>
      <c r="R7" s="264">
        <v>6190.8</v>
      </c>
      <c r="S7" s="264">
        <v>0</v>
      </c>
      <c r="T7" s="264">
        <v>6190.8</v>
      </c>
      <c r="U7" s="257">
        <v>1635</v>
      </c>
      <c r="V7" s="264">
        <v>16426.05</v>
      </c>
      <c r="W7" s="264">
        <v>4952.6400000000003</v>
      </c>
      <c r="X7" s="264">
        <v>0</v>
      </c>
      <c r="Y7" s="264">
        <v>11473.41</v>
      </c>
    </row>
    <row r="8" spans="1:25">
      <c r="A8" s="257" t="str">
        <f>VLOOKUP(B8,[1]Supplier!$A:$B,2,FALSE)</f>
        <v>SCH022</v>
      </c>
      <c r="B8" s="257" t="s">
        <v>538</v>
      </c>
      <c r="C8" s="258"/>
      <c r="D8" s="259">
        <v>0</v>
      </c>
      <c r="E8" s="259"/>
      <c r="F8" s="259">
        <v>0</v>
      </c>
      <c r="G8" s="282">
        <v>0</v>
      </c>
      <c r="H8" s="261"/>
      <c r="I8" s="262">
        <v>0</v>
      </c>
      <c r="J8" s="263">
        <f t="shared" si="0"/>
        <v>0</v>
      </c>
      <c r="K8" s="257">
        <v>3</v>
      </c>
      <c r="L8" s="257">
        <v>11</v>
      </c>
      <c r="M8" s="257">
        <v>0</v>
      </c>
      <c r="N8" s="264">
        <v>0</v>
      </c>
      <c r="O8" s="264">
        <v>0</v>
      </c>
      <c r="P8" s="264">
        <v>0</v>
      </c>
      <c r="Q8" s="257">
        <v>495</v>
      </c>
      <c r="R8" s="264">
        <v>4643.1000000000004</v>
      </c>
      <c r="S8" s="264">
        <v>0</v>
      </c>
      <c r="T8" s="264">
        <v>4643.1000000000004</v>
      </c>
      <c r="U8" s="257">
        <v>495</v>
      </c>
      <c r="V8" s="264">
        <v>4643.1000000000004</v>
      </c>
      <c r="W8" s="264">
        <v>0</v>
      </c>
      <c r="X8" s="264">
        <v>0</v>
      </c>
      <c r="Y8" s="264">
        <v>4643.1000000000004</v>
      </c>
    </row>
    <row r="9" spans="1:25">
      <c r="A9" s="257" t="str">
        <f>VLOOKUP(B9,[1]Supplier!$A:$B,2,FALSE)</f>
        <v>SCH027</v>
      </c>
      <c r="B9" s="257" t="s">
        <v>522</v>
      </c>
      <c r="C9" s="258">
        <v>3109.2</v>
      </c>
      <c r="D9" s="259">
        <v>23331.439999999999</v>
      </c>
      <c r="E9" s="259"/>
      <c r="F9" s="259">
        <v>11665.72</v>
      </c>
      <c r="G9" s="282">
        <v>11665.72</v>
      </c>
      <c r="H9" s="261">
        <v>3109.2</v>
      </c>
      <c r="I9" s="262">
        <v>11665.72</v>
      </c>
      <c r="J9" s="263">
        <f t="shared" si="0"/>
        <v>23331.439999999999</v>
      </c>
      <c r="K9" s="257">
        <v>18</v>
      </c>
      <c r="L9" s="257">
        <v>11.4</v>
      </c>
      <c r="M9" s="257">
        <v>1446</v>
      </c>
      <c r="N9" s="264">
        <v>13563.48</v>
      </c>
      <c r="O9" s="264">
        <v>2016.06</v>
      </c>
      <c r="P9" s="264">
        <v>15579.54</v>
      </c>
      <c r="Q9" s="257">
        <v>1663.2</v>
      </c>
      <c r="R9" s="264">
        <v>15600.81</v>
      </c>
      <c r="S9" s="264">
        <v>0</v>
      </c>
      <c r="T9" s="264">
        <v>15600.81</v>
      </c>
      <c r="U9" s="257">
        <v>3109.2</v>
      </c>
      <c r="V9" s="264">
        <v>31180.35</v>
      </c>
      <c r="W9" s="264">
        <v>23331.439999999999</v>
      </c>
      <c r="X9" s="264">
        <v>337.68</v>
      </c>
      <c r="Y9" s="264">
        <v>8186.59</v>
      </c>
    </row>
    <row r="10" spans="1:25">
      <c r="A10" s="257" t="str">
        <f>VLOOKUP(B10,[1]Supplier!$A:$B,2,FALSE)</f>
        <v>SCH028</v>
      </c>
      <c r="B10" s="257" t="s">
        <v>523</v>
      </c>
      <c r="C10" s="258"/>
      <c r="D10" s="259">
        <v>0</v>
      </c>
      <c r="E10" s="259"/>
      <c r="F10" s="259">
        <v>0</v>
      </c>
      <c r="G10" s="282">
        <v>0</v>
      </c>
      <c r="H10" s="261"/>
      <c r="I10" s="262">
        <v>0</v>
      </c>
      <c r="J10" s="263">
        <f t="shared" si="0"/>
        <v>0</v>
      </c>
      <c r="K10" s="257">
        <v>0</v>
      </c>
      <c r="L10" s="257">
        <v>11</v>
      </c>
      <c r="M10" s="257">
        <v>0</v>
      </c>
      <c r="N10" s="264">
        <v>0</v>
      </c>
      <c r="O10" s="264">
        <v>0</v>
      </c>
      <c r="P10" s="264">
        <v>0</v>
      </c>
      <c r="Q10" s="257">
        <v>0</v>
      </c>
      <c r="R10" s="264">
        <v>0</v>
      </c>
      <c r="S10" s="264">
        <v>0</v>
      </c>
      <c r="T10" s="264">
        <v>0</v>
      </c>
      <c r="V10" s="264">
        <v>0</v>
      </c>
      <c r="W10" s="264">
        <v>0</v>
      </c>
      <c r="X10" s="264">
        <v>0</v>
      </c>
      <c r="Y10" s="264">
        <v>0</v>
      </c>
    </row>
    <row r="11" spans="1:25">
      <c r="A11" s="257" t="str">
        <f>VLOOKUP(B11,[1]Supplier!$A:$B,2,FALSE)</f>
        <v>SCH029</v>
      </c>
      <c r="B11" s="257" t="s">
        <v>524</v>
      </c>
      <c r="C11" s="258">
        <v>660</v>
      </c>
      <c r="D11" s="259">
        <v>4952.6400000000003</v>
      </c>
      <c r="E11" s="259"/>
      <c r="F11" s="259">
        <v>2476.3200000000002</v>
      </c>
      <c r="G11" s="282">
        <v>2476.3200000000002</v>
      </c>
      <c r="H11" s="261">
        <v>660</v>
      </c>
      <c r="I11" s="262">
        <v>2476.3200000000002</v>
      </c>
      <c r="J11" s="263">
        <f t="shared" si="0"/>
        <v>4952.6400000000003</v>
      </c>
      <c r="K11" s="257">
        <v>25</v>
      </c>
      <c r="L11" s="257">
        <v>11</v>
      </c>
      <c r="M11" s="257">
        <v>660</v>
      </c>
      <c r="N11" s="264">
        <v>6190.8</v>
      </c>
      <c r="O11" s="264">
        <v>732.6</v>
      </c>
      <c r="P11" s="264">
        <v>6923.4</v>
      </c>
      <c r="Q11" s="257">
        <v>6930</v>
      </c>
      <c r="R11" s="264">
        <v>65003.4</v>
      </c>
      <c r="S11" s="264">
        <v>165</v>
      </c>
      <c r="T11" s="264">
        <v>65168.4</v>
      </c>
      <c r="U11" s="257">
        <v>7590</v>
      </c>
      <c r="V11" s="264">
        <v>72091.8</v>
      </c>
      <c r="W11" s="264">
        <v>4952.6400000000003</v>
      </c>
      <c r="X11" s="264">
        <v>0</v>
      </c>
      <c r="Y11" s="264">
        <v>67139.16</v>
      </c>
    </row>
    <row r="12" spans="1:25">
      <c r="A12" s="257" t="str">
        <f>VLOOKUP(B12,[1]Supplier!$A:$B,2,FALSE)</f>
        <v>SCH031</v>
      </c>
      <c r="B12" s="257" t="s">
        <v>539</v>
      </c>
      <c r="C12" s="258"/>
      <c r="D12" s="259">
        <v>0</v>
      </c>
      <c r="E12" s="259"/>
      <c r="F12" s="259">
        <v>0</v>
      </c>
      <c r="G12" s="282">
        <v>0</v>
      </c>
      <c r="H12" s="261"/>
      <c r="I12" s="262">
        <v>0</v>
      </c>
      <c r="J12" s="263">
        <f t="shared" si="0"/>
        <v>0</v>
      </c>
      <c r="K12" s="257">
        <v>20</v>
      </c>
      <c r="L12" s="257">
        <v>11</v>
      </c>
      <c r="M12" s="257">
        <v>960</v>
      </c>
      <c r="N12" s="264">
        <v>9004.7999999999993</v>
      </c>
      <c r="O12" s="264">
        <v>915.6</v>
      </c>
      <c r="P12" s="264">
        <v>9920.4</v>
      </c>
      <c r="Q12" s="257">
        <v>4620</v>
      </c>
      <c r="R12" s="264">
        <v>43335.6</v>
      </c>
      <c r="S12" s="264">
        <v>0</v>
      </c>
      <c r="T12" s="264">
        <v>43335.6</v>
      </c>
      <c r="U12" s="257">
        <v>5580</v>
      </c>
      <c r="V12" s="264">
        <v>53256</v>
      </c>
      <c r="W12" s="264">
        <v>0</v>
      </c>
      <c r="X12" s="264">
        <v>0</v>
      </c>
      <c r="Y12" s="264">
        <v>53256</v>
      </c>
    </row>
    <row r="13" spans="1:25">
      <c r="A13" s="257" t="str">
        <f>VLOOKUP(B13,[1]Supplier!$A:$B,2,FALSE)</f>
        <v>SCH032</v>
      </c>
      <c r="B13" s="257" t="s">
        <v>540</v>
      </c>
      <c r="C13" s="258"/>
      <c r="D13" s="259">
        <v>0</v>
      </c>
      <c r="E13" s="259"/>
      <c r="F13" s="259">
        <v>0</v>
      </c>
      <c r="G13" s="282">
        <v>0</v>
      </c>
      <c r="H13" s="261"/>
      <c r="I13" s="262">
        <v>0</v>
      </c>
      <c r="J13" s="263">
        <f t="shared" si="0"/>
        <v>0</v>
      </c>
      <c r="K13" s="257">
        <v>0</v>
      </c>
      <c r="L13" s="257">
        <v>11</v>
      </c>
      <c r="M13" s="257">
        <v>0</v>
      </c>
      <c r="N13" s="264">
        <v>0</v>
      </c>
      <c r="O13" s="264">
        <v>0</v>
      </c>
      <c r="P13" s="264">
        <v>0</v>
      </c>
      <c r="Q13" s="257">
        <v>0</v>
      </c>
      <c r="R13" s="264">
        <v>0</v>
      </c>
      <c r="S13" s="264">
        <v>0</v>
      </c>
      <c r="T13" s="264">
        <v>0</v>
      </c>
      <c r="V13" s="264">
        <v>0</v>
      </c>
      <c r="W13" s="264">
        <v>0</v>
      </c>
      <c r="X13" s="264">
        <v>0</v>
      </c>
      <c r="Y13" s="264">
        <v>0</v>
      </c>
    </row>
    <row r="14" spans="1:25">
      <c r="A14" s="257" t="str">
        <f>VLOOKUP(B14,[1]Supplier!$A:$B,2,FALSE)</f>
        <v>SCH033</v>
      </c>
      <c r="B14" s="257" t="s">
        <v>541</v>
      </c>
      <c r="C14" s="258"/>
      <c r="D14" s="259">
        <v>0</v>
      </c>
      <c r="E14" s="259"/>
      <c r="F14" s="259">
        <v>0</v>
      </c>
      <c r="G14" s="282">
        <v>0</v>
      </c>
      <c r="H14" s="261"/>
      <c r="I14" s="262">
        <v>0</v>
      </c>
      <c r="J14" s="263">
        <f t="shared" si="0"/>
        <v>0</v>
      </c>
      <c r="K14" s="257">
        <v>0</v>
      </c>
      <c r="L14" s="257">
        <v>11</v>
      </c>
      <c r="M14" s="257">
        <v>0</v>
      </c>
      <c r="N14" s="264">
        <v>0</v>
      </c>
      <c r="O14" s="264">
        <v>0</v>
      </c>
      <c r="P14" s="264">
        <v>0</v>
      </c>
      <c r="Q14" s="257">
        <v>0</v>
      </c>
      <c r="R14" s="264">
        <v>0</v>
      </c>
      <c r="S14" s="264">
        <v>0</v>
      </c>
      <c r="T14" s="264">
        <v>0</v>
      </c>
      <c r="V14" s="264">
        <v>0</v>
      </c>
      <c r="W14" s="264">
        <v>0</v>
      </c>
      <c r="X14" s="264">
        <v>0</v>
      </c>
      <c r="Y14" s="264">
        <v>0</v>
      </c>
    </row>
    <row r="15" spans="1:25">
      <c r="A15" s="257" t="str">
        <f>VLOOKUP(B15,[1]Supplier!$A:$B,2,FALSE)</f>
        <v>SCH035</v>
      </c>
      <c r="B15" s="257" t="s">
        <v>542</v>
      </c>
      <c r="C15" s="258">
        <v>270</v>
      </c>
      <c r="D15" s="259">
        <v>2026.08</v>
      </c>
      <c r="E15" s="259"/>
      <c r="F15" s="259">
        <v>1013.04</v>
      </c>
      <c r="G15" s="282">
        <v>1013.04</v>
      </c>
      <c r="H15" s="261">
        <v>270</v>
      </c>
      <c r="I15" s="262">
        <v>1013.04</v>
      </c>
      <c r="J15" s="263">
        <f t="shared" si="0"/>
        <v>2026.08</v>
      </c>
      <c r="K15" s="257">
        <v>2</v>
      </c>
      <c r="L15" s="257">
        <v>13</v>
      </c>
      <c r="M15" s="257">
        <v>0</v>
      </c>
      <c r="N15" s="264">
        <v>0</v>
      </c>
      <c r="O15" s="264">
        <v>0</v>
      </c>
      <c r="P15" s="264">
        <v>0</v>
      </c>
      <c r="Q15" s="257">
        <v>420</v>
      </c>
      <c r="R15" s="264">
        <v>3939.6</v>
      </c>
      <c r="S15" s="264">
        <v>135</v>
      </c>
      <c r="T15" s="264">
        <v>4074.6</v>
      </c>
      <c r="U15" s="257">
        <v>420</v>
      </c>
      <c r="V15" s="264">
        <v>4074.6</v>
      </c>
      <c r="W15" s="264">
        <v>2026.08</v>
      </c>
      <c r="X15" s="264">
        <v>0</v>
      </c>
      <c r="Y15" s="264">
        <v>2048.52</v>
      </c>
    </row>
    <row r="16" spans="1:25">
      <c r="A16" s="257" t="str">
        <f>VLOOKUP(B16,[1]Supplier!$A:$B,2,FALSE)</f>
        <v>SCH038</v>
      </c>
      <c r="B16" s="257" t="s">
        <v>525</v>
      </c>
      <c r="C16" s="258"/>
      <c r="D16" s="259">
        <v>0</v>
      </c>
      <c r="E16" s="259"/>
      <c r="F16" s="259">
        <v>0</v>
      </c>
      <c r="G16" s="282">
        <v>0</v>
      </c>
      <c r="H16" s="261"/>
      <c r="I16" s="262">
        <v>0</v>
      </c>
      <c r="J16" s="263">
        <f t="shared" si="0"/>
        <v>0</v>
      </c>
      <c r="K16" s="257">
        <v>0</v>
      </c>
      <c r="L16" s="257">
        <v>11</v>
      </c>
      <c r="M16" s="257">
        <v>0</v>
      </c>
      <c r="N16" s="264">
        <v>0</v>
      </c>
      <c r="O16" s="264">
        <v>0</v>
      </c>
      <c r="P16" s="264">
        <v>0</v>
      </c>
      <c r="Q16" s="257">
        <v>0</v>
      </c>
      <c r="R16" s="264">
        <v>0</v>
      </c>
      <c r="S16" s="264">
        <v>0</v>
      </c>
      <c r="T16" s="264">
        <v>0</v>
      </c>
      <c r="V16" s="264">
        <v>0</v>
      </c>
      <c r="W16" s="264">
        <v>0</v>
      </c>
      <c r="X16" s="264">
        <v>0</v>
      </c>
      <c r="Y16" s="264">
        <v>0</v>
      </c>
    </row>
    <row r="17" spans="1:25">
      <c r="A17" s="257" t="str">
        <f>VLOOKUP(B17,[1]Supplier!$A:$B,2,FALSE)</f>
        <v>SCH039</v>
      </c>
      <c r="B17" s="257" t="s">
        <v>543</v>
      </c>
      <c r="C17" s="258"/>
      <c r="D17" s="259">
        <v>0</v>
      </c>
      <c r="E17" s="259"/>
      <c r="F17" s="259">
        <v>0</v>
      </c>
      <c r="G17" s="282">
        <v>0</v>
      </c>
      <c r="H17" s="261"/>
      <c r="I17" s="262">
        <v>0</v>
      </c>
      <c r="J17" s="263">
        <f t="shared" si="0"/>
        <v>0</v>
      </c>
      <c r="K17" s="257">
        <v>0</v>
      </c>
      <c r="L17" s="257">
        <v>11</v>
      </c>
      <c r="M17" s="257">
        <v>0</v>
      </c>
      <c r="N17" s="264">
        <v>0</v>
      </c>
      <c r="O17" s="264">
        <v>0</v>
      </c>
      <c r="P17" s="264">
        <v>0</v>
      </c>
      <c r="Q17" s="257">
        <v>0</v>
      </c>
      <c r="R17" s="264">
        <v>0</v>
      </c>
      <c r="S17" s="264">
        <v>0</v>
      </c>
      <c r="T17" s="264">
        <v>0</v>
      </c>
      <c r="V17" s="264">
        <v>0</v>
      </c>
      <c r="W17" s="264">
        <v>0</v>
      </c>
      <c r="X17" s="264">
        <v>0</v>
      </c>
      <c r="Y17" s="264">
        <v>0</v>
      </c>
    </row>
    <row r="18" spans="1:25">
      <c r="A18" s="257" t="str">
        <f>VLOOKUP(B18,[1]Supplier!$A:$B,2,FALSE)</f>
        <v>SCH045</v>
      </c>
      <c r="B18" s="257" t="s">
        <v>544</v>
      </c>
      <c r="C18" s="258">
        <v>5775</v>
      </c>
      <c r="D18" s="259">
        <v>43335.6</v>
      </c>
      <c r="E18" s="259"/>
      <c r="F18" s="259">
        <v>21667.8</v>
      </c>
      <c r="G18" s="282">
        <v>21667.8</v>
      </c>
      <c r="H18" s="261">
        <v>5745</v>
      </c>
      <c r="I18" s="262">
        <v>21442.68</v>
      </c>
      <c r="J18" s="263">
        <f t="shared" si="0"/>
        <v>43110.479999999996</v>
      </c>
      <c r="K18" s="257">
        <v>24</v>
      </c>
      <c r="L18" s="257">
        <v>11</v>
      </c>
      <c r="M18" s="257">
        <v>1245</v>
      </c>
      <c r="N18" s="264">
        <v>11678.1</v>
      </c>
      <c r="O18" s="264">
        <v>2004.45</v>
      </c>
      <c r="P18" s="264">
        <v>13682.55</v>
      </c>
      <c r="Q18" s="257">
        <v>4509</v>
      </c>
      <c r="R18" s="264">
        <v>42294.42</v>
      </c>
      <c r="S18" s="264">
        <v>0</v>
      </c>
      <c r="T18" s="264">
        <v>42294.42</v>
      </c>
      <c r="U18" s="257">
        <v>5754</v>
      </c>
      <c r="V18" s="264">
        <v>55976.97</v>
      </c>
      <c r="W18" s="264">
        <v>43110.48</v>
      </c>
      <c r="X18" s="264">
        <v>0</v>
      </c>
      <c r="Y18" s="264">
        <v>12866.49</v>
      </c>
    </row>
    <row r="19" spans="1:25">
      <c r="A19" s="257" t="e">
        <f>VLOOKUP(B19,[1]Supplier!$A:$B,2,FALSE)</f>
        <v>#N/A</v>
      </c>
      <c r="B19" s="257" t="s">
        <v>545</v>
      </c>
      <c r="C19" s="258">
        <v>2310</v>
      </c>
      <c r="D19" s="259">
        <v>17334.240000000002</v>
      </c>
      <c r="E19" s="259"/>
      <c r="F19" s="259">
        <v>8667.1200000000008</v>
      </c>
      <c r="G19" s="282">
        <v>8667.1200000000008</v>
      </c>
      <c r="H19" s="261">
        <v>2310</v>
      </c>
      <c r="I19" s="262">
        <v>8667.1200000000008</v>
      </c>
      <c r="J19" s="263">
        <f t="shared" si="0"/>
        <v>17334.240000000002</v>
      </c>
      <c r="K19" s="257">
        <v>7</v>
      </c>
      <c r="L19" s="257">
        <v>11</v>
      </c>
      <c r="M19" s="257">
        <v>0</v>
      </c>
      <c r="N19" s="264">
        <v>0</v>
      </c>
      <c r="O19" s="264">
        <v>0</v>
      </c>
      <c r="P19" s="264">
        <v>0</v>
      </c>
      <c r="Q19" s="257">
        <v>2310</v>
      </c>
      <c r="R19" s="264">
        <v>21667.8</v>
      </c>
      <c r="S19" s="264">
        <v>0</v>
      </c>
      <c r="T19" s="264">
        <v>21667.8</v>
      </c>
      <c r="U19" s="257">
        <v>2310</v>
      </c>
      <c r="V19" s="264">
        <v>21667.8</v>
      </c>
      <c r="W19" s="264">
        <v>17334.240000000002</v>
      </c>
      <c r="X19" s="264">
        <v>3658.2</v>
      </c>
      <c r="Y19" s="264">
        <v>7991.76</v>
      </c>
    </row>
    <row r="20" spans="1:25">
      <c r="A20" s="257" t="str">
        <f>VLOOKUP(B20,[1]Supplier!$A:$B,2,FALSE)</f>
        <v>SCH047</v>
      </c>
      <c r="B20" s="257" t="s">
        <v>546</v>
      </c>
      <c r="C20" s="258"/>
      <c r="D20" s="259">
        <v>0</v>
      </c>
      <c r="E20" s="259"/>
      <c r="F20" s="259">
        <v>0</v>
      </c>
      <c r="G20" s="282">
        <v>0</v>
      </c>
      <c r="H20" s="261"/>
      <c r="I20" s="262">
        <v>0</v>
      </c>
      <c r="J20" s="263">
        <f t="shared" si="0"/>
        <v>0</v>
      </c>
      <c r="K20" s="257">
        <v>16</v>
      </c>
      <c r="L20" s="257">
        <v>11</v>
      </c>
      <c r="M20" s="257">
        <v>1650</v>
      </c>
      <c r="N20" s="264">
        <v>15477</v>
      </c>
      <c r="O20" s="264">
        <v>1996.5</v>
      </c>
      <c r="P20" s="264">
        <v>17473.5</v>
      </c>
      <c r="Q20" s="257">
        <v>1815</v>
      </c>
      <c r="R20" s="264">
        <v>17024.7</v>
      </c>
      <c r="S20" s="264">
        <v>0</v>
      </c>
      <c r="T20" s="264">
        <v>17024.7</v>
      </c>
      <c r="U20" s="257">
        <v>3465</v>
      </c>
      <c r="V20" s="264">
        <v>34498.199999999997</v>
      </c>
      <c r="W20" s="264">
        <v>0</v>
      </c>
      <c r="X20" s="264">
        <v>0</v>
      </c>
      <c r="Y20" s="264">
        <v>34498.199999999997</v>
      </c>
    </row>
    <row r="21" spans="1:25">
      <c r="A21" s="257" t="str">
        <f>VLOOKUP(B21,[1]Supplier!$A:$B,2,FALSE)</f>
        <v>SCH049</v>
      </c>
      <c r="B21" s="257" t="s">
        <v>547</v>
      </c>
      <c r="C21" s="258"/>
      <c r="D21" s="259">
        <v>0</v>
      </c>
      <c r="E21" s="259"/>
      <c r="F21" s="259">
        <v>0</v>
      </c>
      <c r="G21" s="282">
        <v>0</v>
      </c>
      <c r="H21" s="261"/>
      <c r="I21" s="262">
        <v>0</v>
      </c>
      <c r="J21" s="263">
        <f t="shared" si="0"/>
        <v>0</v>
      </c>
      <c r="K21" s="257">
        <v>16</v>
      </c>
      <c r="L21" s="257">
        <v>11</v>
      </c>
      <c r="M21" s="257">
        <v>1107</v>
      </c>
      <c r="N21" s="264">
        <v>10383.66</v>
      </c>
      <c r="O21" s="264">
        <v>933.9</v>
      </c>
      <c r="P21" s="264">
        <v>11317.56</v>
      </c>
      <c r="Q21" s="257">
        <v>2970</v>
      </c>
      <c r="R21" s="264">
        <v>27858.6</v>
      </c>
      <c r="S21" s="264">
        <v>0</v>
      </c>
      <c r="T21" s="264">
        <v>27858.6</v>
      </c>
      <c r="U21" s="257">
        <v>4077</v>
      </c>
      <c r="V21" s="264">
        <v>39176.160000000003</v>
      </c>
      <c r="W21" s="264">
        <v>0</v>
      </c>
      <c r="X21" s="264">
        <v>0</v>
      </c>
      <c r="Y21" s="264">
        <v>39176.160000000003</v>
      </c>
    </row>
    <row r="22" spans="1:25">
      <c r="A22" s="257" t="str">
        <f>VLOOKUP(B22,[1]Supplier!$A:$B,2,FALSE)</f>
        <v>SCH055</v>
      </c>
      <c r="B22" s="257" t="s">
        <v>548</v>
      </c>
      <c r="C22" s="258">
        <v>2310</v>
      </c>
      <c r="D22" s="259">
        <v>17334.240000000002</v>
      </c>
      <c r="E22" s="259"/>
      <c r="F22" s="259">
        <v>8667.1200000000008</v>
      </c>
      <c r="G22" s="282">
        <v>8667.1200000000008</v>
      </c>
      <c r="H22" s="261">
        <v>2310</v>
      </c>
      <c r="I22" s="262">
        <v>8667.1200000000008</v>
      </c>
      <c r="J22" s="263">
        <f t="shared" si="0"/>
        <v>17334.240000000002</v>
      </c>
      <c r="K22" s="257">
        <v>12</v>
      </c>
      <c r="L22" s="257">
        <v>11</v>
      </c>
      <c r="M22" s="257">
        <v>1155</v>
      </c>
      <c r="N22" s="264">
        <v>10833.9</v>
      </c>
      <c r="O22" s="264">
        <v>1529.55</v>
      </c>
      <c r="P22" s="264">
        <v>12363.45</v>
      </c>
      <c r="Q22" s="257">
        <v>1320</v>
      </c>
      <c r="R22" s="264">
        <v>12381.6</v>
      </c>
      <c r="S22" s="264">
        <v>165</v>
      </c>
      <c r="T22" s="264">
        <v>12546.6</v>
      </c>
      <c r="U22" s="257">
        <v>2475</v>
      </c>
      <c r="V22" s="264">
        <v>24910.05</v>
      </c>
      <c r="W22" s="264">
        <v>17334.240000000002</v>
      </c>
      <c r="X22" s="264">
        <v>0</v>
      </c>
      <c r="Y22" s="264">
        <v>7575.81</v>
      </c>
    </row>
    <row r="23" spans="1:25">
      <c r="A23" s="257" t="str">
        <f>VLOOKUP(B23,[1]Supplier!$A:$B,2,FALSE)</f>
        <v>SCH056</v>
      </c>
      <c r="B23" s="257" t="s">
        <v>549</v>
      </c>
      <c r="C23" s="258">
        <v>13365</v>
      </c>
      <c r="D23" s="259">
        <v>100291</v>
      </c>
      <c r="E23" s="259"/>
      <c r="F23" s="259">
        <v>50145.48</v>
      </c>
      <c r="G23" s="282">
        <v>50145.48</v>
      </c>
      <c r="H23" s="261">
        <v>13365</v>
      </c>
      <c r="I23" s="262">
        <v>50145.48</v>
      </c>
      <c r="J23" s="263">
        <f t="shared" si="0"/>
        <v>100290.96</v>
      </c>
      <c r="K23" s="257">
        <v>42</v>
      </c>
      <c r="L23" s="257">
        <v>11</v>
      </c>
      <c r="M23" s="257">
        <v>495</v>
      </c>
      <c r="N23" s="264">
        <v>4643.1000000000004</v>
      </c>
      <c r="O23" s="264">
        <v>301.95</v>
      </c>
      <c r="P23" s="264">
        <v>4945.05</v>
      </c>
      <c r="Q23" s="257">
        <v>12870</v>
      </c>
      <c r="R23" s="264">
        <v>120720.6</v>
      </c>
      <c r="S23" s="264">
        <v>165</v>
      </c>
      <c r="T23" s="264">
        <v>120885.6</v>
      </c>
      <c r="U23" s="257">
        <v>13365</v>
      </c>
      <c r="V23" s="264">
        <v>125830.6</v>
      </c>
      <c r="W23" s="264">
        <v>100291</v>
      </c>
      <c r="X23" s="264">
        <v>0</v>
      </c>
      <c r="Y23" s="264">
        <v>25539.69</v>
      </c>
    </row>
    <row r="24" spans="1:25">
      <c r="A24" s="257" t="str">
        <f>VLOOKUP(B24,[1]Supplier!$A:$B,2,FALSE)</f>
        <v>SCH058</v>
      </c>
      <c r="B24" s="257" t="s">
        <v>550</v>
      </c>
      <c r="C24" s="258">
        <v>2805</v>
      </c>
      <c r="D24" s="259">
        <v>21048.720000000001</v>
      </c>
      <c r="E24" s="259"/>
      <c r="F24" s="259">
        <v>10524.36</v>
      </c>
      <c r="G24" s="282">
        <v>10524.36</v>
      </c>
      <c r="H24" s="261">
        <v>2805</v>
      </c>
      <c r="I24" s="262">
        <v>10524.36</v>
      </c>
      <c r="J24" s="263">
        <f t="shared" si="0"/>
        <v>21048.720000000001</v>
      </c>
      <c r="K24" s="257">
        <v>13</v>
      </c>
      <c r="L24" s="257">
        <v>11</v>
      </c>
      <c r="M24" s="257">
        <v>1650</v>
      </c>
      <c r="N24" s="264">
        <v>15477</v>
      </c>
      <c r="O24" s="264">
        <v>2161.5</v>
      </c>
      <c r="P24" s="264">
        <v>17638.5</v>
      </c>
      <c r="Q24" s="257">
        <v>1155</v>
      </c>
      <c r="R24" s="264">
        <v>10833.9</v>
      </c>
      <c r="S24" s="264">
        <v>0</v>
      </c>
      <c r="T24" s="264">
        <v>10833.9</v>
      </c>
      <c r="U24" s="257">
        <v>2805</v>
      </c>
      <c r="V24" s="264">
        <v>28472.400000000001</v>
      </c>
      <c r="W24" s="264">
        <v>21048.720000000001</v>
      </c>
      <c r="X24" s="264">
        <v>0</v>
      </c>
      <c r="Y24" s="264">
        <v>7423.68</v>
      </c>
    </row>
    <row r="25" spans="1:25">
      <c r="A25" s="257" t="str">
        <f>VLOOKUP(B25,[1]Supplier!$A:$B,2,FALSE)</f>
        <v>SCH083</v>
      </c>
      <c r="B25" s="257" t="s">
        <v>526</v>
      </c>
      <c r="C25" s="258"/>
      <c r="D25" s="259">
        <v>0</v>
      </c>
      <c r="E25" s="259"/>
      <c r="F25" s="259">
        <v>0</v>
      </c>
      <c r="G25" s="282">
        <v>0</v>
      </c>
      <c r="H25" s="261"/>
      <c r="I25" s="262">
        <v>0</v>
      </c>
      <c r="J25" s="263">
        <f t="shared" si="0"/>
        <v>0</v>
      </c>
      <c r="K25" s="257">
        <v>1</v>
      </c>
      <c r="L25" s="257">
        <v>11</v>
      </c>
      <c r="M25" s="257">
        <v>0</v>
      </c>
      <c r="N25" s="264">
        <v>0</v>
      </c>
      <c r="O25" s="264">
        <v>0</v>
      </c>
      <c r="P25" s="264">
        <v>0</v>
      </c>
      <c r="Q25" s="257">
        <v>330</v>
      </c>
      <c r="R25" s="264">
        <v>3095.4</v>
      </c>
      <c r="S25" s="264">
        <v>0</v>
      </c>
      <c r="T25" s="264">
        <v>3095.4</v>
      </c>
      <c r="U25" s="257">
        <v>330</v>
      </c>
      <c r="V25" s="264">
        <v>3095.4</v>
      </c>
      <c r="W25" s="264">
        <v>0</v>
      </c>
      <c r="X25" s="264">
        <v>0</v>
      </c>
      <c r="Y25" s="264">
        <v>3095.4</v>
      </c>
    </row>
    <row r="26" spans="1:25">
      <c r="A26" s="257" t="str">
        <f>VLOOKUP(B26,[1]Supplier!$A:$B,2,FALSE)</f>
        <v>SCH061</v>
      </c>
      <c r="B26" s="257" t="s">
        <v>527</v>
      </c>
      <c r="C26" s="258">
        <v>1043</v>
      </c>
      <c r="D26" s="259">
        <v>7826.67</v>
      </c>
      <c r="E26" s="259"/>
      <c r="F26" s="259">
        <v>3913.34</v>
      </c>
      <c r="G26" s="282">
        <v>3913.34</v>
      </c>
      <c r="H26" s="261">
        <v>1043</v>
      </c>
      <c r="I26" s="262">
        <v>3913.33</v>
      </c>
      <c r="J26" s="263">
        <f t="shared" si="0"/>
        <v>7826.67</v>
      </c>
      <c r="K26" s="257">
        <v>6</v>
      </c>
      <c r="L26" s="257">
        <v>11</v>
      </c>
      <c r="M26" s="257">
        <v>0</v>
      </c>
      <c r="N26" s="264">
        <v>0</v>
      </c>
      <c r="O26" s="264">
        <v>0</v>
      </c>
      <c r="P26" s="264">
        <v>0</v>
      </c>
      <c r="Q26" s="257">
        <v>1088.3900000000001</v>
      </c>
      <c r="R26" s="264">
        <v>10209.09</v>
      </c>
      <c r="S26" s="264">
        <v>0</v>
      </c>
      <c r="T26" s="264">
        <v>10209.09</v>
      </c>
      <c r="U26" s="257">
        <v>1088.3900000000001</v>
      </c>
      <c r="V26" s="264">
        <v>10209.09</v>
      </c>
      <c r="W26" s="264">
        <v>7826.67</v>
      </c>
      <c r="X26" s="264">
        <v>0</v>
      </c>
      <c r="Y26" s="264">
        <v>2382.42</v>
      </c>
    </row>
    <row r="27" spans="1:25">
      <c r="A27" s="257" t="str">
        <f>VLOOKUP(B27,[1]Supplier!$A:$B,2,FALSE)</f>
        <v>SCH062</v>
      </c>
      <c r="B27" s="257" t="s">
        <v>551</v>
      </c>
      <c r="C27" s="258"/>
      <c r="D27" s="259">
        <v>0</v>
      </c>
      <c r="E27" s="259"/>
      <c r="F27" s="259">
        <v>0</v>
      </c>
      <c r="G27" s="282">
        <v>0</v>
      </c>
      <c r="H27" s="261"/>
      <c r="I27" s="262">
        <v>0</v>
      </c>
      <c r="J27" s="263">
        <f t="shared" si="0"/>
        <v>0</v>
      </c>
      <c r="K27" s="257">
        <v>0</v>
      </c>
      <c r="L27" s="257">
        <v>11</v>
      </c>
      <c r="M27" s="257">
        <v>0</v>
      </c>
      <c r="N27" s="264">
        <v>0</v>
      </c>
      <c r="O27" s="264">
        <v>0</v>
      </c>
      <c r="P27" s="264">
        <v>0</v>
      </c>
      <c r="Q27" s="257">
        <v>0</v>
      </c>
      <c r="R27" s="264">
        <v>0</v>
      </c>
      <c r="S27" s="264">
        <v>0</v>
      </c>
      <c r="T27" s="264">
        <v>0</v>
      </c>
      <c r="V27" s="264">
        <v>0</v>
      </c>
      <c r="W27" s="264">
        <v>0</v>
      </c>
      <c r="X27" s="264">
        <v>0</v>
      </c>
      <c r="Y27" s="264">
        <v>0</v>
      </c>
    </row>
    <row r="28" spans="1:25">
      <c r="A28" s="257" t="str">
        <f>VLOOKUP(B28,[1]Supplier!$A:$B,2,FALSE)</f>
        <v>SCH065</v>
      </c>
      <c r="B28" s="257" t="s">
        <v>552</v>
      </c>
      <c r="C28" s="258"/>
      <c r="D28" s="259">
        <v>0</v>
      </c>
      <c r="E28" s="259"/>
      <c r="F28" s="259">
        <v>0</v>
      </c>
      <c r="G28" s="282">
        <v>0</v>
      </c>
      <c r="H28" s="261"/>
      <c r="I28" s="262">
        <v>0</v>
      </c>
      <c r="J28" s="263">
        <f t="shared" si="0"/>
        <v>0</v>
      </c>
      <c r="K28" s="257">
        <v>30</v>
      </c>
      <c r="L28" s="257">
        <v>11</v>
      </c>
      <c r="M28" s="257">
        <v>2700</v>
      </c>
      <c r="N28" s="264">
        <v>25326</v>
      </c>
      <c r="O28" s="264">
        <v>3297</v>
      </c>
      <c r="P28" s="264">
        <v>28623</v>
      </c>
      <c r="Q28" s="257">
        <v>4290</v>
      </c>
      <c r="R28" s="264">
        <v>40240.199999999997</v>
      </c>
      <c r="S28" s="264">
        <v>165</v>
      </c>
      <c r="T28" s="264">
        <v>40405.199999999997</v>
      </c>
      <c r="U28" s="257">
        <v>6990</v>
      </c>
      <c r="V28" s="264">
        <v>69028.2</v>
      </c>
      <c r="W28" s="264">
        <v>0</v>
      </c>
      <c r="X28" s="264">
        <v>0</v>
      </c>
      <c r="Y28" s="264">
        <v>69028.2</v>
      </c>
    </row>
    <row r="29" spans="1:25">
      <c r="A29" s="257" t="str">
        <f>VLOOKUP(B29,[1]Supplier!$A:$B,2,FALSE)</f>
        <v>SCH084</v>
      </c>
      <c r="B29" s="257" t="s">
        <v>553</v>
      </c>
      <c r="C29" s="258"/>
      <c r="D29" s="259">
        <v>0</v>
      </c>
      <c r="E29" s="259"/>
      <c r="F29" s="259">
        <v>0</v>
      </c>
      <c r="G29" s="282">
        <v>0</v>
      </c>
      <c r="H29" s="261"/>
      <c r="I29" s="262">
        <v>0</v>
      </c>
      <c r="J29" s="263">
        <f t="shared" si="0"/>
        <v>0</v>
      </c>
      <c r="K29" s="257">
        <v>0</v>
      </c>
      <c r="L29" s="257">
        <v>11</v>
      </c>
      <c r="M29" s="257">
        <v>0</v>
      </c>
      <c r="N29" s="264">
        <v>0</v>
      </c>
      <c r="O29" s="264">
        <v>0</v>
      </c>
      <c r="P29" s="264">
        <v>0</v>
      </c>
      <c r="Q29" s="257">
        <v>0</v>
      </c>
      <c r="R29" s="264">
        <v>0</v>
      </c>
      <c r="S29" s="264">
        <v>0</v>
      </c>
      <c r="T29" s="264">
        <v>0</v>
      </c>
      <c r="V29" s="264">
        <v>0</v>
      </c>
      <c r="W29" s="264">
        <v>0</v>
      </c>
      <c r="X29" s="264">
        <v>0</v>
      </c>
      <c r="Y29" s="264">
        <v>0</v>
      </c>
    </row>
    <row r="30" spans="1:25">
      <c r="A30" s="257" t="str">
        <f>VLOOKUP(B30,[1]Supplier!$A:$B,2,FALSE)</f>
        <v>SCH085</v>
      </c>
      <c r="B30" s="257" t="s">
        <v>554</v>
      </c>
      <c r="C30" s="258"/>
      <c r="D30" s="259">
        <v>0</v>
      </c>
      <c r="E30" s="259"/>
      <c r="F30" s="259">
        <v>0</v>
      </c>
      <c r="G30" s="282">
        <v>0</v>
      </c>
      <c r="H30" s="261"/>
      <c r="I30" s="262">
        <v>0</v>
      </c>
      <c r="J30" s="263">
        <f t="shared" si="0"/>
        <v>0</v>
      </c>
      <c r="K30" s="257">
        <v>0</v>
      </c>
      <c r="L30" s="257">
        <v>11</v>
      </c>
      <c r="M30" s="257">
        <v>0</v>
      </c>
      <c r="N30" s="264">
        <v>0</v>
      </c>
      <c r="O30" s="264">
        <v>0</v>
      </c>
      <c r="P30" s="264">
        <v>0</v>
      </c>
      <c r="Q30" s="257">
        <v>0</v>
      </c>
      <c r="R30" s="264">
        <v>0</v>
      </c>
      <c r="S30" s="264">
        <v>0</v>
      </c>
      <c r="T30" s="264">
        <v>0</v>
      </c>
      <c r="V30" s="264">
        <v>0</v>
      </c>
      <c r="W30" s="264">
        <v>0</v>
      </c>
      <c r="X30" s="264">
        <v>0</v>
      </c>
      <c r="Y30" s="264">
        <v>0</v>
      </c>
    </row>
    <row r="31" spans="1:25">
      <c r="A31" s="257" t="str">
        <f>VLOOKUP(B31,[1]Supplier!$A:$B,2,FALSE)</f>
        <v>SCH086</v>
      </c>
      <c r="B31" s="257" t="s">
        <v>555</v>
      </c>
      <c r="C31" s="258">
        <v>660</v>
      </c>
      <c r="D31" s="259">
        <v>4952.6400000000003</v>
      </c>
      <c r="E31" s="259"/>
      <c r="F31" s="259">
        <v>2476.3200000000002</v>
      </c>
      <c r="G31" s="282">
        <v>2476.3200000000002</v>
      </c>
      <c r="H31" s="261">
        <v>660</v>
      </c>
      <c r="I31" s="262">
        <v>2476.3200000000002</v>
      </c>
      <c r="J31" s="263">
        <f t="shared" si="0"/>
        <v>4952.6400000000003</v>
      </c>
      <c r="K31" s="257">
        <v>3</v>
      </c>
      <c r="L31" s="257">
        <v>11</v>
      </c>
      <c r="M31" s="257">
        <v>0</v>
      </c>
      <c r="N31" s="264">
        <v>0</v>
      </c>
      <c r="O31" s="264">
        <v>0</v>
      </c>
      <c r="P31" s="264">
        <v>0</v>
      </c>
      <c r="Q31" s="257">
        <v>660</v>
      </c>
      <c r="R31" s="264">
        <v>6190.8</v>
      </c>
      <c r="S31" s="264">
        <v>0</v>
      </c>
      <c r="T31" s="264">
        <v>6190.8</v>
      </c>
      <c r="U31" s="257">
        <v>660</v>
      </c>
      <c r="V31" s="264">
        <v>6190.8</v>
      </c>
      <c r="W31" s="264">
        <v>4952.6400000000003</v>
      </c>
      <c r="X31" s="264">
        <v>0</v>
      </c>
      <c r="Y31" s="264">
        <v>1238.1600000000001</v>
      </c>
    </row>
    <row r="32" spans="1:25">
      <c r="A32" s="257" t="str">
        <f>VLOOKUP(B32,[1]Supplier!$A:$B,2,FALSE)</f>
        <v>SCH072</v>
      </c>
      <c r="B32" s="257" t="s">
        <v>556</v>
      </c>
      <c r="C32" s="258"/>
      <c r="D32" s="259">
        <v>0</v>
      </c>
      <c r="E32" s="259"/>
      <c r="F32" s="259">
        <v>0</v>
      </c>
      <c r="G32" s="282">
        <v>0</v>
      </c>
      <c r="H32" s="261"/>
      <c r="I32" s="262">
        <v>0</v>
      </c>
      <c r="J32" s="263">
        <f t="shared" si="0"/>
        <v>0</v>
      </c>
      <c r="K32" s="257">
        <v>0</v>
      </c>
      <c r="L32" s="257">
        <v>11</v>
      </c>
      <c r="M32" s="257">
        <v>0</v>
      </c>
      <c r="N32" s="264">
        <v>0</v>
      </c>
      <c r="O32" s="264">
        <v>0</v>
      </c>
      <c r="P32" s="264">
        <v>0</v>
      </c>
      <c r="Q32" s="257">
        <v>0</v>
      </c>
      <c r="R32" s="264">
        <v>0</v>
      </c>
      <c r="S32" s="264">
        <v>0</v>
      </c>
      <c r="T32" s="264">
        <v>0</v>
      </c>
      <c r="V32" s="264">
        <v>0</v>
      </c>
      <c r="W32" s="264">
        <v>0</v>
      </c>
      <c r="X32" s="264">
        <v>0</v>
      </c>
      <c r="Y32" s="264">
        <v>0</v>
      </c>
    </row>
    <row r="33" spans="1:25">
      <c r="A33" s="257" t="str">
        <f>VLOOKUP(B33,[1]Supplier!$A:$B,2,FALSE)</f>
        <v>SCH073</v>
      </c>
      <c r="B33" s="257" t="s">
        <v>557</v>
      </c>
      <c r="C33" s="258">
        <v>5115</v>
      </c>
      <c r="D33" s="259">
        <v>38382.959999999999</v>
      </c>
      <c r="E33" s="259"/>
      <c r="F33" s="259">
        <v>19191.48</v>
      </c>
      <c r="G33" s="282">
        <v>19191.48</v>
      </c>
      <c r="H33" s="261">
        <v>5115</v>
      </c>
      <c r="I33" s="262">
        <v>19191.48</v>
      </c>
      <c r="J33" s="263">
        <f t="shared" si="0"/>
        <v>38382.959999999999</v>
      </c>
      <c r="K33" s="257">
        <v>24</v>
      </c>
      <c r="L33" s="257">
        <v>11</v>
      </c>
      <c r="M33" s="257">
        <v>1980</v>
      </c>
      <c r="N33" s="264">
        <v>18572.400000000001</v>
      </c>
      <c r="O33" s="264">
        <v>2692.8</v>
      </c>
      <c r="P33" s="264">
        <v>21265.200000000001</v>
      </c>
      <c r="Q33" s="257">
        <v>3135</v>
      </c>
      <c r="R33" s="264">
        <v>29406.3</v>
      </c>
      <c r="S33" s="264">
        <v>165</v>
      </c>
      <c r="T33" s="264">
        <v>29571.3</v>
      </c>
      <c r="U33" s="257">
        <v>5115</v>
      </c>
      <c r="V33" s="264">
        <v>50836.5</v>
      </c>
      <c r="W33" s="264">
        <v>38382.959999999999</v>
      </c>
      <c r="X33" s="264">
        <v>0</v>
      </c>
      <c r="Y33" s="264">
        <v>12453.54</v>
      </c>
    </row>
    <row r="34" spans="1:25">
      <c r="A34" s="257" t="str">
        <f>VLOOKUP(B34,[1]Supplier!$A:$B,2,FALSE)</f>
        <v>SCH078</v>
      </c>
      <c r="B34" s="257" t="s">
        <v>558</v>
      </c>
      <c r="C34" s="258"/>
      <c r="D34" s="259">
        <v>0</v>
      </c>
      <c r="E34" s="259"/>
      <c r="F34" s="259">
        <v>0</v>
      </c>
      <c r="G34" s="282">
        <v>0</v>
      </c>
      <c r="H34" s="261"/>
      <c r="I34" s="262">
        <v>0</v>
      </c>
      <c r="J34" s="263">
        <f t="shared" si="0"/>
        <v>0</v>
      </c>
      <c r="K34" s="257">
        <v>6</v>
      </c>
      <c r="L34" s="257">
        <v>11</v>
      </c>
      <c r="M34" s="257">
        <v>495</v>
      </c>
      <c r="N34" s="264">
        <v>4643.1000000000004</v>
      </c>
      <c r="O34" s="264">
        <v>466.95</v>
      </c>
      <c r="P34" s="264">
        <v>5110.05</v>
      </c>
      <c r="Q34" s="257">
        <v>1155</v>
      </c>
      <c r="R34" s="264">
        <v>10833.9</v>
      </c>
      <c r="S34" s="264">
        <v>0</v>
      </c>
      <c r="T34" s="264">
        <v>10833.9</v>
      </c>
      <c r="U34" s="257">
        <v>1650</v>
      </c>
      <c r="V34" s="264">
        <v>15943.95</v>
      </c>
      <c r="W34" s="264">
        <v>0</v>
      </c>
      <c r="X34" s="264">
        <v>0</v>
      </c>
      <c r="Y34" s="264">
        <v>15943.95</v>
      </c>
    </row>
    <row r="35" spans="1:25">
      <c r="A35" s="257" t="str">
        <f>VLOOKUP(B35,[1]Supplier!$A:$B,2,FALSE)</f>
        <v>SCH079</v>
      </c>
      <c r="B35" s="257" t="s">
        <v>559</v>
      </c>
      <c r="C35" s="258"/>
      <c r="D35" s="259">
        <v>0</v>
      </c>
      <c r="E35" s="259"/>
      <c r="F35" s="259">
        <v>0</v>
      </c>
      <c r="G35" s="282">
        <v>0</v>
      </c>
      <c r="H35" s="261"/>
      <c r="I35" s="262">
        <v>0</v>
      </c>
      <c r="J35" s="263">
        <f t="shared" si="0"/>
        <v>0</v>
      </c>
      <c r="K35" s="257">
        <v>5</v>
      </c>
      <c r="L35" s="257">
        <v>11</v>
      </c>
      <c r="M35" s="257">
        <v>495</v>
      </c>
      <c r="N35" s="264">
        <v>4643.1000000000004</v>
      </c>
      <c r="O35" s="264">
        <v>796.95</v>
      </c>
      <c r="P35" s="264">
        <v>5440.05</v>
      </c>
      <c r="Q35" s="257">
        <v>495</v>
      </c>
      <c r="R35" s="264">
        <v>4643.1000000000004</v>
      </c>
      <c r="S35" s="264">
        <v>0</v>
      </c>
      <c r="T35" s="264">
        <v>4643.1000000000004</v>
      </c>
      <c r="U35" s="257">
        <v>990</v>
      </c>
      <c r="V35" s="264">
        <v>10083.15</v>
      </c>
      <c r="W35" s="264">
        <v>0</v>
      </c>
      <c r="X35" s="264">
        <v>0</v>
      </c>
      <c r="Y35" s="264">
        <v>10083.15</v>
      </c>
    </row>
    <row r="36" spans="1:25" ht="15" thickBot="1">
      <c r="A36" s="257" t="str">
        <f>VLOOKUP(B36,[1]Supplier!$A:$B,2,FALSE)</f>
        <v>SCH081</v>
      </c>
      <c r="B36" s="257" t="s">
        <v>560</v>
      </c>
      <c r="C36" s="283"/>
      <c r="D36" s="259">
        <v>0</v>
      </c>
      <c r="E36" s="267"/>
      <c r="F36" s="267">
        <v>0</v>
      </c>
      <c r="G36" s="284">
        <v>0</v>
      </c>
      <c r="H36" s="268"/>
      <c r="I36" s="269">
        <v>0</v>
      </c>
      <c r="J36" s="263">
        <f t="shared" si="0"/>
        <v>0</v>
      </c>
      <c r="K36" s="257">
        <v>0</v>
      </c>
      <c r="L36" s="257">
        <v>11</v>
      </c>
      <c r="M36" s="257">
        <v>0</v>
      </c>
      <c r="N36" s="264">
        <v>0</v>
      </c>
      <c r="O36" s="264">
        <v>0</v>
      </c>
      <c r="P36" s="264">
        <v>0</v>
      </c>
      <c r="Q36" s="257">
        <v>0</v>
      </c>
      <c r="R36" s="264">
        <v>0</v>
      </c>
      <c r="S36" s="264">
        <v>0</v>
      </c>
      <c r="T36" s="264">
        <v>0</v>
      </c>
      <c r="V36" s="264">
        <v>0</v>
      </c>
      <c r="W36" s="264">
        <v>0</v>
      </c>
      <c r="X36" s="264">
        <v>0</v>
      </c>
      <c r="Y36" s="264">
        <v>0</v>
      </c>
    </row>
    <row r="37" spans="1:25" ht="15" thickBot="1">
      <c r="D37" s="264"/>
      <c r="F37" s="270"/>
      <c r="O37" s="264"/>
      <c r="Q37" s="285">
        <f t="shared" ref="Q37:Y37" si="1">SUM(Q2:Q36)</f>
        <v>72930.59</v>
      </c>
      <c r="R37" s="286">
        <f t="shared" si="1"/>
        <v>684088.91999999993</v>
      </c>
      <c r="S37" s="286">
        <f t="shared" si="1"/>
        <v>1125</v>
      </c>
      <c r="T37" s="286">
        <f t="shared" si="1"/>
        <v>685213.91999999993</v>
      </c>
      <c r="U37" s="285">
        <f t="shared" si="1"/>
        <v>92769.59</v>
      </c>
      <c r="V37" s="286">
        <f t="shared" si="1"/>
        <v>896108.11</v>
      </c>
      <c r="W37" s="286">
        <f t="shared" si="1"/>
        <v>373790.79000000004</v>
      </c>
      <c r="X37" s="287">
        <f t="shared" si="1"/>
        <v>3995.8799999999997</v>
      </c>
      <c r="Y37" s="287">
        <f t="shared" si="1"/>
        <v>526313.29</v>
      </c>
    </row>
    <row r="38" spans="1:25" ht="18.600000000000001" thickTop="1">
      <c r="J38" s="273"/>
      <c r="Q38" s="260"/>
    </row>
    <row r="39" spans="1:25" ht="15" thickBot="1">
      <c r="G39" s="275">
        <f>SUM(G2:G36)</f>
        <v>187007.94</v>
      </c>
      <c r="I39" s="276">
        <f>SUM(I2:I36)</f>
        <v>186782.81</v>
      </c>
      <c r="J39" s="277">
        <f>SUM(J2:J36)</f>
        <v>373790.75</v>
      </c>
    </row>
    <row r="40" spans="1:25" ht="15" thickTop="1">
      <c r="Q40" s="288"/>
    </row>
  </sheetData>
  <autoFilter ref="A1:P40" xr:uid="{1AB71065-4FFD-4E71-83C9-64137CD8244D}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F3908-50A5-4156-B5BA-8E59AA80E0EF}">
  <dimension ref="A1:Z314"/>
  <sheetViews>
    <sheetView topLeftCell="A20" zoomScale="85" zoomScaleNormal="85" workbookViewId="0">
      <selection activeCell="EE3" sqref="EE3"/>
    </sheetView>
  </sheetViews>
  <sheetFormatPr defaultRowHeight="14.4"/>
  <cols>
    <col min="1" max="1" width="8.88671875" style="257"/>
    <col min="2" max="2" width="75.33203125" style="257" bestFit="1" customWidth="1"/>
    <col min="3" max="3" width="15.6640625" style="243" customWidth="1"/>
    <col min="4" max="4" width="14.33203125" style="257" customWidth="1"/>
    <col min="5" max="5" width="15.44140625" style="257" bestFit="1" customWidth="1"/>
    <col min="6" max="6" width="12.5546875" style="257" customWidth="1"/>
    <col min="7" max="7" width="18.6640625" style="257" customWidth="1"/>
    <col min="8" max="8" width="9.109375" style="257" customWidth="1"/>
    <col min="9" max="9" width="20.6640625" style="257" customWidth="1"/>
    <col min="10" max="10" width="19.6640625" style="257" customWidth="1"/>
    <col min="11" max="11" width="13.33203125" style="271" customWidth="1"/>
    <col min="12" max="12" width="17" style="271" bestFit="1" customWidth="1"/>
    <col min="13" max="13" width="18" style="257" bestFit="1" customWidth="1"/>
    <col min="14" max="14" width="20.88671875" style="313" bestFit="1" customWidth="1"/>
    <col min="15" max="15" width="20.6640625" style="313" bestFit="1" customWidth="1"/>
    <col min="16" max="16" width="20.88671875" style="313" bestFit="1" customWidth="1"/>
    <col min="17" max="17" width="21.88671875" style="299" bestFit="1" customWidth="1"/>
    <col min="18" max="18" width="23.109375" style="299" bestFit="1" customWidth="1"/>
    <col min="19" max="19" width="20.6640625" style="299" bestFit="1" customWidth="1"/>
    <col min="20" max="20" width="20.44140625" style="299" bestFit="1" customWidth="1"/>
    <col min="21" max="21" width="17.33203125" style="299" bestFit="1" customWidth="1"/>
    <col min="22" max="22" width="19" style="299" bestFit="1" customWidth="1"/>
    <col min="23" max="23" width="20.88671875" style="299" bestFit="1" customWidth="1"/>
    <col min="24" max="24" width="16.109375" style="299" bestFit="1" customWidth="1"/>
    <col min="25" max="25" width="15.33203125" style="264" customWidth="1"/>
    <col min="26" max="26" width="14.33203125" style="257" bestFit="1" customWidth="1"/>
    <col min="27" max="16384" width="8.88671875" style="257"/>
  </cols>
  <sheetData>
    <row r="1" spans="1:25" ht="73.5" customHeight="1">
      <c r="A1" s="243"/>
      <c r="B1" s="243" t="s">
        <v>499</v>
      </c>
      <c r="C1" s="289" t="s">
        <v>561</v>
      </c>
      <c r="D1" s="245" t="s">
        <v>501</v>
      </c>
      <c r="E1" s="245" t="s">
        <v>502</v>
      </c>
      <c r="F1" s="245" t="s">
        <v>503</v>
      </c>
      <c r="G1" s="246" t="s">
        <v>562</v>
      </c>
      <c r="H1" s="290" t="s">
        <v>505</v>
      </c>
      <c r="I1" s="291" t="s">
        <v>563</v>
      </c>
      <c r="J1" s="292" t="s">
        <v>564</v>
      </c>
      <c r="K1" s="250" t="s">
        <v>508</v>
      </c>
      <c r="L1" s="250" t="s">
        <v>509</v>
      </c>
      <c r="M1" s="250" t="s">
        <v>528</v>
      </c>
      <c r="N1" s="293" t="s">
        <v>565</v>
      </c>
      <c r="O1" s="293" t="s">
        <v>566</v>
      </c>
      <c r="P1" s="293" t="s">
        <v>531</v>
      </c>
      <c r="Q1" s="293" t="s">
        <v>567</v>
      </c>
      <c r="R1" s="293" t="s">
        <v>568</v>
      </c>
      <c r="S1" s="293" t="s">
        <v>569</v>
      </c>
      <c r="T1" s="293" t="s">
        <v>570</v>
      </c>
      <c r="U1" s="294" t="s">
        <v>514</v>
      </c>
      <c r="V1" s="295" t="s">
        <v>515</v>
      </c>
      <c r="W1" s="295" t="s">
        <v>516</v>
      </c>
      <c r="X1" s="256" t="s">
        <v>533</v>
      </c>
      <c r="Y1" s="256" t="s">
        <v>571</v>
      </c>
    </row>
    <row r="2" spans="1:25" ht="16.5" customHeight="1">
      <c r="A2" s="257" t="str">
        <f>VLOOKUP(B2,[1]Supplier!$A:$B,2,FALSE)</f>
        <v>SCH001</v>
      </c>
      <c r="B2" s="296" t="s">
        <v>572</v>
      </c>
      <c r="C2" s="265">
        <v>5379</v>
      </c>
      <c r="D2" s="297">
        <v>27841.7</v>
      </c>
      <c r="E2" s="297"/>
      <c r="F2" s="297">
        <v>13920.85</v>
      </c>
      <c r="G2" s="282">
        <v>13920.85</v>
      </c>
      <c r="H2" s="261">
        <v>5379</v>
      </c>
      <c r="I2" s="262">
        <v>13920.85</v>
      </c>
      <c r="J2" s="298">
        <f>G2+I2</f>
        <v>27841.7</v>
      </c>
      <c r="K2" s="257">
        <v>24</v>
      </c>
      <c r="L2" s="257">
        <v>11</v>
      </c>
      <c r="M2" s="257">
        <v>3810</v>
      </c>
      <c r="N2" s="264">
        <v>24650.7</v>
      </c>
      <c r="O2" s="264">
        <v>827.25</v>
      </c>
      <c r="P2" s="264">
        <v>25477.95</v>
      </c>
      <c r="Q2" s="257">
        <v>1650</v>
      </c>
      <c r="R2" s="264">
        <v>10675.5</v>
      </c>
      <c r="S2" s="264">
        <v>338.25</v>
      </c>
      <c r="T2" s="264">
        <v>11013.75</v>
      </c>
      <c r="U2" s="257">
        <v>5460</v>
      </c>
      <c r="V2" s="264">
        <v>36491.699999999997</v>
      </c>
      <c r="W2" s="299">
        <v>27841.7</v>
      </c>
      <c r="X2" s="300">
        <v>0</v>
      </c>
      <c r="Y2" s="300">
        <v>8650</v>
      </c>
    </row>
    <row r="3" spans="1:25">
      <c r="A3" s="257" t="str">
        <f>VLOOKUP(B3,[1]Supplier!$A:$B,2,FALSE)</f>
        <v>SCH002</v>
      </c>
      <c r="B3" s="296" t="s">
        <v>573</v>
      </c>
      <c r="C3" s="265">
        <v>6270</v>
      </c>
      <c r="D3" s="297">
        <v>32453.52</v>
      </c>
      <c r="E3" s="297"/>
      <c r="F3" s="297">
        <v>16226.76</v>
      </c>
      <c r="G3" s="282">
        <v>16226.76</v>
      </c>
      <c r="H3" s="261">
        <v>6270</v>
      </c>
      <c r="I3" s="262">
        <v>16226.76</v>
      </c>
      <c r="J3" s="298">
        <f t="shared" ref="J3:J66" si="0">G3+I3</f>
        <v>32453.52</v>
      </c>
      <c r="K3" s="257">
        <v>30</v>
      </c>
      <c r="L3" s="257">
        <v>11</v>
      </c>
      <c r="M3" s="257">
        <v>4950</v>
      </c>
      <c r="N3" s="264">
        <v>32026.5</v>
      </c>
      <c r="O3" s="264">
        <v>1595.55</v>
      </c>
      <c r="P3" s="264">
        <v>33622.050000000003</v>
      </c>
      <c r="Q3" s="257">
        <v>1155</v>
      </c>
      <c r="R3" s="264">
        <v>7472.85</v>
      </c>
      <c r="S3" s="264">
        <v>292.05</v>
      </c>
      <c r="T3" s="264">
        <v>7764.9</v>
      </c>
      <c r="U3" s="257">
        <v>6105</v>
      </c>
      <c r="V3" s="264">
        <v>41386.949999999997</v>
      </c>
      <c r="W3" s="299">
        <v>32453.52</v>
      </c>
      <c r="X3" s="300">
        <v>0</v>
      </c>
      <c r="Y3" s="300">
        <v>8933.43</v>
      </c>
    </row>
    <row r="4" spans="1:25">
      <c r="A4" s="257" t="str">
        <f>VLOOKUP(B4,[1]Supplier!$A:$B,2,FALSE)</f>
        <v>SCH003</v>
      </c>
      <c r="B4" s="296" t="s">
        <v>574</v>
      </c>
      <c r="C4" s="265">
        <v>10230</v>
      </c>
      <c r="D4" s="297">
        <v>52950.48</v>
      </c>
      <c r="E4" s="297"/>
      <c r="F4" s="297">
        <v>26475.24</v>
      </c>
      <c r="G4" s="282">
        <v>26475.24</v>
      </c>
      <c r="H4" s="261">
        <v>10230</v>
      </c>
      <c r="I4" s="262">
        <v>26475.24</v>
      </c>
      <c r="J4" s="298">
        <f t="shared" si="0"/>
        <v>52950.48</v>
      </c>
      <c r="K4" s="257">
        <v>54</v>
      </c>
      <c r="L4" s="257">
        <v>11</v>
      </c>
      <c r="M4" s="257">
        <v>8655</v>
      </c>
      <c r="N4" s="264">
        <v>55997.85</v>
      </c>
      <c r="O4" s="264">
        <v>4416.6000000000004</v>
      </c>
      <c r="P4" s="264">
        <v>60414.45</v>
      </c>
      <c r="Q4" s="257">
        <v>1650</v>
      </c>
      <c r="R4" s="264">
        <v>10675.5</v>
      </c>
      <c r="S4" s="264">
        <v>420.75</v>
      </c>
      <c r="T4" s="264">
        <v>11096.25</v>
      </c>
      <c r="U4" s="257">
        <v>10305</v>
      </c>
      <c r="V4" s="264">
        <v>71510.7</v>
      </c>
      <c r="W4" s="299">
        <v>52950.48</v>
      </c>
      <c r="X4" s="300">
        <v>0</v>
      </c>
      <c r="Y4" s="300">
        <v>18560.22</v>
      </c>
    </row>
    <row r="5" spans="1:25">
      <c r="A5" s="257" t="str">
        <f>VLOOKUP(B5,[1]Supplier!$A:$B,2,FALSE)</f>
        <v>SCH005</v>
      </c>
      <c r="B5" s="296" t="s">
        <v>519</v>
      </c>
      <c r="C5" s="265">
        <v>21840</v>
      </c>
      <c r="D5" s="297">
        <v>113043.8</v>
      </c>
      <c r="E5" s="297"/>
      <c r="F5" s="297">
        <v>56521.919999999998</v>
      </c>
      <c r="G5" s="282">
        <v>56521.919999999998</v>
      </c>
      <c r="H5" s="261">
        <v>21840</v>
      </c>
      <c r="I5" s="262">
        <v>56521.919999999998</v>
      </c>
      <c r="J5" s="298">
        <f t="shared" si="0"/>
        <v>113043.84</v>
      </c>
      <c r="K5" s="257">
        <v>66</v>
      </c>
      <c r="L5" s="257">
        <v>13</v>
      </c>
      <c r="M5" s="257">
        <v>12645</v>
      </c>
      <c r="N5" s="264">
        <v>81813.149999999994</v>
      </c>
      <c r="O5" s="264">
        <v>1943.55</v>
      </c>
      <c r="P5" s="264">
        <v>83756.7</v>
      </c>
      <c r="Q5" s="257">
        <v>10110</v>
      </c>
      <c r="R5" s="264">
        <v>65411.7</v>
      </c>
      <c r="S5" s="264">
        <v>1563.3</v>
      </c>
      <c r="T5" s="264">
        <v>66975</v>
      </c>
      <c r="U5" s="257">
        <v>22755</v>
      </c>
      <c r="V5" s="264">
        <v>150731.70000000001</v>
      </c>
      <c r="W5" s="299">
        <v>113043.8</v>
      </c>
      <c r="X5" s="300">
        <v>0</v>
      </c>
      <c r="Y5" s="300">
        <v>37687.86</v>
      </c>
    </row>
    <row r="6" spans="1:25">
      <c r="A6" s="257" t="str">
        <f>VLOOKUP(B6,[1]Supplier!$A:$B,2,FALSE)</f>
        <v>SCH004</v>
      </c>
      <c r="B6" s="296" t="s">
        <v>575</v>
      </c>
      <c r="C6" s="265">
        <v>14190</v>
      </c>
      <c r="D6" s="297">
        <v>73447.44</v>
      </c>
      <c r="E6" s="297"/>
      <c r="F6" s="297">
        <v>36723.72</v>
      </c>
      <c r="G6" s="282">
        <v>36723.72</v>
      </c>
      <c r="H6" s="261">
        <v>14190</v>
      </c>
      <c r="I6" s="262">
        <v>36723.72</v>
      </c>
      <c r="J6" s="298">
        <f t="shared" si="0"/>
        <v>73447.44</v>
      </c>
      <c r="K6" s="257">
        <v>54</v>
      </c>
      <c r="L6" s="257">
        <v>11</v>
      </c>
      <c r="M6" s="257">
        <v>8910</v>
      </c>
      <c r="N6" s="264">
        <v>57647.7</v>
      </c>
      <c r="O6" s="264">
        <v>1996.5</v>
      </c>
      <c r="P6" s="264">
        <v>59644.2</v>
      </c>
      <c r="Q6" s="257">
        <v>5445</v>
      </c>
      <c r="R6" s="264">
        <v>35229.15</v>
      </c>
      <c r="S6" s="264">
        <v>816.75</v>
      </c>
      <c r="T6" s="264">
        <v>36045.9</v>
      </c>
      <c r="U6" s="257">
        <v>14355</v>
      </c>
      <c r="V6" s="264">
        <v>95690.1</v>
      </c>
      <c r="W6" s="299">
        <v>73447.44</v>
      </c>
      <c r="X6" s="300">
        <v>0</v>
      </c>
      <c r="Y6" s="300">
        <v>22242.66</v>
      </c>
    </row>
    <row r="7" spans="1:25">
      <c r="A7" s="257" t="str">
        <f>VLOOKUP(B7,[1]Supplier!$A:$B,2,FALSE)</f>
        <v>SCH006</v>
      </c>
      <c r="B7" s="296" t="s">
        <v>576</v>
      </c>
      <c r="C7" s="265">
        <v>8085</v>
      </c>
      <c r="D7" s="297">
        <v>41847.96</v>
      </c>
      <c r="E7" s="297"/>
      <c r="F7" s="297">
        <v>20923.98</v>
      </c>
      <c r="G7" s="282">
        <v>20923.98</v>
      </c>
      <c r="H7" s="261">
        <v>8085</v>
      </c>
      <c r="I7" s="262">
        <v>20923.98</v>
      </c>
      <c r="J7" s="298">
        <f t="shared" si="0"/>
        <v>41847.96</v>
      </c>
      <c r="K7" s="257">
        <v>26</v>
      </c>
      <c r="L7" s="257">
        <v>11</v>
      </c>
      <c r="M7" s="257">
        <v>4290</v>
      </c>
      <c r="N7" s="264">
        <v>27756.3</v>
      </c>
      <c r="O7" s="264">
        <v>683.1</v>
      </c>
      <c r="P7" s="264">
        <v>28439.4</v>
      </c>
      <c r="Q7" s="257">
        <v>3795</v>
      </c>
      <c r="R7" s="264">
        <v>24553.65</v>
      </c>
      <c r="S7" s="264">
        <v>608.85</v>
      </c>
      <c r="T7" s="264">
        <v>25162.5</v>
      </c>
      <c r="U7" s="257">
        <v>8085</v>
      </c>
      <c r="V7" s="264">
        <v>53601.9</v>
      </c>
      <c r="W7" s="299">
        <v>41847.96</v>
      </c>
      <c r="X7" s="300">
        <v>0</v>
      </c>
      <c r="Y7" s="300">
        <v>11753.94</v>
      </c>
    </row>
    <row r="8" spans="1:25">
      <c r="A8" s="257" t="str">
        <f>VLOOKUP(B8,[1]Supplier!$A:$B,2,FALSE)</f>
        <v>SCH007</v>
      </c>
      <c r="B8" s="296" t="s">
        <v>535</v>
      </c>
      <c r="C8" s="265">
        <v>6105</v>
      </c>
      <c r="D8" s="297">
        <v>31599.48</v>
      </c>
      <c r="E8" s="297"/>
      <c r="F8" s="297">
        <v>15799.74</v>
      </c>
      <c r="G8" s="282">
        <v>15799.74</v>
      </c>
      <c r="H8" s="261">
        <v>6105</v>
      </c>
      <c r="I8" s="262">
        <v>15799.74</v>
      </c>
      <c r="J8" s="298">
        <f t="shared" si="0"/>
        <v>31599.48</v>
      </c>
      <c r="K8" s="257">
        <v>31</v>
      </c>
      <c r="L8" s="257">
        <v>11</v>
      </c>
      <c r="M8" s="257">
        <v>5115</v>
      </c>
      <c r="N8" s="264">
        <v>33094.050000000003</v>
      </c>
      <c r="O8" s="264">
        <v>2938.65</v>
      </c>
      <c r="P8" s="264">
        <v>36032.699999999997</v>
      </c>
      <c r="Q8" s="257">
        <v>660</v>
      </c>
      <c r="R8" s="264">
        <v>4270.2</v>
      </c>
      <c r="S8" s="264">
        <v>178.2</v>
      </c>
      <c r="T8" s="264">
        <v>4448.3999999999996</v>
      </c>
      <c r="U8" s="257">
        <v>5775</v>
      </c>
      <c r="V8" s="264">
        <v>40481.1</v>
      </c>
      <c r="W8" s="299">
        <v>31599.48</v>
      </c>
      <c r="X8" s="300">
        <v>0</v>
      </c>
      <c r="Y8" s="300">
        <v>8881.6200000000008</v>
      </c>
    </row>
    <row r="9" spans="1:25">
      <c r="A9" s="257" t="str">
        <f>VLOOKUP(B9,[1]Supplier!$A:$B,2,FALSE)</f>
        <v>SCH008</v>
      </c>
      <c r="B9" s="296" t="s">
        <v>577</v>
      </c>
      <c r="C9" s="265"/>
      <c r="D9" s="297">
        <v>0</v>
      </c>
      <c r="E9" s="297"/>
      <c r="F9" s="297">
        <v>0</v>
      </c>
      <c r="G9" s="282">
        <v>0</v>
      </c>
      <c r="H9" s="261"/>
      <c r="I9" s="262">
        <v>0</v>
      </c>
      <c r="J9" s="298">
        <f t="shared" si="0"/>
        <v>0</v>
      </c>
      <c r="K9" s="257">
        <v>43</v>
      </c>
      <c r="L9" s="257">
        <v>11</v>
      </c>
      <c r="M9" s="257">
        <v>7005</v>
      </c>
      <c r="N9" s="264">
        <v>45322.35</v>
      </c>
      <c r="O9" s="264">
        <v>2186.25</v>
      </c>
      <c r="P9" s="264">
        <v>47508.6</v>
      </c>
      <c r="Q9" s="257">
        <v>1320</v>
      </c>
      <c r="R9" s="264">
        <v>8540.4</v>
      </c>
      <c r="S9" s="264">
        <v>282.14999999999998</v>
      </c>
      <c r="T9" s="264">
        <v>8822.5499999999993</v>
      </c>
      <c r="U9" s="257">
        <v>8325</v>
      </c>
      <c r="V9" s="264">
        <v>56331.15</v>
      </c>
      <c r="W9" s="299">
        <v>0</v>
      </c>
      <c r="X9" s="300">
        <v>0</v>
      </c>
      <c r="Y9" s="300">
        <v>56331.15</v>
      </c>
    </row>
    <row r="10" spans="1:25">
      <c r="A10" s="257" t="str">
        <f>VLOOKUP(B10,[1]Supplier!$A:$B,2,FALSE)</f>
        <v>SCH010</v>
      </c>
      <c r="B10" s="296" t="s">
        <v>520</v>
      </c>
      <c r="C10" s="265">
        <v>8910</v>
      </c>
      <c r="D10" s="297">
        <v>46118.16</v>
      </c>
      <c r="E10" s="297"/>
      <c r="F10" s="297">
        <v>23059.08</v>
      </c>
      <c r="G10" s="282">
        <v>23059.08</v>
      </c>
      <c r="H10" s="261">
        <v>8910</v>
      </c>
      <c r="I10" s="262">
        <v>23059.08</v>
      </c>
      <c r="J10" s="298">
        <f t="shared" si="0"/>
        <v>46118.16</v>
      </c>
      <c r="K10" s="257">
        <v>42</v>
      </c>
      <c r="L10" s="257">
        <v>11</v>
      </c>
      <c r="M10" s="257">
        <v>6930</v>
      </c>
      <c r="N10" s="264">
        <v>44837.1</v>
      </c>
      <c r="O10" s="264">
        <v>3258.75</v>
      </c>
      <c r="P10" s="264">
        <v>48095.85</v>
      </c>
      <c r="Q10" s="257">
        <v>1980</v>
      </c>
      <c r="R10" s="264">
        <v>12810.6</v>
      </c>
      <c r="S10" s="264">
        <v>455.4</v>
      </c>
      <c r="T10" s="264">
        <v>13266</v>
      </c>
      <c r="U10" s="257">
        <v>8910</v>
      </c>
      <c r="V10" s="264">
        <v>61361.85</v>
      </c>
      <c r="W10" s="299">
        <v>46118.16</v>
      </c>
      <c r="X10" s="300">
        <v>0</v>
      </c>
      <c r="Y10" s="300">
        <v>15243.69</v>
      </c>
    </row>
    <row r="11" spans="1:25" ht="13.2" customHeight="1">
      <c r="A11" s="257" t="str">
        <f>VLOOKUP(B11,[1]Supplier!$A:$B,2,FALSE)</f>
        <v>SCH011</v>
      </c>
      <c r="B11" s="296" t="s">
        <v>521</v>
      </c>
      <c r="C11" s="265"/>
      <c r="D11" s="297">
        <v>0</v>
      </c>
      <c r="E11" s="297"/>
      <c r="F11" s="297">
        <v>0</v>
      </c>
      <c r="G11" s="282">
        <v>0</v>
      </c>
      <c r="H11" s="261"/>
      <c r="I11" s="262">
        <v>0</v>
      </c>
      <c r="J11" s="298">
        <f t="shared" si="0"/>
        <v>0</v>
      </c>
      <c r="K11" s="257">
        <v>81</v>
      </c>
      <c r="L11" s="257">
        <v>11</v>
      </c>
      <c r="M11" s="257">
        <v>13365</v>
      </c>
      <c r="N11" s="264">
        <v>86471.55</v>
      </c>
      <c r="O11" s="264">
        <v>3846.15</v>
      </c>
      <c r="P11" s="264">
        <v>90317.7</v>
      </c>
      <c r="Q11" s="257">
        <v>6930</v>
      </c>
      <c r="R11" s="264">
        <v>44837.1</v>
      </c>
      <c r="S11" s="264">
        <v>1158.3</v>
      </c>
      <c r="T11" s="264">
        <v>45995.4</v>
      </c>
      <c r="U11" s="257">
        <v>20295</v>
      </c>
      <c r="V11" s="264">
        <v>136313.1</v>
      </c>
      <c r="W11" s="299">
        <v>0</v>
      </c>
      <c r="X11" s="300">
        <v>0</v>
      </c>
      <c r="Y11" s="300">
        <v>136313.1</v>
      </c>
    </row>
    <row r="12" spans="1:25">
      <c r="A12" s="257" t="str">
        <f>VLOOKUP(B12,[1]Supplier!$A:$B,2,FALSE)</f>
        <v>SCH012</v>
      </c>
      <c r="B12" s="296" t="s">
        <v>578</v>
      </c>
      <c r="C12" s="265">
        <v>10395</v>
      </c>
      <c r="D12" s="297">
        <v>53804.52</v>
      </c>
      <c r="E12" s="297"/>
      <c r="F12" s="297">
        <v>26902.26</v>
      </c>
      <c r="G12" s="282">
        <v>26902.26</v>
      </c>
      <c r="H12" s="261">
        <v>10395</v>
      </c>
      <c r="I12" s="262">
        <v>26902.26</v>
      </c>
      <c r="J12" s="298">
        <f t="shared" si="0"/>
        <v>53804.52</v>
      </c>
      <c r="K12" s="257">
        <v>45</v>
      </c>
      <c r="L12" s="257">
        <v>11</v>
      </c>
      <c r="M12" s="257">
        <v>7365</v>
      </c>
      <c r="N12" s="264">
        <v>47651.55</v>
      </c>
      <c r="O12" s="264">
        <v>1553.55</v>
      </c>
      <c r="P12" s="264">
        <v>49205.1</v>
      </c>
      <c r="Q12" s="257">
        <v>3135</v>
      </c>
      <c r="R12" s="264">
        <v>20283.45</v>
      </c>
      <c r="S12" s="264">
        <v>509.85</v>
      </c>
      <c r="T12" s="264">
        <v>20793.3</v>
      </c>
      <c r="U12" s="257">
        <v>10500</v>
      </c>
      <c r="V12" s="264">
        <v>69998.399999999994</v>
      </c>
      <c r="W12" s="299">
        <v>53804.52</v>
      </c>
      <c r="X12" s="300">
        <v>0</v>
      </c>
      <c r="Y12" s="300">
        <v>16193.88</v>
      </c>
    </row>
    <row r="13" spans="1:25">
      <c r="A13" s="257" t="str">
        <f>VLOOKUP(B13,[1]Supplier!$A:$B,2,FALSE)</f>
        <v>SCH013</v>
      </c>
      <c r="B13" s="296" t="s">
        <v>579</v>
      </c>
      <c r="C13" s="265">
        <v>5910</v>
      </c>
      <c r="D13" s="297">
        <v>30590.16</v>
      </c>
      <c r="E13" s="297"/>
      <c r="F13" s="297">
        <v>15295.08</v>
      </c>
      <c r="G13" s="282">
        <v>15295.08</v>
      </c>
      <c r="H13" s="261">
        <v>5910</v>
      </c>
      <c r="I13" s="262">
        <v>15295.08</v>
      </c>
      <c r="J13" s="298">
        <f t="shared" si="0"/>
        <v>30590.16</v>
      </c>
      <c r="K13" s="257">
        <v>28</v>
      </c>
      <c r="L13" s="257">
        <v>11</v>
      </c>
      <c r="M13" s="257">
        <v>4320</v>
      </c>
      <c r="N13" s="264">
        <v>27950.400000000001</v>
      </c>
      <c r="O13" s="264">
        <v>1581.6</v>
      </c>
      <c r="P13" s="264">
        <v>29532</v>
      </c>
      <c r="Q13" s="257">
        <v>1635</v>
      </c>
      <c r="R13" s="264">
        <v>10578.45</v>
      </c>
      <c r="S13" s="264">
        <v>324.45</v>
      </c>
      <c r="T13" s="264">
        <v>10902.9</v>
      </c>
      <c r="U13" s="257">
        <v>5955</v>
      </c>
      <c r="V13" s="264">
        <v>40434.9</v>
      </c>
      <c r="W13" s="299">
        <v>30590.16</v>
      </c>
      <c r="X13" s="300">
        <v>0</v>
      </c>
      <c r="Y13" s="300">
        <v>9844.74</v>
      </c>
    </row>
    <row r="14" spans="1:25">
      <c r="A14" s="257" t="str">
        <f>VLOOKUP(B14,[1]Supplier!$A:$B,2,FALSE)</f>
        <v>SCH014</v>
      </c>
      <c r="B14" s="296" t="s">
        <v>580</v>
      </c>
      <c r="C14" s="265">
        <v>2310</v>
      </c>
      <c r="D14" s="297">
        <v>11956.56</v>
      </c>
      <c r="E14" s="297"/>
      <c r="F14" s="297">
        <v>5978.28</v>
      </c>
      <c r="G14" s="282">
        <v>5978.28</v>
      </c>
      <c r="H14" s="261">
        <v>2310</v>
      </c>
      <c r="I14" s="262">
        <v>5978.28</v>
      </c>
      <c r="J14" s="298">
        <f t="shared" si="0"/>
        <v>11956.56</v>
      </c>
      <c r="K14" s="257">
        <v>16</v>
      </c>
      <c r="L14" s="257">
        <v>11</v>
      </c>
      <c r="M14" s="257">
        <v>2640</v>
      </c>
      <c r="N14" s="264">
        <v>17080.8</v>
      </c>
      <c r="O14" s="264">
        <v>2041.05</v>
      </c>
      <c r="P14" s="264">
        <v>19121.849999999999</v>
      </c>
      <c r="Q14" s="257">
        <v>0</v>
      </c>
      <c r="R14" s="264">
        <v>0</v>
      </c>
      <c r="S14" s="264">
        <v>0</v>
      </c>
      <c r="T14" s="264">
        <v>0</v>
      </c>
      <c r="U14" s="257">
        <v>2640</v>
      </c>
      <c r="V14" s="264">
        <v>19121.849999999999</v>
      </c>
      <c r="W14" s="299">
        <v>11956.56</v>
      </c>
      <c r="X14" s="300">
        <v>0</v>
      </c>
      <c r="Y14" s="300">
        <v>7165.29</v>
      </c>
    </row>
    <row r="15" spans="1:25">
      <c r="A15" s="257" t="str">
        <f>VLOOKUP(B15,[1]Supplier!$A:$B,2,FALSE)</f>
        <v>SCH015</v>
      </c>
      <c r="B15" s="296" t="s">
        <v>581</v>
      </c>
      <c r="C15" s="265">
        <v>2838</v>
      </c>
      <c r="D15" s="297">
        <v>14689.49</v>
      </c>
      <c r="E15" s="297"/>
      <c r="F15" s="297">
        <v>7344.75</v>
      </c>
      <c r="G15" s="282">
        <v>7344.75</v>
      </c>
      <c r="H15" s="261">
        <v>2838</v>
      </c>
      <c r="I15" s="262">
        <v>7344.74</v>
      </c>
      <c r="J15" s="298">
        <f t="shared" si="0"/>
        <v>14689.49</v>
      </c>
      <c r="K15" s="257">
        <v>16</v>
      </c>
      <c r="L15" s="257">
        <v>11</v>
      </c>
      <c r="M15" s="257">
        <v>2145</v>
      </c>
      <c r="N15" s="264">
        <v>13878.15</v>
      </c>
      <c r="O15" s="264">
        <v>587.54999999999995</v>
      </c>
      <c r="P15" s="264">
        <v>14465.7</v>
      </c>
      <c r="Q15" s="257">
        <v>933</v>
      </c>
      <c r="R15" s="264">
        <v>6036.51</v>
      </c>
      <c r="S15" s="264">
        <v>163.71</v>
      </c>
      <c r="T15" s="264">
        <v>6200.22</v>
      </c>
      <c r="U15" s="257">
        <v>3078</v>
      </c>
      <c r="V15" s="264">
        <v>20665.919999999998</v>
      </c>
      <c r="W15" s="299">
        <v>14689.49</v>
      </c>
      <c r="X15" s="300">
        <v>0</v>
      </c>
      <c r="Y15" s="300">
        <v>5976.43</v>
      </c>
    </row>
    <row r="16" spans="1:25">
      <c r="A16" s="257" t="str">
        <f>VLOOKUP(B16,[1]Supplier!$A:$B,2,FALSE)</f>
        <v>SCH016</v>
      </c>
      <c r="B16" s="296" t="s">
        <v>582</v>
      </c>
      <c r="C16" s="265"/>
      <c r="D16" s="297">
        <v>0</v>
      </c>
      <c r="E16" s="297"/>
      <c r="F16" s="297">
        <v>0</v>
      </c>
      <c r="G16" s="282">
        <v>0</v>
      </c>
      <c r="H16" s="261"/>
      <c r="I16" s="262">
        <v>0</v>
      </c>
      <c r="J16" s="298">
        <f t="shared" si="0"/>
        <v>0</v>
      </c>
      <c r="K16" s="257">
        <v>0</v>
      </c>
      <c r="L16" s="257">
        <v>11</v>
      </c>
      <c r="M16" s="257">
        <v>0</v>
      </c>
      <c r="N16" s="264">
        <v>0</v>
      </c>
      <c r="O16" s="264">
        <v>0</v>
      </c>
      <c r="P16" s="264">
        <v>0</v>
      </c>
      <c r="Q16" s="257">
        <v>0</v>
      </c>
      <c r="R16" s="264">
        <v>0</v>
      </c>
      <c r="S16" s="264">
        <v>0</v>
      </c>
      <c r="T16" s="264">
        <v>0</v>
      </c>
      <c r="U16" s="257"/>
      <c r="V16" s="264">
        <v>0</v>
      </c>
      <c r="W16" s="299">
        <v>0</v>
      </c>
      <c r="X16" s="300">
        <v>0</v>
      </c>
      <c r="Y16" s="300">
        <v>0</v>
      </c>
    </row>
    <row r="17" spans="1:25">
      <c r="A17" s="257" t="str">
        <f>VLOOKUP(B17,[1]Supplier!$A:$B,2,FALSE)</f>
        <v>SCH018</v>
      </c>
      <c r="B17" s="296" t="s">
        <v>536</v>
      </c>
      <c r="C17" s="265">
        <v>12750</v>
      </c>
      <c r="D17" s="297">
        <v>65994</v>
      </c>
      <c r="E17" s="297"/>
      <c r="F17" s="297">
        <v>32997</v>
      </c>
      <c r="G17" s="282">
        <v>32997</v>
      </c>
      <c r="H17" s="261">
        <v>12750</v>
      </c>
      <c r="I17" s="262">
        <v>32997</v>
      </c>
      <c r="J17" s="298">
        <f t="shared" si="0"/>
        <v>65994</v>
      </c>
      <c r="K17" s="257">
        <v>71</v>
      </c>
      <c r="L17" s="257">
        <v>11</v>
      </c>
      <c r="M17" s="257">
        <v>11286</v>
      </c>
      <c r="N17" s="264">
        <v>73020.42</v>
      </c>
      <c r="O17" s="264">
        <v>5772.03</v>
      </c>
      <c r="P17" s="264">
        <v>78792.45</v>
      </c>
      <c r="Q17" s="257">
        <v>1650</v>
      </c>
      <c r="R17" s="264">
        <v>10675.5</v>
      </c>
      <c r="S17" s="264">
        <v>316.8</v>
      </c>
      <c r="T17" s="264">
        <v>10992.3</v>
      </c>
      <c r="U17" s="257">
        <v>12936</v>
      </c>
      <c r="V17" s="264">
        <v>89784.75</v>
      </c>
      <c r="W17" s="299">
        <v>65994</v>
      </c>
      <c r="X17" s="300">
        <v>0</v>
      </c>
      <c r="Y17" s="300">
        <v>23790.75</v>
      </c>
    </row>
    <row r="18" spans="1:25">
      <c r="A18" s="257" t="str">
        <f>VLOOKUP(B18,[1]Supplier!$A:$B,2,FALSE)</f>
        <v>SCH019</v>
      </c>
      <c r="B18" s="296" t="s">
        <v>537</v>
      </c>
      <c r="C18" s="265">
        <v>5010</v>
      </c>
      <c r="D18" s="297">
        <v>25931.759999999998</v>
      </c>
      <c r="E18" s="297"/>
      <c r="F18" s="297">
        <v>12965.88</v>
      </c>
      <c r="G18" s="282">
        <v>12965.88</v>
      </c>
      <c r="H18" s="261">
        <v>5010</v>
      </c>
      <c r="I18" s="262">
        <v>12965.88</v>
      </c>
      <c r="J18" s="298">
        <f t="shared" si="0"/>
        <v>25931.759999999998</v>
      </c>
      <c r="K18" s="257">
        <v>24</v>
      </c>
      <c r="L18" s="257">
        <v>11</v>
      </c>
      <c r="M18" s="257">
        <v>3825</v>
      </c>
      <c r="N18" s="264">
        <v>24747.75</v>
      </c>
      <c r="O18" s="264">
        <v>2860.95</v>
      </c>
      <c r="P18" s="264">
        <v>27608.7</v>
      </c>
      <c r="Q18" s="257">
        <v>1185</v>
      </c>
      <c r="R18" s="264">
        <v>7666.95</v>
      </c>
      <c r="S18" s="264">
        <v>336.15</v>
      </c>
      <c r="T18" s="264">
        <v>8003.1</v>
      </c>
      <c r="U18" s="257">
        <v>5010</v>
      </c>
      <c r="V18" s="264">
        <v>35611.800000000003</v>
      </c>
      <c r="W18" s="299">
        <v>25931.759999999998</v>
      </c>
      <c r="X18" s="300">
        <v>0</v>
      </c>
      <c r="Y18" s="300">
        <v>9680.0400000000009</v>
      </c>
    </row>
    <row r="19" spans="1:25">
      <c r="A19" s="257" t="str">
        <f>VLOOKUP(B19,[1]Supplier!$A:$B,2,FALSE)</f>
        <v>SCH021</v>
      </c>
      <c r="B19" s="296" t="s">
        <v>583</v>
      </c>
      <c r="C19" s="265">
        <v>8580</v>
      </c>
      <c r="D19" s="297">
        <v>44410.080000000002</v>
      </c>
      <c r="E19" s="297"/>
      <c r="F19" s="297">
        <v>22205.040000000001</v>
      </c>
      <c r="G19" s="282">
        <v>22205.040000000001</v>
      </c>
      <c r="H19" s="261">
        <v>8580</v>
      </c>
      <c r="I19" s="262">
        <v>22205.040000000001</v>
      </c>
      <c r="J19" s="298">
        <f t="shared" si="0"/>
        <v>44410.080000000002</v>
      </c>
      <c r="K19" s="257">
        <v>39</v>
      </c>
      <c r="L19" s="257">
        <v>11</v>
      </c>
      <c r="M19" s="257">
        <v>6420</v>
      </c>
      <c r="N19" s="264">
        <v>41537.4</v>
      </c>
      <c r="O19" s="264">
        <v>3390.15</v>
      </c>
      <c r="P19" s="264">
        <v>44927.55</v>
      </c>
      <c r="Q19" s="257">
        <v>2295</v>
      </c>
      <c r="R19" s="264">
        <v>14848.65</v>
      </c>
      <c r="S19" s="264">
        <v>633</v>
      </c>
      <c r="T19" s="264">
        <v>15481.65</v>
      </c>
      <c r="U19" s="257">
        <v>8715</v>
      </c>
      <c r="V19" s="264">
        <v>60409.2</v>
      </c>
      <c r="W19" s="299">
        <v>44410.080000000002</v>
      </c>
      <c r="X19" s="300">
        <v>0</v>
      </c>
      <c r="Y19" s="300">
        <v>15999.12</v>
      </c>
    </row>
    <row r="20" spans="1:25">
      <c r="A20" s="257" t="str">
        <f>VLOOKUP(B20,[1]Supplier!$A:$B,2,FALSE)</f>
        <v>SCH022</v>
      </c>
      <c r="B20" s="296" t="s">
        <v>538</v>
      </c>
      <c r="C20" s="265"/>
      <c r="D20" s="297">
        <v>0</v>
      </c>
      <c r="E20" s="297"/>
      <c r="F20" s="297">
        <v>0</v>
      </c>
      <c r="G20" s="282">
        <v>0</v>
      </c>
      <c r="H20" s="261"/>
      <c r="I20" s="262">
        <v>0</v>
      </c>
      <c r="J20" s="298">
        <f t="shared" si="0"/>
        <v>0</v>
      </c>
      <c r="K20" s="257">
        <v>29</v>
      </c>
      <c r="L20" s="257">
        <v>11</v>
      </c>
      <c r="M20" s="257">
        <v>4785</v>
      </c>
      <c r="N20" s="264">
        <v>30958.95</v>
      </c>
      <c r="O20" s="264">
        <v>2478.3000000000002</v>
      </c>
      <c r="P20" s="264">
        <v>33437.25</v>
      </c>
      <c r="Q20" s="257">
        <v>1155</v>
      </c>
      <c r="R20" s="264">
        <v>7472.85</v>
      </c>
      <c r="S20" s="264">
        <v>292.05</v>
      </c>
      <c r="T20" s="264">
        <v>7764.9</v>
      </c>
      <c r="U20" s="257">
        <v>5940</v>
      </c>
      <c r="V20" s="264">
        <v>41202.15</v>
      </c>
      <c r="W20" s="299">
        <v>0</v>
      </c>
      <c r="X20" s="300">
        <v>0</v>
      </c>
      <c r="Y20" s="300">
        <v>41202.15</v>
      </c>
    </row>
    <row r="21" spans="1:25">
      <c r="A21" s="257" t="str">
        <f>VLOOKUP(B21,[1]Supplier!$A:$B,2,FALSE)</f>
        <v>SCH023</v>
      </c>
      <c r="B21" s="296" t="s">
        <v>584</v>
      </c>
      <c r="C21" s="265">
        <v>17235</v>
      </c>
      <c r="D21" s="297">
        <v>89208.36</v>
      </c>
      <c r="E21" s="297"/>
      <c r="F21" s="297">
        <v>44604.18</v>
      </c>
      <c r="G21" s="282">
        <v>44604.18</v>
      </c>
      <c r="H21" s="261">
        <v>17235</v>
      </c>
      <c r="I21" s="262">
        <v>44604.18</v>
      </c>
      <c r="J21" s="298">
        <f t="shared" si="0"/>
        <v>89208.36</v>
      </c>
      <c r="K21" s="257">
        <v>48</v>
      </c>
      <c r="L21" s="257">
        <v>13</v>
      </c>
      <c r="M21" s="257">
        <v>9300</v>
      </c>
      <c r="N21" s="264">
        <v>60171</v>
      </c>
      <c r="O21" s="264">
        <v>1755</v>
      </c>
      <c r="P21" s="264">
        <v>61926</v>
      </c>
      <c r="Q21" s="257">
        <v>7935</v>
      </c>
      <c r="R21" s="264">
        <v>51339.45</v>
      </c>
      <c r="S21" s="264">
        <v>1190.25</v>
      </c>
      <c r="T21" s="264">
        <v>52529.7</v>
      </c>
      <c r="U21" s="257">
        <v>17235</v>
      </c>
      <c r="V21" s="264">
        <v>114455.7</v>
      </c>
      <c r="W21" s="299">
        <v>89208.36</v>
      </c>
      <c r="X21" s="300">
        <v>0</v>
      </c>
      <c r="Y21" s="300">
        <v>25247.34</v>
      </c>
    </row>
    <row r="22" spans="1:25">
      <c r="A22" s="257" t="str">
        <f>VLOOKUP(B22,[1]Supplier!$A:$B,2,FALSE)</f>
        <v>SCH024</v>
      </c>
      <c r="B22" s="296" t="s">
        <v>585</v>
      </c>
      <c r="C22" s="265">
        <v>6270</v>
      </c>
      <c r="D22" s="297">
        <v>32453.52</v>
      </c>
      <c r="E22" s="297"/>
      <c r="F22" s="297">
        <v>16226.76</v>
      </c>
      <c r="G22" s="282">
        <v>16226.76</v>
      </c>
      <c r="H22" s="261">
        <v>6270</v>
      </c>
      <c r="I22" s="262">
        <v>16226.76</v>
      </c>
      <c r="J22" s="298">
        <f t="shared" si="0"/>
        <v>32453.52</v>
      </c>
      <c r="K22" s="257">
        <v>35</v>
      </c>
      <c r="L22" s="257">
        <v>13</v>
      </c>
      <c r="M22" s="257">
        <v>5595</v>
      </c>
      <c r="N22" s="264">
        <v>36199.65</v>
      </c>
      <c r="O22" s="264">
        <v>1520.7</v>
      </c>
      <c r="P22" s="264">
        <v>37720.35</v>
      </c>
      <c r="Q22" s="257">
        <v>1320</v>
      </c>
      <c r="R22" s="264">
        <v>8540.4</v>
      </c>
      <c r="S22" s="264">
        <v>277.2</v>
      </c>
      <c r="T22" s="264">
        <v>8817.6</v>
      </c>
      <c r="U22" s="257">
        <v>6915</v>
      </c>
      <c r="V22" s="264">
        <v>46537.95</v>
      </c>
      <c r="W22" s="299">
        <v>32453.52</v>
      </c>
      <c r="X22" s="300">
        <v>0</v>
      </c>
      <c r="Y22" s="300">
        <v>14084.43</v>
      </c>
    </row>
    <row r="23" spans="1:25">
      <c r="A23" s="257" t="str">
        <f>VLOOKUP(B23,[1]Supplier!$A:$B,2,FALSE)</f>
        <v>SCH027</v>
      </c>
      <c r="B23" s="296" t="s">
        <v>522</v>
      </c>
      <c r="C23" s="265">
        <v>8845.2000000000007</v>
      </c>
      <c r="D23" s="297">
        <v>45782.75</v>
      </c>
      <c r="E23" s="297"/>
      <c r="F23" s="297">
        <v>22891.38</v>
      </c>
      <c r="G23" s="282">
        <v>22891.38</v>
      </c>
      <c r="H23" s="261">
        <v>8845.2000000000007</v>
      </c>
      <c r="I23" s="262">
        <v>22891.37</v>
      </c>
      <c r="J23" s="298">
        <f t="shared" si="0"/>
        <v>45782.75</v>
      </c>
      <c r="K23" s="257">
        <v>42</v>
      </c>
      <c r="L23" s="257">
        <v>11.4</v>
      </c>
      <c r="M23" s="257">
        <v>6587.99</v>
      </c>
      <c r="N23" s="264">
        <v>42624.3</v>
      </c>
      <c r="O23" s="264">
        <v>2666.52</v>
      </c>
      <c r="P23" s="264">
        <v>45290.82</v>
      </c>
      <c r="Q23" s="257">
        <v>2505.4499999999998</v>
      </c>
      <c r="R23" s="264">
        <v>16210.26</v>
      </c>
      <c r="S23" s="264">
        <v>437.56</v>
      </c>
      <c r="T23" s="264">
        <v>16647.82</v>
      </c>
      <c r="U23" s="257">
        <v>9093.44</v>
      </c>
      <c r="V23" s="264">
        <v>61938.64</v>
      </c>
      <c r="W23" s="299">
        <v>45782.75</v>
      </c>
      <c r="X23" s="300">
        <v>0</v>
      </c>
      <c r="Y23" s="300">
        <v>16155.89</v>
      </c>
    </row>
    <row r="24" spans="1:25">
      <c r="A24" s="257" t="str">
        <f>VLOOKUP(B24,[1]Supplier!$A:$B,2,FALSE)</f>
        <v>SCH028</v>
      </c>
      <c r="B24" s="296" t="s">
        <v>523</v>
      </c>
      <c r="C24" s="265">
        <v>105</v>
      </c>
      <c r="D24" s="297">
        <v>543.48</v>
      </c>
      <c r="E24" s="297"/>
      <c r="F24" s="297">
        <v>271.74</v>
      </c>
      <c r="G24" s="282">
        <v>271.74</v>
      </c>
      <c r="H24" s="261">
        <v>105</v>
      </c>
      <c r="I24" s="262">
        <v>271.74</v>
      </c>
      <c r="J24" s="298">
        <f t="shared" si="0"/>
        <v>543.48</v>
      </c>
      <c r="K24" s="257">
        <v>1</v>
      </c>
      <c r="L24" s="257">
        <v>11</v>
      </c>
      <c r="M24" s="257">
        <v>105</v>
      </c>
      <c r="N24" s="264">
        <v>679.35</v>
      </c>
      <c r="O24" s="264">
        <v>15.75</v>
      </c>
      <c r="P24" s="264">
        <v>695.1</v>
      </c>
      <c r="Q24" s="257">
        <v>0</v>
      </c>
      <c r="R24" s="264">
        <v>0</v>
      </c>
      <c r="S24" s="264">
        <v>0</v>
      </c>
      <c r="T24" s="264">
        <v>0</v>
      </c>
      <c r="U24" s="257">
        <v>105</v>
      </c>
      <c r="V24" s="264">
        <v>695.1</v>
      </c>
      <c r="W24" s="299">
        <v>543.48</v>
      </c>
      <c r="X24" s="300">
        <v>0</v>
      </c>
      <c r="Y24" s="300">
        <v>151.62</v>
      </c>
    </row>
    <row r="25" spans="1:25">
      <c r="A25" s="257" t="str">
        <f>VLOOKUP(B25,[1]Supplier!$A:$B,2,FALSE)</f>
        <v>SCH029</v>
      </c>
      <c r="B25" s="296" t="s">
        <v>524</v>
      </c>
      <c r="C25" s="265">
        <v>11880</v>
      </c>
      <c r="D25" s="297">
        <v>61490.879999999997</v>
      </c>
      <c r="E25" s="297"/>
      <c r="F25" s="297">
        <v>30745.439999999999</v>
      </c>
      <c r="G25" s="282">
        <v>30745.439999999999</v>
      </c>
      <c r="H25" s="261">
        <v>11880</v>
      </c>
      <c r="I25" s="262">
        <v>30745.439999999999</v>
      </c>
      <c r="J25" s="298">
        <f t="shared" si="0"/>
        <v>61490.879999999997</v>
      </c>
      <c r="K25" s="257">
        <v>55</v>
      </c>
      <c r="L25" s="257">
        <v>11</v>
      </c>
      <c r="M25" s="257">
        <v>9015</v>
      </c>
      <c r="N25" s="264">
        <v>58327.05</v>
      </c>
      <c r="O25" s="264">
        <v>4640.3999999999996</v>
      </c>
      <c r="P25" s="264">
        <v>62967.45</v>
      </c>
      <c r="Q25" s="257">
        <v>3735</v>
      </c>
      <c r="R25" s="264">
        <v>24165.45</v>
      </c>
      <c r="S25" s="264">
        <v>724.95</v>
      </c>
      <c r="T25" s="264">
        <v>24890.400000000001</v>
      </c>
      <c r="U25" s="257">
        <v>12750</v>
      </c>
      <c r="V25" s="264">
        <v>87857.85</v>
      </c>
      <c r="W25" s="299">
        <v>61490.879999999997</v>
      </c>
      <c r="X25" s="300">
        <v>0</v>
      </c>
      <c r="Y25" s="300">
        <v>26366.97</v>
      </c>
    </row>
    <row r="26" spans="1:25">
      <c r="A26" s="257" t="str">
        <f>VLOOKUP(B26,[1]Supplier!$A:$B,2,FALSE)</f>
        <v>SCH030</v>
      </c>
      <c r="B26" s="296" t="s">
        <v>586</v>
      </c>
      <c r="C26" s="265">
        <v>10395</v>
      </c>
      <c r="D26" s="297">
        <v>53804.52</v>
      </c>
      <c r="E26" s="297"/>
      <c r="F26" s="297">
        <v>26902.26</v>
      </c>
      <c r="G26" s="282">
        <v>26902.26</v>
      </c>
      <c r="H26" s="261">
        <v>10395</v>
      </c>
      <c r="I26" s="262">
        <v>26902.26</v>
      </c>
      <c r="J26" s="298">
        <f t="shared" si="0"/>
        <v>53804.52</v>
      </c>
      <c r="K26" s="257">
        <v>48</v>
      </c>
      <c r="L26" s="257">
        <v>11</v>
      </c>
      <c r="M26" s="257">
        <v>7920</v>
      </c>
      <c r="N26" s="264">
        <v>51242.400000000001</v>
      </c>
      <c r="O26" s="264">
        <v>3374.25</v>
      </c>
      <c r="P26" s="264">
        <v>54616.65</v>
      </c>
      <c r="Q26" s="257">
        <v>2475</v>
      </c>
      <c r="R26" s="264">
        <v>16013.25</v>
      </c>
      <c r="S26" s="264">
        <v>782.1</v>
      </c>
      <c r="T26" s="264">
        <v>16795.349999999999</v>
      </c>
      <c r="U26" s="257">
        <v>10395</v>
      </c>
      <c r="V26" s="264">
        <v>71412</v>
      </c>
      <c r="W26" s="299">
        <v>53804.52</v>
      </c>
      <c r="X26" s="300">
        <v>0</v>
      </c>
      <c r="Y26" s="300">
        <v>17607.48</v>
      </c>
    </row>
    <row r="27" spans="1:25">
      <c r="A27" s="257" t="str">
        <f>VLOOKUP(B27,[1]Supplier!$A:$B,2,FALSE)</f>
        <v>SCH031</v>
      </c>
      <c r="B27" s="296" t="s">
        <v>539</v>
      </c>
      <c r="C27" s="265"/>
      <c r="D27" s="297">
        <v>0</v>
      </c>
      <c r="E27" s="297"/>
      <c r="F27" s="297">
        <v>0</v>
      </c>
      <c r="G27" s="282">
        <v>0</v>
      </c>
      <c r="H27" s="261"/>
      <c r="I27" s="262">
        <v>0</v>
      </c>
      <c r="J27" s="298">
        <f t="shared" si="0"/>
        <v>0</v>
      </c>
      <c r="K27" s="257">
        <v>61</v>
      </c>
      <c r="L27" s="257">
        <v>11</v>
      </c>
      <c r="M27" s="257">
        <v>10065</v>
      </c>
      <c r="N27" s="264">
        <v>65120.55</v>
      </c>
      <c r="O27" s="264">
        <v>2572.35</v>
      </c>
      <c r="P27" s="264">
        <v>67692.899999999994</v>
      </c>
      <c r="Q27" s="257">
        <v>6765</v>
      </c>
      <c r="R27" s="264">
        <v>43769.55</v>
      </c>
      <c r="S27" s="264">
        <v>1133.55</v>
      </c>
      <c r="T27" s="264">
        <v>44903.1</v>
      </c>
      <c r="U27" s="257">
        <v>16830</v>
      </c>
      <c r="V27" s="264">
        <v>112596</v>
      </c>
      <c r="W27" s="299">
        <v>0</v>
      </c>
      <c r="X27" s="300">
        <v>0</v>
      </c>
      <c r="Y27" s="300">
        <v>112596</v>
      </c>
    </row>
    <row r="28" spans="1:25">
      <c r="A28" s="257" t="str">
        <f>VLOOKUP(B28,[1]Supplier!$A:$B,2,FALSE)</f>
        <v>SCH032</v>
      </c>
      <c r="B28" s="296" t="s">
        <v>540</v>
      </c>
      <c r="C28" s="265">
        <v>5280</v>
      </c>
      <c r="D28" s="297">
        <v>27329.279999999999</v>
      </c>
      <c r="E28" s="297"/>
      <c r="F28" s="297">
        <v>13664.64</v>
      </c>
      <c r="G28" s="282">
        <v>13664.64</v>
      </c>
      <c r="H28" s="261">
        <v>5280</v>
      </c>
      <c r="I28" s="262">
        <v>13664.64</v>
      </c>
      <c r="J28" s="298">
        <f t="shared" si="0"/>
        <v>27329.279999999999</v>
      </c>
      <c r="K28" s="257">
        <v>20</v>
      </c>
      <c r="L28" s="257">
        <v>11</v>
      </c>
      <c r="M28" s="257">
        <v>3300</v>
      </c>
      <c r="N28" s="264">
        <v>21351</v>
      </c>
      <c r="O28" s="264">
        <v>904.2</v>
      </c>
      <c r="P28" s="264">
        <v>22255.200000000001</v>
      </c>
      <c r="Q28" s="257">
        <v>1980</v>
      </c>
      <c r="R28" s="264">
        <v>12810.6</v>
      </c>
      <c r="S28" s="264">
        <v>376.2</v>
      </c>
      <c r="T28" s="264">
        <v>13186.8</v>
      </c>
      <c r="U28" s="257">
        <v>5280</v>
      </c>
      <c r="V28" s="264">
        <v>35442</v>
      </c>
      <c r="W28" s="299">
        <v>27329.279999999999</v>
      </c>
      <c r="X28" s="300">
        <v>0</v>
      </c>
      <c r="Y28" s="300">
        <v>8112.72</v>
      </c>
    </row>
    <row r="29" spans="1:25">
      <c r="A29" s="257" t="str">
        <f>VLOOKUP(B29,[1]Supplier!$A:$B,2,FALSE)</f>
        <v>SCH087</v>
      </c>
      <c r="B29" s="296" t="s">
        <v>587</v>
      </c>
      <c r="C29" s="265">
        <v>156</v>
      </c>
      <c r="D29" s="297">
        <v>807.46</v>
      </c>
      <c r="E29" s="297"/>
      <c r="F29" s="297">
        <v>403.73</v>
      </c>
      <c r="G29" s="282">
        <v>403.73</v>
      </c>
      <c r="H29" s="261">
        <v>156</v>
      </c>
      <c r="I29" s="262">
        <v>403.73</v>
      </c>
      <c r="J29" s="298">
        <f t="shared" si="0"/>
        <v>807.46</v>
      </c>
      <c r="K29" s="257">
        <v>11</v>
      </c>
      <c r="L29" s="257">
        <v>11</v>
      </c>
      <c r="M29" s="257">
        <v>1545</v>
      </c>
      <c r="N29" s="264">
        <v>9996.15</v>
      </c>
      <c r="O29" s="264">
        <v>270.36</v>
      </c>
      <c r="P29" s="264">
        <v>10266.51</v>
      </c>
      <c r="Q29" s="257">
        <v>0</v>
      </c>
      <c r="R29" s="264">
        <v>0</v>
      </c>
      <c r="S29" s="264">
        <v>0</v>
      </c>
      <c r="T29" s="264">
        <v>0</v>
      </c>
      <c r="U29" s="257">
        <v>1545</v>
      </c>
      <c r="V29" s="264">
        <v>10266.51</v>
      </c>
      <c r="W29" s="299">
        <v>807.46</v>
      </c>
      <c r="X29" s="300">
        <v>0</v>
      </c>
      <c r="Y29" s="300">
        <v>9459.0499999999993</v>
      </c>
    </row>
    <row r="30" spans="1:25">
      <c r="A30" s="257" t="str">
        <f>VLOOKUP(B30,[1]Supplier!$A:$B,2,FALSE)</f>
        <v>SCH033</v>
      </c>
      <c r="B30" s="296" t="s">
        <v>541</v>
      </c>
      <c r="C30" s="265"/>
      <c r="D30" s="297">
        <v>0</v>
      </c>
      <c r="E30" s="297"/>
      <c r="F30" s="297">
        <v>0</v>
      </c>
      <c r="G30" s="282">
        <v>0</v>
      </c>
      <c r="H30" s="261"/>
      <c r="I30" s="262">
        <v>0</v>
      </c>
      <c r="J30" s="298">
        <f t="shared" si="0"/>
        <v>0</v>
      </c>
      <c r="K30" s="257">
        <v>15</v>
      </c>
      <c r="L30" s="257">
        <v>11</v>
      </c>
      <c r="M30" s="257">
        <v>2475</v>
      </c>
      <c r="N30" s="264">
        <v>16013.25</v>
      </c>
      <c r="O30" s="264">
        <v>734.25</v>
      </c>
      <c r="P30" s="264">
        <v>16747.5</v>
      </c>
      <c r="Q30" s="257">
        <v>660</v>
      </c>
      <c r="R30" s="264">
        <v>4270.2</v>
      </c>
      <c r="S30" s="264">
        <v>138.6</v>
      </c>
      <c r="T30" s="264">
        <v>4408.8</v>
      </c>
      <c r="U30" s="257">
        <v>3135</v>
      </c>
      <c r="V30" s="264">
        <v>21156.3</v>
      </c>
      <c r="W30" s="299">
        <v>0</v>
      </c>
      <c r="X30" s="300">
        <v>0</v>
      </c>
      <c r="Y30" s="300">
        <v>21156.3</v>
      </c>
    </row>
    <row r="31" spans="1:25">
      <c r="A31" s="257" t="str">
        <f>VLOOKUP(B31,[1]Supplier!$A:$B,2,FALSE)</f>
        <v>SCH034</v>
      </c>
      <c r="B31" s="296" t="s">
        <v>588</v>
      </c>
      <c r="C31" s="265">
        <v>6270</v>
      </c>
      <c r="D31" s="297">
        <v>32453.52</v>
      </c>
      <c r="E31" s="297"/>
      <c r="F31" s="297">
        <v>16226.76</v>
      </c>
      <c r="G31" s="282">
        <v>16226.76</v>
      </c>
      <c r="H31" s="261">
        <v>6270</v>
      </c>
      <c r="I31" s="262">
        <v>16226.76</v>
      </c>
      <c r="J31" s="298">
        <f t="shared" si="0"/>
        <v>32453.52</v>
      </c>
      <c r="K31" s="257">
        <v>32</v>
      </c>
      <c r="L31" s="257">
        <v>11</v>
      </c>
      <c r="M31" s="257">
        <v>5250</v>
      </c>
      <c r="N31" s="264">
        <v>33967.5</v>
      </c>
      <c r="O31" s="264">
        <v>1801.95</v>
      </c>
      <c r="P31" s="264">
        <v>35769.449999999997</v>
      </c>
      <c r="Q31" s="257">
        <v>1620</v>
      </c>
      <c r="R31" s="264">
        <v>10481.4</v>
      </c>
      <c r="S31" s="264">
        <v>243</v>
      </c>
      <c r="T31" s="264">
        <v>10724.4</v>
      </c>
      <c r="U31" s="257">
        <v>6870</v>
      </c>
      <c r="V31" s="264">
        <v>46493.85</v>
      </c>
      <c r="W31" s="299">
        <v>32453.52</v>
      </c>
      <c r="X31" s="300">
        <v>0</v>
      </c>
      <c r="Y31" s="300">
        <v>14040.33</v>
      </c>
    </row>
    <row r="32" spans="1:25">
      <c r="A32" s="257" t="str">
        <f>VLOOKUP(B32,[1]Supplier!$A:$B,2,FALSE)</f>
        <v>SCH035</v>
      </c>
      <c r="B32" s="296" t="s">
        <v>542</v>
      </c>
      <c r="C32" s="265"/>
      <c r="D32" s="297">
        <v>0</v>
      </c>
      <c r="E32" s="297"/>
      <c r="F32" s="297">
        <v>0</v>
      </c>
      <c r="G32" s="282">
        <v>0</v>
      </c>
      <c r="H32" s="261"/>
      <c r="I32" s="262">
        <v>0</v>
      </c>
      <c r="J32" s="298">
        <f t="shared" si="0"/>
        <v>0</v>
      </c>
      <c r="K32" s="257">
        <v>17</v>
      </c>
      <c r="L32" s="257">
        <v>13</v>
      </c>
      <c r="M32" s="257">
        <v>2685</v>
      </c>
      <c r="N32" s="264">
        <v>17371.95</v>
      </c>
      <c r="O32" s="264">
        <v>1213.95</v>
      </c>
      <c r="P32" s="264">
        <v>18585.900000000001</v>
      </c>
      <c r="Q32" s="257">
        <v>1455</v>
      </c>
      <c r="R32" s="264">
        <v>9413.85</v>
      </c>
      <c r="S32" s="264">
        <v>250.65</v>
      </c>
      <c r="T32" s="264">
        <v>9664.5</v>
      </c>
      <c r="U32" s="257">
        <v>4140</v>
      </c>
      <c r="V32" s="264">
        <v>28250.400000000001</v>
      </c>
      <c r="W32" s="299">
        <v>0</v>
      </c>
      <c r="X32" s="300">
        <v>0</v>
      </c>
      <c r="Y32" s="300">
        <v>28250.400000000001</v>
      </c>
    </row>
    <row r="33" spans="1:25">
      <c r="A33" s="257" t="str">
        <f>VLOOKUP(B33,[1]Supplier!$A:$B,2,FALSE)</f>
        <v>SCH036</v>
      </c>
      <c r="B33" s="296" t="s">
        <v>589</v>
      </c>
      <c r="C33" s="265">
        <v>6600</v>
      </c>
      <c r="D33" s="297">
        <v>34161.599999999999</v>
      </c>
      <c r="E33" s="297"/>
      <c r="F33" s="297">
        <v>17080.8</v>
      </c>
      <c r="G33" s="282">
        <v>17080.8</v>
      </c>
      <c r="H33" s="261">
        <v>6600</v>
      </c>
      <c r="I33" s="262">
        <v>17080.8</v>
      </c>
      <c r="J33" s="298">
        <f t="shared" si="0"/>
        <v>34161.599999999999</v>
      </c>
      <c r="K33" s="257">
        <v>29</v>
      </c>
      <c r="L33" s="257">
        <v>11</v>
      </c>
      <c r="M33" s="257">
        <v>4785</v>
      </c>
      <c r="N33" s="264">
        <v>30958.95</v>
      </c>
      <c r="O33" s="264">
        <v>922.35</v>
      </c>
      <c r="P33" s="264">
        <v>31881.3</v>
      </c>
      <c r="Q33" s="257">
        <v>1815</v>
      </c>
      <c r="R33" s="264">
        <v>11743.05</v>
      </c>
      <c r="S33" s="264">
        <v>311.85000000000002</v>
      </c>
      <c r="T33" s="264">
        <v>12054.9</v>
      </c>
      <c r="U33" s="257">
        <v>6600</v>
      </c>
      <c r="V33" s="264">
        <v>43936.2</v>
      </c>
      <c r="W33" s="299">
        <v>34161.599999999999</v>
      </c>
      <c r="X33" s="300">
        <v>0</v>
      </c>
      <c r="Y33" s="300">
        <v>9774.6</v>
      </c>
    </row>
    <row r="34" spans="1:25">
      <c r="A34" s="257" t="str">
        <f>VLOOKUP(B34,[1]Supplier!$A:$B,2,FALSE)</f>
        <v>SCH038</v>
      </c>
      <c r="B34" s="296" t="s">
        <v>525</v>
      </c>
      <c r="C34" s="265">
        <v>10104</v>
      </c>
      <c r="D34" s="297">
        <v>52298.3</v>
      </c>
      <c r="E34" s="297"/>
      <c r="F34" s="297">
        <v>26149.15</v>
      </c>
      <c r="G34" s="282">
        <v>26149.15</v>
      </c>
      <c r="H34" s="261">
        <v>10104</v>
      </c>
      <c r="I34" s="262">
        <v>26149.15</v>
      </c>
      <c r="J34" s="298">
        <f t="shared" si="0"/>
        <v>52298.3</v>
      </c>
      <c r="K34" s="257">
        <v>48</v>
      </c>
      <c r="L34" s="257">
        <v>11</v>
      </c>
      <c r="M34" s="257">
        <v>7410</v>
      </c>
      <c r="N34" s="264">
        <v>47942.7</v>
      </c>
      <c r="O34" s="264">
        <v>3062.4</v>
      </c>
      <c r="P34" s="264">
        <v>51005.1</v>
      </c>
      <c r="Q34" s="257">
        <v>2865</v>
      </c>
      <c r="R34" s="264">
        <v>18536.55</v>
      </c>
      <c r="S34" s="264">
        <v>632.25</v>
      </c>
      <c r="T34" s="264">
        <v>19168.8</v>
      </c>
      <c r="U34" s="257">
        <v>10275</v>
      </c>
      <c r="V34" s="264">
        <v>70173.899999999994</v>
      </c>
      <c r="W34" s="299">
        <v>52298.3</v>
      </c>
      <c r="X34" s="300">
        <v>0</v>
      </c>
      <c r="Y34" s="300">
        <v>17875.599999999999</v>
      </c>
    </row>
    <row r="35" spans="1:25">
      <c r="A35" s="257" t="str">
        <f>VLOOKUP(B35,[1]Supplier!$A:$B,2,FALSE)</f>
        <v>SCH083</v>
      </c>
      <c r="B35" s="296" t="s">
        <v>590</v>
      </c>
      <c r="C35" s="265">
        <v>1155</v>
      </c>
      <c r="D35" s="297">
        <v>5978.28</v>
      </c>
      <c r="E35" s="297"/>
      <c r="F35" s="297">
        <v>2989.14</v>
      </c>
      <c r="G35" s="282">
        <v>2989.14</v>
      </c>
      <c r="H35" s="261">
        <v>1155</v>
      </c>
      <c r="I35" s="262">
        <v>2989.14</v>
      </c>
      <c r="J35" s="298">
        <f t="shared" si="0"/>
        <v>5978.28</v>
      </c>
      <c r="K35" s="257">
        <v>8</v>
      </c>
      <c r="L35" s="257">
        <v>11</v>
      </c>
      <c r="M35" s="257">
        <v>1230</v>
      </c>
      <c r="N35" s="264">
        <v>7958.1</v>
      </c>
      <c r="O35" s="264">
        <v>224.1</v>
      </c>
      <c r="P35" s="264">
        <v>8182.2</v>
      </c>
      <c r="Q35" s="257">
        <v>0</v>
      </c>
      <c r="R35" s="264">
        <v>0</v>
      </c>
      <c r="S35" s="264">
        <v>0</v>
      </c>
      <c r="T35" s="264">
        <v>0</v>
      </c>
      <c r="U35" s="257">
        <v>1230</v>
      </c>
      <c r="V35" s="264">
        <v>8182.2</v>
      </c>
      <c r="W35" s="299">
        <v>5978.28</v>
      </c>
      <c r="X35" s="300">
        <v>0</v>
      </c>
      <c r="Y35" s="300">
        <v>2203.92</v>
      </c>
    </row>
    <row r="36" spans="1:25">
      <c r="A36" s="257" t="str">
        <f>VLOOKUP(B36,[1]Supplier!$A:$B,2,FALSE)</f>
        <v>SCH039</v>
      </c>
      <c r="B36" s="296" t="s">
        <v>543</v>
      </c>
      <c r="C36" s="265">
        <v>6795</v>
      </c>
      <c r="D36" s="297">
        <v>35170.92</v>
      </c>
      <c r="E36" s="297"/>
      <c r="F36" s="297">
        <v>17585.46</v>
      </c>
      <c r="G36" s="282">
        <v>17585.46</v>
      </c>
      <c r="H36" s="261">
        <v>6782</v>
      </c>
      <c r="I36" s="262">
        <v>17518.169999999998</v>
      </c>
      <c r="J36" s="298">
        <f t="shared" si="0"/>
        <v>35103.629999999997</v>
      </c>
      <c r="K36" s="257">
        <v>35</v>
      </c>
      <c r="L36" s="257">
        <v>11</v>
      </c>
      <c r="M36" s="257">
        <v>5490</v>
      </c>
      <c r="N36" s="264">
        <v>35520.300000000003</v>
      </c>
      <c r="O36" s="264">
        <v>1734.9</v>
      </c>
      <c r="P36" s="264">
        <v>37255.199999999997</v>
      </c>
      <c r="Q36" s="257">
        <v>1485</v>
      </c>
      <c r="R36" s="264">
        <v>9607.9500000000007</v>
      </c>
      <c r="S36" s="264">
        <v>262.35000000000002</v>
      </c>
      <c r="T36" s="264">
        <v>9870.2999999999993</v>
      </c>
      <c r="U36" s="257">
        <v>6975</v>
      </c>
      <c r="V36" s="264">
        <v>47125.5</v>
      </c>
      <c r="W36" s="299">
        <v>35103.629999999997</v>
      </c>
      <c r="X36" s="300">
        <v>0</v>
      </c>
      <c r="Y36" s="300">
        <v>12021.87</v>
      </c>
    </row>
    <row r="37" spans="1:25">
      <c r="A37" s="257" t="str">
        <f>VLOOKUP(B37,[1]Supplier!$A:$B,2,FALSE)</f>
        <v>SCH040</v>
      </c>
      <c r="B37" s="296" t="s">
        <v>591</v>
      </c>
      <c r="C37" s="265">
        <v>13002</v>
      </c>
      <c r="D37" s="297">
        <v>67298.350000000006</v>
      </c>
      <c r="E37" s="297"/>
      <c r="F37" s="297">
        <v>33649.18</v>
      </c>
      <c r="G37" s="282">
        <v>33649.18</v>
      </c>
      <c r="H37" s="261">
        <v>13002</v>
      </c>
      <c r="I37" s="262">
        <v>33649.17</v>
      </c>
      <c r="J37" s="298">
        <f t="shared" si="0"/>
        <v>67298.350000000006</v>
      </c>
      <c r="K37" s="257">
        <v>56</v>
      </c>
      <c r="L37" s="257">
        <v>11.4</v>
      </c>
      <c r="M37" s="257">
        <v>8493</v>
      </c>
      <c r="N37" s="264">
        <v>54949.71</v>
      </c>
      <c r="O37" s="264">
        <v>3147.99</v>
      </c>
      <c r="P37" s="264">
        <v>58097.7</v>
      </c>
      <c r="Q37" s="257">
        <v>4509</v>
      </c>
      <c r="R37" s="264">
        <v>29173.23</v>
      </c>
      <c r="S37" s="264">
        <v>1052.19</v>
      </c>
      <c r="T37" s="264">
        <v>30225.42</v>
      </c>
      <c r="U37" s="257">
        <v>13002</v>
      </c>
      <c r="V37" s="264">
        <v>88323.12</v>
      </c>
      <c r="W37" s="299">
        <v>67298.350000000006</v>
      </c>
      <c r="X37" s="300">
        <v>0</v>
      </c>
      <c r="Y37" s="300">
        <v>21024.77</v>
      </c>
    </row>
    <row r="38" spans="1:25">
      <c r="A38" s="257" t="str">
        <f>VLOOKUP(B38,[1]Supplier!$A:$B,2,FALSE)</f>
        <v>SCH041</v>
      </c>
      <c r="B38" s="296" t="s">
        <v>592</v>
      </c>
      <c r="C38" s="265">
        <v>5775</v>
      </c>
      <c r="D38" s="297">
        <v>29891.4</v>
      </c>
      <c r="E38" s="297"/>
      <c r="F38" s="297">
        <v>14945.7</v>
      </c>
      <c r="G38" s="282">
        <v>14945.7</v>
      </c>
      <c r="H38" s="261">
        <v>5775</v>
      </c>
      <c r="I38" s="262">
        <v>14945.7</v>
      </c>
      <c r="J38" s="298">
        <f t="shared" si="0"/>
        <v>29891.4</v>
      </c>
      <c r="K38" s="257">
        <v>23</v>
      </c>
      <c r="L38" s="257">
        <v>11</v>
      </c>
      <c r="M38" s="257">
        <v>3795</v>
      </c>
      <c r="N38" s="264">
        <v>24553.65</v>
      </c>
      <c r="O38" s="264">
        <v>663.3</v>
      </c>
      <c r="P38" s="264">
        <v>25216.95</v>
      </c>
      <c r="Q38" s="257">
        <v>1980</v>
      </c>
      <c r="R38" s="264">
        <v>12810.6</v>
      </c>
      <c r="S38" s="264">
        <v>376.2</v>
      </c>
      <c r="T38" s="264">
        <v>13186.8</v>
      </c>
      <c r="U38" s="257">
        <v>5775</v>
      </c>
      <c r="V38" s="264">
        <v>38403.75</v>
      </c>
      <c r="W38" s="299">
        <v>29891.4</v>
      </c>
      <c r="X38" s="300">
        <v>0</v>
      </c>
      <c r="Y38" s="300">
        <v>8512.35</v>
      </c>
    </row>
    <row r="39" spans="1:25">
      <c r="A39" s="257" t="str">
        <f>VLOOKUP(B39,[1]Supplier!$A:$B,2,FALSE)</f>
        <v>SCH042</v>
      </c>
      <c r="B39" s="296" t="s">
        <v>593</v>
      </c>
      <c r="C39" s="265">
        <v>7260</v>
      </c>
      <c r="D39" s="297">
        <v>37577.760000000002</v>
      </c>
      <c r="E39" s="297"/>
      <c r="F39" s="297">
        <v>18788.88</v>
      </c>
      <c r="G39" s="282">
        <v>18788.88</v>
      </c>
      <c r="H39" s="261">
        <v>7260</v>
      </c>
      <c r="I39" s="262">
        <v>18788.88</v>
      </c>
      <c r="J39" s="298">
        <f t="shared" si="0"/>
        <v>37577.760000000002</v>
      </c>
      <c r="K39" s="257">
        <v>30</v>
      </c>
      <c r="L39" s="257">
        <v>11</v>
      </c>
      <c r="M39" s="257">
        <v>4950</v>
      </c>
      <c r="N39" s="264">
        <v>32026.5</v>
      </c>
      <c r="O39" s="264">
        <v>861.3</v>
      </c>
      <c r="P39" s="264">
        <v>32887.800000000003</v>
      </c>
      <c r="Q39" s="257">
        <v>2310</v>
      </c>
      <c r="R39" s="264">
        <v>14945.7</v>
      </c>
      <c r="S39" s="264">
        <v>465.3</v>
      </c>
      <c r="T39" s="264">
        <v>15411</v>
      </c>
      <c r="U39" s="257">
        <v>7260</v>
      </c>
      <c r="V39" s="264">
        <v>48298.8</v>
      </c>
      <c r="W39" s="299">
        <v>37577.760000000002</v>
      </c>
      <c r="X39" s="300">
        <v>0</v>
      </c>
      <c r="Y39" s="300">
        <v>10721.04</v>
      </c>
    </row>
    <row r="40" spans="1:25">
      <c r="A40" s="257" t="str">
        <f>VLOOKUP(B40,[1]Supplier!$A:$B,2,FALSE)</f>
        <v>SCH043</v>
      </c>
      <c r="B40" s="296" t="s">
        <v>594</v>
      </c>
      <c r="C40" s="265"/>
      <c r="D40" s="297">
        <v>0</v>
      </c>
      <c r="E40" s="297"/>
      <c r="F40" s="297">
        <v>0</v>
      </c>
      <c r="G40" s="282">
        <v>0</v>
      </c>
      <c r="H40" s="261"/>
      <c r="I40" s="262">
        <v>0</v>
      </c>
      <c r="J40" s="298">
        <f t="shared" si="0"/>
        <v>0</v>
      </c>
      <c r="K40" s="257">
        <v>53</v>
      </c>
      <c r="L40" s="257">
        <v>11</v>
      </c>
      <c r="M40" s="257">
        <v>8745</v>
      </c>
      <c r="N40" s="264">
        <v>56580.15</v>
      </c>
      <c r="O40" s="264">
        <v>1311.75</v>
      </c>
      <c r="P40" s="264">
        <v>57891.9</v>
      </c>
      <c r="Q40" s="257">
        <v>2145</v>
      </c>
      <c r="R40" s="264">
        <v>13878.15</v>
      </c>
      <c r="S40" s="264">
        <v>321.75</v>
      </c>
      <c r="T40" s="264">
        <v>14199.9</v>
      </c>
      <c r="U40" s="257">
        <v>10890</v>
      </c>
      <c r="V40" s="264">
        <v>72091.8</v>
      </c>
      <c r="W40" s="299">
        <v>0</v>
      </c>
      <c r="X40" s="300">
        <v>0</v>
      </c>
      <c r="Y40" s="300">
        <v>72091.8</v>
      </c>
    </row>
    <row r="41" spans="1:25">
      <c r="A41" s="257" t="str">
        <f>VLOOKUP(B41,[1]Supplier!$A:$B,2,FALSE)</f>
        <v>SCH044</v>
      </c>
      <c r="B41" s="296" t="s">
        <v>595</v>
      </c>
      <c r="C41" s="265"/>
      <c r="D41" s="297">
        <v>0</v>
      </c>
      <c r="E41" s="297"/>
      <c r="F41" s="297">
        <v>0</v>
      </c>
      <c r="G41" s="282">
        <v>0</v>
      </c>
      <c r="H41" s="261"/>
      <c r="I41" s="262">
        <v>0</v>
      </c>
      <c r="J41" s="298">
        <f t="shared" si="0"/>
        <v>0</v>
      </c>
      <c r="K41" s="257">
        <v>33</v>
      </c>
      <c r="L41" s="257">
        <v>11</v>
      </c>
      <c r="M41" s="257">
        <v>5415</v>
      </c>
      <c r="N41" s="264">
        <v>35035.050000000003</v>
      </c>
      <c r="O41" s="264">
        <v>2133.9</v>
      </c>
      <c r="P41" s="264">
        <v>37168.949999999997</v>
      </c>
      <c r="Q41" s="257">
        <v>825</v>
      </c>
      <c r="R41" s="264">
        <v>5337.75</v>
      </c>
      <c r="S41" s="264">
        <v>179.85</v>
      </c>
      <c r="T41" s="264">
        <v>5517.6</v>
      </c>
      <c r="U41" s="257">
        <v>6240</v>
      </c>
      <c r="V41" s="264">
        <v>42686.55</v>
      </c>
      <c r="W41" s="299">
        <v>0</v>
      </c>
      <c r="X41" s="300">
        <v>0</v>
      </c>
      <c r="Y41" s="300">
        <v>42686.55</v>
      </c>
    </row>
    <row r="42" spans="1:25">
      <c r="A42" s="257" t="str">
        <f>VLOOKUP(B42,[1]Supplier!$A:$B,2,FALSE)</f>
        <v>SCH045</v>
      </c>
      <c r="B42" s="296" t="s">
        <v>544</v>
      </c>
      <c r="C42" s="265">
        <v>15180</v>
      </c>
      <c r="D42" s="297">
        <v>78571.679999999993</v>
      </c>
      <c r="E42" s="297"/>
      <c r="F42" s="297">
        <v>39285.839999999997</v>
      </c>
      <c r="G42" s="282">
        <v>39285.839999999997</v>
      </c>
      <c r="H42" s="261">
        <v>15180</v>
      </c>
      <c r="I42" s="262">
        <v>39285.839999999997</v>
      </c>
      <c r="J42" s="298">
        <f t="shared" si="0"/>
        <v>78571.679999999993</v>
      </c>
      <c r="K42" s="257">
        <v>70</v>
      </c>
      <c r="L42" s="257">
        <v>11</v>
      </c>
      <c r="M42" s="257">
        <v>11370</v>
      </c>
      <c r="N42" s="264">
        <v>73563.899999999994</v>
      </c>
      <c r="O42" s="264">
        <v>2240.1</v>
      </c>
      <c r="P42" s="264">
        <v>75804</v>
      </c>
      <c r="Q42" s="257">
        <v>4095</v>
      </c>
      <c r="R42" s="264">
        <v>26494.65</v>
      </c>
      <c r="S42" s="264">
        <v>653.85</v>
      </c>
      <c r="T42" s="264">
        <v>27148.5</v>
      </c>
      <c r="U42" s="257">
        <v>15465</v>
      </c>
      <c r="V42" s="264">
        <v>102952.5</v>
      </c>
      <c r="W42" s="299">
        <v>78571.679999999993</v>
      </c>
      <c r="X42" s="300">
        <v>0</v>
      </c>
      <c r="Y42" s="300">
        <v>24380.82</v>
      </c>
    </row>
    <row r="43" spans="1:25">
      <c r="A43" s="257" t="e">
        <f>VLOOKUP(B43,[1]Supplier!$A:$B,2,FALSE)</f>
        <v>#N/A</v>
      </c>
      <c r="B43" s="296" t="s">
        <v>545</v>
      </c>
      <c r="C43" s="265">
        <v>12060</v>
      </c>
      <c r="D43" s="297">
        <v>62422.559999999998</v>
      </c>
      <c r="E43" s="297"/>
      <c r="F43" s="297">
        <v>31211.279999999999</v>
      </c>
      <c r="G43" s="282">
        <v>31211.279999999999</v>
      </c>
      <c r="H43" s="261">
        <v>12060</v>
      </c>
      <c r="I43" s="262">
        <v>31211.279999999999</v>
      </c>
      <c r="J43" s="298">
        <f t="shared" si="0"/>
        <v>62422.559999999998</v>
      </c>
      <c r="K43" s="257">
        <v>64</v>
      </c>
      <c r="L43" s="257">
        <v>11</v>
      </c>
      <c r="M43" s="257">
        <v>10560</v>
      </c>
      <c r="N43" s="264">
        <v>68323.199999999997</v>
      </c>
      <c r="O43" s="264">
        <v>1613.7</v>
      </c>
      <c r="P43" s="264">
        <v>69936.899999999994</v>
      </c>
      <c r="Q43" s="257">
        <v>3795</v>
      </c>
      <c r="R43" s="264">
        <v>24553.65</v>
      </c>
      <c r="S43" s="264">
        <v>584.1</v>
      </c>
      <c r="T43" s="264">
        <v>25137.75</v>
      </c>
      <c r="U43" s="257">
        <v>14355</v>
      </c>
      <c r="V43" s="264">
        <v>95074.65</v>
      </c>
      <c r="W43" s="299">
        <v>62422.559999999998</v>
      </c>
      <c r="X43" s="300">
        <v>3658.2</v>
      </c>
      <c r="Y43" s="300">
        <v>36310.29</v>
      </c>
    </row>
    <row r="44" spans="1:25">
      <c r="A44" s="257" t="str">
        <f>VLOOKUP(B44,[1]Supplier!$A:$B,2,FALSE)</f>
        <v>SCH047</v>
      </c>
      <c r="B44" s="296" t="s">
        <v>546</v>
      </c>
      <c r="C44" s="265"/>
      <c r="D44" s="297">
        <v>0</v>
      </c>
      <c r="E44" s="297"/>
      <c r="F44" s="297">
        <v>0</v>
      </c>
      <c r="G44" s="282">
        <v>0</v>
      </c>
      <c r="H44" s="261"/>
      <c r="I44" s="262">
        <v>0</v>
      </c>
      <c r="J44" s="298">
        <f t="shared" si="0"/>
        <v>0</v>
      </c>
      <c r="K44" s="257">
        <v>22</v>
      </c>
      <c r="L44" s="257">
        <v>11</v>
      </c>
      <c r="M44" s="257">
        <v>3555</v>
      </c>
      <c r="N44" s="264">
        <v>23000.85</v>
      </c>
      <c r="O44" s="264">
        <v>2414.25</v>
      </c>
      <c r="P44" s="264">
        <v>25415.1</v>
      </c>
      <c r="Q44" s="257">
        <v>1245</v>
      </c>
      <c r="R44" s="264">
        <v>8055.15</v>
      </c>
      <c r="S44" s="264">
        <v>345.15</v>
      </c>
      <c r="T44" s="264">
        <v>8400.2999999999993</v>
      </c>
      <c r="U44" s="257">
        <v>4800</v>
      </c>
      <c r="V44" s="264">
        <v>33815.4</v>
      </c>
      <c r="W44" s="299">
        <v>0</v>
      </c>
      <c r="X44" s="300">
        <v>0</v>
      </c>
      <c r="Y44" s="300">
        <v>33815.4</v>
      </c>
    </row>
    <row r="45" spans="1:25">
      <c r="A45" s="257" t="e">
        <f>VLOOKUP(B45,[1]Supplier!$A:$B,2,FALSE)</f>
        <v>#N/A</v>
      </c>
      <c r="B45" s="296" t="s">
        <v>596</v>
      </c>
      <c r="C45" s="265">
        <v>8580</v>
      </c>
      <c r="D45" s="297">
        <v>44410.080000000002</v>
      </c>
      <c r="E45" s="297"/>
      <c r="F45" s="297">
        <v>22205.040000000001</v>
      </c>
      <c r="G45" s="282">
        <v>22205.040000000001</v>
      </c>
      <c r="H45" s="261">
        <v>8580</v>
      </c>
      <c r="I45" s="262">
        <v>22205.040000000001</v>
      </c>
      <c r="J45" s="298">
        <f t="shared" si="0"/>
        <v>44410.080000000002</v>
      </c>
      <c r="K45" s="257">
        <v>29</v>
      </c>
      <c r="L45" s="257">
        <v>11</v>
      </c>
      <c r="M45" s="257">
        <v>4785</v>
      </c>
      <c r="N45" s="264">
        <v>30958.95</v>
      </c>
      <c r="O45" s="264">
        <v>772.2</v>
      </c>
      <c r="P45" s="264">
        <v>31731.15</v>
      </c>
      <c r="Q45" s="257">
        <v>4125</v>
      </c>
      <c r="R45" s="264">
        <v>26688.75</v>
      </c>
      <c r="S45" s="264">
        <v>673.2</v>
      </c>
      <c r="T45" s="264">
        <v>27361.95</v>
      </c>
      <c r="U45" s="257">
        <v>8910</v>
      </c>
      <c r="V45" s="264">
        <v>59093.1</v>
      </c>
      <c r="W45" s="299">
        <v>44410.080000000002</v>
      </c>
      <c r="X45" s="300">
        <v>0</v>
      </c>
      <c r="Y45" s="300">
        <v>14683.02</v>
      </c>
    </row>
    <row r="46" spans="1:25">
      <c r="A46" s="257" t="str">
        <f>VLOOKUP(B46,[1]Supplier!$A:$B,2,FALSE)</f>
        <v>SCH049</v>
      </c>
      <c r="B46" s="296" t="s">
        <v>547</v>
      </c>
      <c r="C46" s="265"/>
      <c r="D46" s="297">
        <v>0</v>
      </c>
      <c r="E46" s="297"/>
      <c r="F46" s="297">
        <v>0</v>
      </c>
      <c r="G46" s="282">
        <v>0</v>
      </c>
      <c r="H46" s="261"/>
      <c r="I46" s="262">
        <v>0</v>
      </c>
      <c r="J46" s="298">
        <f t="shared" si="0"/>
        <v>0</v>
      </c>
      <c r="K46" s="257">
        <v>33</v>
      </c>
      <c r="L46" s="257">
        <v>11</v>
      </c>
      <c r="M46" s="257">
        <v>5445</v>
      </c>
      <c r="N46" s="264">
        <v>35229.15</v>
      </c>
      <c r="O46" s="264">
        <v>1641.75</v>
      </c>
      <c r="P46" s="264">
        <v>36870.9</v>
      </c>
      <c r="Q46" s="257">
        <v>1980</v>
      </c>
      <c r="R46" s="264">
        <v>12810.6</v>
      </c>
      <c r="S46" s="264">
        <v>297</v>
      </c>
      <c r="T46" s="264">
        <v>13107.6</v>
      </c>
      <c r="U46" s="257">
        <v>7425</v>
      </c>
      <c r="V46" s="264">
        <v>49978.5</v>
      </c>
      <c r="W46" s="299">
        <v>0</v>
      </c>
      <c r="X46" s="300">
        <v>0</v>
      </c>
      <c r="Y46" s="300">
        <v>49978.5</v>
      </c>
    </row>
    <row r="47" spans="1:25">
      <c r="A47" s="257" t="str">
        <f>VLOOKUP(B47,[1]Supplier!$A:$B,2,FALSE)</f>
        <v>SCH052</v>
      </c>
      <c r="B47" s="296" t="s">
        <v>597</v>
      </c>
      <c r="C47" s="265">
        <v>4620</v>
      </c>
      <c r="D47" s="297">
        <v>23913.119999999999</v>
      </c>
      <c r="E47" s="297"/>
      <c r="F47" s="297">
        <v>11956.56</v>
      </c>
      <c r="G47" s="282">
        <v>11956.56</v>
      </c>
      <c r="H47" s="261">
        <v>4620</v>
      </c>
      <c r="I47" s="262">
        <v>11956.56</v>
      </c>
      <c r="J47" s="298">
        <f t="shared" si="0"/>
        <v>23913.119999999999</v>
      </c>
      <c r="K47" s="257">
        <v>21</v>
      </c>
      <c r="L47" s="257">
        <v>11</v>
      </c>
      <c r="M47" s="257">
        <v>3315</v>
      </c>
      <c r="N47" s="264">
        <v>21448.05</v>
      </c>
      <c r="O47" s="264">
        <v>906.45</v>
      </c>
      <c r="P47" s="264">
        <v>22354.5</v>
      </c>
      <c r="Q47" s="257">
        <v>1485</v>
      </c>
      <c r="R47" s="264">
        <v>9607.9500000000007</v>
      </c>
      <c r="S47" s="264">
        <v>222.75</v>
      </c>
      <c r="T47" s="264">
        <v>9830.7000000000007</v>
      </c>
      <c r="U47" s="257">
        <v>4800</v>
      </c>
      <c r="V47" s="264">
        <v>32185.200000000001</v>
      </c>
      <c r="W47" s="299">
        <v>23913.119999999999</v>
      </c>
      <c r="X47" s="300">
        <v>0</v>
      </c>
      <c r="Y47" s="300">
        <v>8272.08</v>
      </c>
    </row>
    <row r="48" spans="1:25">
      <c r="A48" s="257" t="str">
        <f>VLOOKUP(B48,[1]Supplier!$A:$B,2,FALSE)</f>
        <v>SCH055</v>
      </c>
      <c r="B48" s="296" t="s">
        <v>548</v>
      </c>
      <c r="C48" s="265">
        <v>11220</v>
      </c>
      <c r="D48" s="297">
        <v>58074.720000000001</v>
      </c>
      <c r="E48" s="297"/>
      <c r="F48" s="297">
        <v>29037.360000000001</v>
      </c>
      <c r="G48" s="282">
        <v>29037.360000000001</v>
      </c>
      <c r="H48" s="261">
        <v>11220</v>
      </c>
      <c r="I48" s="262">
        <v>29037.360000000001</v>
      </c>
      <c r="J48" s="298">
        <f t="shared" si="0"/>
        <v>58074.720000000001</v>
      </c>
      <c r="K48" s="257">
        <v>58</v>
      </c>
      <c r="L48" s="257">
        <v>11</v>
      </c>
      <c r="M48" s="257">
        <v>9480</v>
      </c>
      <c r="N48" s="264">
        <v>61335.6</v>
      </c>
      <c r="O48" s="264">
        <v>4865.55</v>
      </c>
      <c r="P48" s="264">
        <v>66201.149999999994</v>
      </c>
      <c r="Q48" s="257">
        <v>1815</v>
      </c>
      <c r="R48" s="264">
        <v>11743.05</v>
      </c>
      <c r="S48" s="264">
        <v>311.85000000000002</v>
      </c>
      <c r="T48" s="264">
        <v>12054.9</v>
      </c>
      <c r="U48" s="257">
        <v>11295</v>
      </c>
      <c r="V48" s="264">
        <v>78256.05</v>
      </c>
      <c r="W48" s="299">
        <v>58074.720000000001</v>
      </c>
      <c r="X48" s="300">
        <v>0</v>
      </c>
      <c r="Y48" s="300">
        <v>20181.330000000002</v>
      </c>
    </row>
    <row r="49" spans="1:25">
      <c r="A49" s="257" t="str">
        <f>VLOOKUP(B49,[1]Supplier!$A:$B,2,FALSE)</f>
        <v>SCH056</v>
      </c>
      <c r="B49" s="296" t="s">
        <v>549</v>
      </c>
      <c r="C49" s="265">
        <v>11550</v>
      </c>
      <c r="D49" s="297">
        <v>59782.8</v>
      </c>
      <c r="E49" s="297"/>
      <c r="F49" s="297">
        <v>29891.4</v>
      </c>
      <c r="G49" s="282">
        <v>29891.4</v>
      </c>
      <c r="H49" s="261">
        <v>11550</v>
      </c>
      <c r="I49" s="262">
        <v>29891.4</v>
      </c>
      <c r="J49" s="298">
        <f t="shared" si="0"/>
        <v>59782.8</v>
      </c>
      <c r="K49" s="257">
        <v>41</v>
      </c>
      <c r="L49" s="257">
        <v>11</v>
      </c>
      <c r="M49" s="257">
        <v>6765</v>
      </c>
      <c r="N49" s="264">
        <v>43769.55</v>
      </c>
      <c r="O49" s="264">
        <v>1155</v>
      </c>
      <c r="P49" s="264">
        <v>44924.55</v>
      </c>
      <c r="Q49" s="257">
        <v>4785</v>
      </c>
      <c r="R49" s="264">
        <v>30958.95</v>
      </c>
      <c r="S49" s="264">
        <v>717.75</v>
      </c>
      <c r="T49" s="264">
        <v>31676.7</v>
      </c>
      <c r="U49" s="257">
        <v>11550</v>
      </c>
      <c r="V49" s="264">
        <v>76601.25</v>
      </c>
      <c r="W49" s="299">
        <v>59782.8</v>
      </c>
      <c r="X49" s="300">
        <v>0</v>
      </c>
      <c r="Y49" s="300">
        <v>16818.45</v>
      </c>
    </row>
    <row r="50" spans="1:25">
      <c r="A50" s="257" t="str">
        <f>VLOOKUP(B50,[1]Supplier!$A:$B,2,FALSE)</f>
        <v>SCH058</v>
      </c>
      <c r="B50" s="296" t="s">
        <v>550</v>
      </c>
      <c r="C50" s="265">
        <v>7260</v>
      </c>
      <c r="D50" s="297">
        <v>37577.760000000002</v>
      </c>
      <c r="E50" s="297"/>
      <c r="F50" s="297">
        <v>18788.88</v>
      </c>
      <c r="G50" s="282">
        <v>18788.88</v>
      </c>
      <c r="H50" s="261">
        <v>7260</v>
      </c>
      <c r="I50" s="262">
        <v>18788.88</v>
      </c>
      <c r="J50" s="298">
        <f t="shared" si="0"/>
        <v>37577.760000000002</v>
      </c>
      <c r="K50" s="257">
        <v>38</v>
      </c>
      <c r="L50" s="257">
        <v>11</v>
      </c>
      <c r="M50" s="257">
        <v>6270</v>
      </c>
      <c r="N50" s="264">
        <v>40566.9</v>
      </c>
      <c r="O50" s="264">
        <v>1450.35</v>
      </c>
      <c r="P50" s="264">
        <v>42017.25</v>
      </c>
      <c r="Q50" s="257">
        <v>1980</v>
      </c>
      <c r="R50" s="264">
        <v>12810.6</v>
      </c>
      <c r="S50" s="264">
        <v>336.6</v>
      </c>
      <c r="T50" s="264">
        <v>13147.2</v>
      </c>
      <c r="U50" s="257">
        <v>8250</v>
      </c>
      <c r="V50" s="264">
        <v>55164.45</v>
      </c>
      <c r="W50" s="299">
        <v>37577.760000000002</v>
      </c>
      <c r="X50" s="300">
        <v>0</v>
      </c>
      <c r="Y50" s="300">
        <v>17586.689999999999</v>
      </c>
    </row>
    <row r="51" spans="1:25">
      <c r="A51" s="257" t="str">
        <f>VLOOKUP(B51,[1]Supplier!$A:$B,2,FALSE)</f>
        <v>SCH059</v>
      </c>
      <c r="B51" s="296" t="s">
        <v>598</v>
      </c>
      <c r="C51" s="265">
        <v>8415</v>
      </c>
      <c r="D51" s="297">
        <v>43556.04</v>
      </c>
      <c r="E51" s="297"/>
      <c r="F51" s="297">
        <v>21778.02</v>
      </c>
      <c r="G51" s="282">
        <v>21778.02</v>
      </c>
      <c r="H51" s="261">
        <v>8415</v>
      </c>
      <c r="I51" s="262">
        <v>21778.02</v>
      </c>
      <c r="J51" s="298">
        <f t="shared" si="0"/>
        <v>43556.04</v>
      </c>
      <c r="K51" s="257">
        <v>32</v>
      </c>
      <c r="L51" s="257">
        <v>11</v>
      </c>
      <c r="M51" s="257">
        <v>5280</v>
      </c>
      <c r="N51" s="264">
        <v>34161.599999999999</v>
      </c>
      <c r="O51" s="264">
        <v>910.8</v>
      </c>
      <c r="P51" s="264">
        <v>35072.400000000001</v>
      </c>
      <c r="Q51" s="257">
        <v>3135</v>
      </c>
      <c r="R51" s="264">
        <v>20283.45</v>
      </c>
      <c r="S51" s="264">
        <v>509.85</v>
      </c>
      <c r="T51" s="264">
        <v>20793.3</v>
      </c>
      <c r="U51" s="257">
        <v>8415</v>
      </c>
      <c r="V51" s="264">
        <v>55865.7</v>
      </c>
      <c r="W51" s="299">
        <v>43556.04</v>
      </c>
      <c r="X51" s="300">
        <v>503.7</v>
      </c>
      <c r="Y51" s="300">
        <v>12813.36</v>
      </c>
    </row>
    <row r="52" spans="1:25">
      <c r="A52" s="257" t="str">
        <f>VLOOKUP(B52,[1]Supplier!$A:$B,2,FALSE)</f>
        <v>SCH060</v>
      </c>
      <c r="B52" s="296" t="s">
        <v>599</v>
      </c>
      <c r="C52" s="265">
        <v>5940</v>
      </c>
      <c r="D52" s="297">
        <v>30745.439999999999</v>
      </c>
      <c r="E52" s="297"/>
      <c r="F52" s="297">
        <v>15372.72</v>
      </c>
      <c r="G52" s="282">
        <v>15372.72</v>
      </c>
      <c r="H52" s="261">
        <v>5940</v>
      </c>
      <c r="I52" s="262">
        <v>15372.72</v>
      </c>
      <c r="J52" s="298">
        <f t="shared" si="0"/>
        <v>30745.439999999999</v>
      </c>
      <c r="K52" s="257">
        <v>26</v>
      </c>
      <c r="L52" s="257">
        <v>11</v>
      </c>
      <c r="M52" s="257">
        <v>4125</v>
      </c>
      <c r="N52" s="264">
        <v>26688.75</v>
      </c>
      <c r="O52" s="264">
        <v>2059.1999999999998</v>
      </c>
      <c r="P52" s="264">
        <v>28747.95</v>
      </c>
      <c r="Q52" s="257">
        <v>1815</v>
      </c>
      <c r="R52" s="264">
        <v>11743.05</v>
      </c>
      <c r="S52" s="264">
        <v>430.65</v>
      </c>
      <c r="T52" s="264">
        <v>12173.7</v>
      </c>
      <c r="U52" s="257">
        <v>5940</v>
      </c>
      <c r="V52" s="264">
        <v>40921.65</v>
      </c>
      <c r="W52" s="299">
        <v>30745.439999999999</v>
      </c>
      <c r="X52" s="300">
        <v>0</v>
      </c>
      <c r="Y52" s="300">
        <v>10176.209999999999</v>
      </c>
    </row>
    <row r="53" spans="1:25">
      <c r="A53" s="257" t="str">
        <f>VLOOKUP(B53,[1]Supplier!$A:$B,2,FALSE)</f>
        <v>SCH083</v>
      </c>
      <c r="B53" s="296" t="s">
        <v>526</v>
      </c>
      <c r="C53" s="265"/>
      <c r="D53" s="297">
        <v>0</v>
      </c>
      <c r="E53" s="297"/>
      <c r="F53" s="297">
        <v>0</v>
      </c>
      <c r="G53" s="282">
        <v>0</v>
      </c>
      <c r="H53" s="261"/>
      <c r="I53" s="262">
        <v>0</v>
      </c>
      <c r="J53" s="298">
        <f t="shared" si="0"/>
        <v>0</v>
      </c>
      <c r="K53" s="257">
        <v>27</v>
      </c>
      <c r="L53" s="257">
        <v>11</v>
      </c>
      <c r="M53" s="257">
        <v>4312</v>
      </c>
      <c r="N53" s="264">
        <v>27898.639999999999</v>
      </c>
      <c r="O53" s="264">
        <v>697.95</v>
      </c>
      <c r="P53" s="264">
        <v>28596.59</v>
      </c>
      <c r="Q53" s="257">
        <v>990</v>
      </c>
      <c r="R53" s="264">
        <v>6405.3</v>
      </c>
      <c r="S53" s="264">
        <v>163.35</v>
      </c>
      <c r="T53" s="264">
        <v>6568.65</v>
      </c>
      <c r="U53" s="257">
        <v>5302</v>
      </c>
      <c r="V53" s="264">
        <v>35165.24</v>
      </c>
      <c r="W53" s="299">
        <v>0</v>
      </c>
      <c r="X53" s="300">
        <v>0</v>
      </c>
      <c r="Y53" s="300">
        <v>35165.24</v>
      </c>
    </row>
    <row r="54" spans="1:25">
      <c r="A54" s="257" t="str">
        <f>VLOOKUP(B54,[1]Supplier!$A:$B,2,FALSE)</f>
        <v>SCH061</v>
      </c>
      <c r="B54" s="296" t="s">
        <v>527</v>
      </c>
      <c r="C54" s="265">
        <v>9555</v>
      </c>
      <c r="D54" s="297">
        <v>49456.68</v>
      </c>
      <c r="E54" s="297"/>
      <c r="F54" s="297">
        <v>24728.34</v>
      </c>
      <c r="G54" s="282">
        <v>24728.34</v>
      </c>
      <c r="H54" s="261">
        <v>9555</v>
      </c>
      <c r="I54" s="262">
        <v>24728.34</v>
      </c>
      <c r="J54" s="298">
        <f t="shared" si="0"/>
        <v>49456.68</v>
      </c>
      <c r="K54" s="257">
        <v>40</v>
      </c>
      <c r="L54" s="257">
        <v>11</v>
      </c>
      <c r="M54" s="257">
        <v>6426</v>
      </c>
      <c r="N54" s="264">
        <v>41576.22</v>
      </c>
      <c r="O54" s="264">
        <v>1980.3</v>
      </c>
      <c r="P54" s="264">
        <v>43556.52</v>
      </c>
      <c r="Q54" s="257">
        <v>3195.6</v>
      </c>
      <c r="R54" s="264">
        <v>20675.53</v>
      </c>
      <c r="S54" s="264">
        <v>598.14</v>
      </c>
      <c r="T54" s="264">
        <v>21273.67</v>
      </c>
      <c r="U54" s="257">
        <v>9621.6</v>
      </c>
      <c r="V54" s="264">
        <v>64830.19</v>
      </c>
      <c r="W54" s="299">
        <v>49456.68</v>
      </c>
      <c r="X54" s="300">
        <v>0</v>
      </c>
      <c r="Y54" s="300">
        <v>15373.51</v>
      </c>
    </row>
    <row r="55" spans="1:25">
      <c r="A55" s="257" t="str">
        <f>VLOOKUP(B55,[1]Supplier!$A:$B,2,FALSE)</f>
        <v>SCH062</v>
      </c>
      <c r="B55" s="296" t="s">
        <v>551</v>
      </c>
      <c r="C55" s="265">
        <v>3861</v>
      </c>
      <c r="D55" s="297">
        <v>19984.54</v>
      </c>
      <c r="E55" s="297"/>
      <c r="F55" s="297">
        <v>9992.27</v>
      </c>
      <c r="G55" s="282">
        <v>9992.27</v>
      </c>
      <c r="H55" s="261">
        <v>3861</v>
      </c>
      <c r="I55" s="262">
        <v>9992.27</v>
      </c>
      <c r="J55" s="298">
        <f t="shared" si="0"/>
        <v>19984.54</v>
      </c>
      <c r="K55" s="257">
        <v>17</v>
      </c>
      <c r="L55" s="257">
        <v>11</v>
      </c>
      <c r="M55" s="257">
        <v>2715</v>
      </c>
      <c r="N55" s="264">
        <v>17566.05</v>
      </c>
      <c r="O55" s="264">
        <v>587.1</v>
      </c>
      <c r="P55" s="264">
        <v>18153.150000000001</v>
      </c>
      <c r="Q55" s="257">
        <v>1221</v>
      </c>
      <c r="R55" s="264">
        <v>7899.87</v>
      </c>
      <c r="S55" s="264">
        <v>198</v>
      </c>
      <c r="T55" s="264">
        <v>8097.87</v>
      </c>
      <c r="U55" s="257">
        <v>3936</v>
      </c>
      <c r="V55" s="264">
        <v>26251.02</v>
      </c>
      <c r="W55" s="299">
        <v>19984.54</v>
      </c>
      <c r="X55" s="300">
        <v>0</v>
      </c>
      <c r="Y55" s="300">
        <v>6266.48</v>
      </c>
    </row>
    <row r="56" spans="1:25">
      <c r="A56" s="257" t="str">
        <f>VLOOKUP(B56,[1]Supplier!$A:$B,2,FALSE)</f>
        <v>SCH063</v>
      </c>
      <c r="B56" s="296" t="s">
        <v>600</v>
      </c>
      <c r="C56" s="265"/>
      <c r="D56" s="297">
        <v>0</v>
      </c>
      <c r="E56" s="297"/>
      <c r="F56" s="297">
        <v>0</v>
      </c>
      <c r="G56" s="282">
        <v>0</v>
      </c>
      <c r="H56" s="261"/>
      <c r="I56" s="262">
        <v>0</v>
      </c>
      <c r="J56" s="298">
        <f t="shared" si="0"/>
        <v>0</v>
      </c>
      <c r="K56" s="257">
        <v>31</v>
      </c>
      <c r="L56" s="257">
        <v>11</v>
      </c>
      <c r="M56" s="257">
        <v>4888</v>
      </c>
      <c r="N56" s="264">
        <v>31625.360000000001</v>
      </c>
      <c r="O56" s="264">
        <v>1117.6500000000001</v>
      </c>
      <c r="P56" s="264">
        <v>32743.01</v>
      </c>
      <c r="Q56" s="257">
        <v>1408</v>
      </c>
      <c r="R56" s="264">
        <v>9109.76</v>
      </c>
      <c r="S56" s="264">
        <v>211.2</v>
      </c>
      <c r="T56" s="264">
        <v>9320.9599999999991</v>
      </c>
      <c r="U56" s="257">
        <v>6296</v>
      </c>
      <c r="V56" s="264">
        <v>42063.97</v>
      </c>
      <c r="W56" s="299">
        <v>0</v>
      </c>
      <c r="X56" s="300">
        <v>0</v>
      </c>
      <c r="Y56" s="300">
        <v>42063.97</v>
      </c>
    </row>
    <row r="57" spans="1:25">
      <c r="A57" s="257" t="str">
        <f>VLOOKUP(B57,[1]Supplier!$A:$B,2,FALSE)</f>
        <v>SCH064</v>
      </c>
      <c r="B57" s="296" t="s">
        <v>601</v>
      </c>
      <c r="C57" s="265">
        <v>4950</v>
      </c>
      <c r="D57" s="297">
        <v>25621.200000000001</v>
      </c>
      <c r="E57" s="297"/>
      <c r="F57" s="297">
        <v>12810.6</v>
      </c>
      <c r="G57" s="282">
        <v>12810.6</v>
      </c>
      <c r="H57" s="261">
        <v>4950</v>
      </c>
      <c r="I57" s="262">
        <v>12810.6</v>
      </c>
      <c r="J57" s="298">
        <f t="shared" si="0"/>
        <v>25621.200000000001</v>
      </c>
      <c r="K57" s="257">
        <v>24</v>
      </c>
      <c r="L57" s="257">
        <v>11</v>
      </c>
      <c r="M57" s="257">
        <v>3960</v>
      </c>
      <c r="N57" s="264">
        <v>25621.200000000001</v>
      </c>
      <c r="O57" s="264">
        <v>2239.0500000000002</v>
      </c>
      <c r="P57" s="264">
        <v>27860.25</v>
      </c>
      <c r="Q57" s="257">
        <v>990</v>
      </c>
      <c r="R57" s="264">
        <v>6405.3</v>
      </c>
      <c r="S57" s="264">
        <v>267.3</v>
      </c>
      <c r="T57" s="264">
        <v>6672.6</v>
      </c>
      <c r="U57" s="257">
        <v>4950</v>
      </c>
      <c r="V57" s="264">
        <v>34532.85</v>
      </c>
      <c r="W57" s="299">
        <v>25621.200000000001</v>
      </c>
      <c r="X57" s="300">
        <v>0</v>
      </c>
      <c r="Y57" s="300">
        <v>8911.65</v>
      </c>
    </row>
    <row r="58" spans="1:25">
      <c r="A58" s="257" t="str">
        <f>VLOOKUP(B58,[1]Supplier!$A:$B,2,FALSE)</f>
        <v>SCH065</v>
      </c>
      <c r="B58" s="296" t="s">
        <v>552</v>
      </c>
      <c r="C58" s="265"/>
      <c r="D58" s="297">
        <v>0</v>
      </c>
      <c r="E58" s="297"/>
      <c r="F58" s="297">
        <v>0</v>
      </c>
      <c r="G58" s="282">
        <v>0</v>
      </c>
      <c r="H58" s="261"/>
      <c r="I58" s="262">
        <v>0</v>
      </c>
      <c r="J58" s="298">
        <f t="shared" si="0"/>
        <v>0</v>
      </c>
      <c r="K58" s="257">
        <v>66</v>
      </c>
      <c r="L58" s="257">
        <v>11</v>
      </c>
      <c r="M58" s="257">
        <v>10890</v>
      </c>
      <c r="N58" s="264">
        <v>70458.3</v>
      </c>
      <c r="O58" s="264">
        <v>4905.45</v>
      </c>
      <c r="P58" s="264">
        <v>75363.75</v>
      </c>
      <c r="Q58" s="257">
        <v>3135</v>
      </c>
      <c r="R58" s="264">
        <v>20283.45</v>
      </c>
      <c r="S58" s="264">
        <v>707.85</v>
      </c>
      <c r="T58" s="264">
        <v>20991.3</v>
      </c>
      <c r="U58" s="257">
        <v>14025</v>
      </c>
      <c r="V58" s="264">
        <v>96355.05</v>
      </c>
      <c r="W58" s="299">
        <v>0</v>
      </c>
      <c r="X58" s="300">
        <v>0</v>
      </c>
      <c r="Y58" s="300">
        <v>96355.05</v>
      </c>
    </row>
    <row r="59" spans="1:25">
      <c r="A59" s="257" t="str">
        <f>VLOOKUP(B59,[1]Supplier!$A:$B,2,FALSE)</f>
        <v>SCH084</v>
      </c>
      <c r="B59" s="296" t="s">
        <v>553</v>
      </c>
      <c r="C59" s="265"/>
      <c r="D59" s="297">
        <v>0</v>
      </c>
      <c r="E59" s="297"/>
      <c r="F59" s="297">
        <v>0</v>
      </c>
      <c r="G59" s="282">
        <v>0</v>
      </c>
      <c r="H59" s="261"/>
      <c r="I59" s="262">
        <v>0</v>
      </c>
      <c r="J59" s="298">
        <f t="shared" si="0"/>
        <v>0</v>
      </c>
      <c r="K59" s="257">
        <v>12</v>
      </c>
      <c r="L59" s="257">
        <v>11</v>
      </c>
      <c r="M59" s="257">
        <v>1980</v>
      </c>
      <c r="N59" s="264">
        <v>12810.6</v>
      </c>
      <c r="O59" s="264">
        <v>351.45</v>
      </c>
      <c r="P59" s="264">
        <v>13162.05</v>
      </c>
      <c r="Q59" s="257">
        <v>990</v>
      </c>
      <c r="R59" s="264">
        <v>6405.3</v>
      </c>
      <c r="S59" s="264">
        <v>188.1</v>
      </c>
      <c r="T59" s="264">
        <v>6593.4</v>
      </c>
      <c r="U59" s="257">
        <v>2970</v>
      </c>
      <c r="V59" s="264">
        <v>19755.45</v>
      </c>
      <c r="W59" s="299">
        <v>0</v>
      </c>
      <c r="X59" s="300">
        <v>0</v>
      </c>
      <c r="Y59" s="300">
        <v>19755.45</v>
      </c>
    </row>
    <row r="60" spans="1:25">
      <c r="A60" s="257" t="str">
        <f>VLOOKUP(B60,[1]Supplier!$A:$B,2,FALSE)</f>
        <v>SCH066</v>
      </c>
      <c r="B60" s="296" t="s">
        <v>602</v>
      </c>
      <c r="C60" s="265">
        <v>7260</v>
      </c>
      <c r="D60" s="297">
        <v>37577.760000000002</v>
      </c>
      <c r="E60" s="297"/>
      <c r="F60" s="297">
        <v>18788.88</v>
      </c>
      <c r="G60" s="282">
        <v>18788.88</v>
      </c>
      <c r="H60" s="261">
        <v>7260</v>
      </c>
      <c r="I60" s="262">
        <v>18788.88</v>
      </c>
      <c r="J60" s="298">
        <f t="shared" si="0"/>
        <v>37577.760000000002</v>
      </c>
      <c r="K60" s="257">
        <v>38</v>
      </c>
      <c r="L60" s="257">
        <v>11</v>
      </c>
      <c r="M60" s="257">
        <v>6270</v>
      </c>
      <c r="N60" s="264">
        <v>40566.9</v>
      </c>
      <c r="O60" s="264">
        <v>2176.35</v>
      </c>
      <c r="P60" s="264">
        <v>42743.25</v>
      </c>
      <c r="Q60" s="257">
        <v>990</v>
      </c>
      <c r="R60" s="264">
        <v>6405.3</v>
      </c>
      <c r="S60" s="264">
        <v>267.3</v>
      </c>
      <c r="T60" s="264">
        <v>6672.6</v>
      </c>
      <c r="U60" s="257">
        <v>7260</v>
      </c>
      <c r="V60" s="264">
        <v>49415.85</v>
      </c>
      <c r="W60" s="299">
        <v>37577.760000000002</v>
      </c>
      <c r="X60" s="300">
        <v>0</v>
      </c>
      <c r="Y60" s="300">
        <v>11838.09</v>
      </c>
    </row>
    <row r="61" spans="1:25">
      <c r="A61" s="257" t="str">
        <f>VLOOKUP(B61,[1]Supplier!$A:$B,2,FALSE)</f>
        <v>SCH068</v>
      </c>
      <c r="B61" s="296" t="s">
        <v>603</v>
      </c>
      <c r="C61" s="265">
        <v>9150</v>
      </c>
      <c r="D61" s="297">
        <v>47360.4</v>
      </c>
      <c r="E61" s="297"/>
      <c r="F61" s="297">
        <v>23680.2</v>
      </c>
      <c r="G61" s="282">
        <v>23680.2</v>
      </c>
      <c r="H61" s="301">
        <v>9090</v>
      </c>
      <c r="I61" s="262">
        <v>23369.64</v>
      </c>
      <c r="J61" s="298">
        <f t="shared" si="0"/>
        <v>47049.84</v>
      </c>
      <c r="K61" s="257">
        <v>38</v>
      </c>
      <c r="L61" s="257">
        <v>11</v>
      </c>
      <c r="M61" s="257">
        <v>6150</v>
      </c>
      <c r="N61" s="264">
        <v>39790.5</v>
      </c>
      <c r="O61" s="264">
        <v>1177.95</v>
      </c>
      <c r="P61" s="264">
        <v>40968.449999999997</v>
      </c>
      <c r="Q61" s="257">
        <v>2940</v>
      </c>
      <c r="R61" s="264">
        <v>19021.8</v>
      </c>
      <c r="S61" s="264">
        <v>455.85</v>
      </c>
      <c r="T61" s="264">
        <v>19477.650000000001</v>
      </c>
      <c r="U61" s="257">
        <v>9090</v>
      </c>
      <c r="V61" s="264">
        <v>60446.1</v>
      </c>
      <c r="W61" s="299">
        <v>47049.84</v>
      </c>
      <c r="X61" s="300">
        <v>0</v>
      </c>
      <c r="Y61" s="300">
        <v>13396.26</v>
      </c>
    </row>
    <row r="62" spans="1:25">
      <c r="A62" s="257" t="str">
        <f>VLOOKUP(B62,[1]Supplier!$A:$B,2,FALSE)</f>
        <v>SCH069</v>
      </c>
      <c r="B62" s="296" t="s">
        <v>604</v>
      </c>
      <c r="C62" s="265">
        <v>3135</v>
      </c>
      <c r="D62" s="297">
        <v>16226.76</v>
      </c>
      <c r="E62" s="297"/>
      <c r="F62" s="297">
        <v>8113.38</v>
      </c>
      <c r="G62" s="282">
        <v>8113.38</v>
      </c>
      <c r="H62" s="261">
        <v>3135</v>
      </c>
      <c r="I62" s="262">
        <v>8113.38</v>
      </c>
      <c r="J62" s="298">
        <f t="shared" si="0"/>
        <v>16226.76</v>
      </c>
      <c r="K62" s="257">
        <v>18</v>
      </c>
      <c r="L62" s="257">
        <v>11</v>
      </c>
      <c r="M62" s="257">
        <v>2685</v>
      </c>
      <c r="N62" s="264">
        <v>17371.95</v>
      </c>
      <c r="O62" s="264">
        <v>1221.75</v>
      </c>
      <c r="P62" s="264">
        <v>18593.7</v>
      </c>
      <c r="Q62" s="257">
        <v>495</v>
      </c>
      <c r="R62" s="264">
        <v>3202.65</v>
      </c>
      <c r="S62" s="264">
        <v>113.85</v>
      </c>
      <c r="T62" s="264">
        <v>3316.5</v>
      </c>
      <c r="U62" s="257">
        <v>3180</v>
      </c>
      <c r="V62" s="264">
        <v>21910.2</v>
      </c>
      <c r="W62" s="299">
        <v>16226.76</v>
      </c>
      <c r="X62" s="300">
        <v>0</v>
      </c>
      <c r="Y62" s="300">
        <v>5683.44</v>
      </c>
    </row>
    <row r="63" spans="1:25">
      <c r="A63" s="257" t="str">
        <f>VLOOKUP(B63,[1]Supplier!$A:$B,2,FALSE)</f>
        <v>SCH085</v>
      </c>
      <c r="B63" s="296" t="s">
        <v>554</v>
      </c>
      <c r="C63" s="265">
        <v>3465</v>
      </c>
      <c r="D63" s="297">
        <v>17934.84</v>
      </c>
      <c r="E63" s="297"/>
      <c r="F63" s="297">
        <v>8967.42</v>
      </c>
      <c r="G63" s="282">
        <v>8967.42</v>
      </c>
      <c r="H63" s="261">
        <v>3465</v>
      </c>
      <c r="I63" s="262">
        <v>8967.42</v>
      </c>
      <c r="J63" s="298">
        <f t="shared" si="0"/>
        <v>17934.84</v>
      </c>
      <c r="K63" s="257">
        <v>13</v>
      </c>
      <c r="L63" s="257">
        <v>11</v>
      </c>
      <c r="M63" s="257">
        <v>2145</v>
      </c>
      <c r="N63" s="264">
        <v>13878.15</v>
      </c>
      <c r="O63" s="264">
        <v>486.75</v>
      </c>
      <c r="P63" s="264">
        <v>14364.9</v>
      </c>
      <c r="Q63" s="257">
        <v>1320</v>
      </c>
      <c r="R63" s="264">
        <v>8540.4</v>
      </c>
      <c r="S63" s="264">
        <v>198</v>
      </c>
      <c r="T63" s="264">
        <v>8738.4</v>
      </c>
      <c r="U63" s="257">
        <v>3465</v>
      </c>
      <c r="V63" s="264">
        <v>23103.3</v>
      </c>
      <c r="W63" s="299">
        <v>17934.84</v>
      </c>
      <c r="X63" s="300">
        <v>0</v>
      </c>
      <c r="Y63" s="300">
        <v>5168.46</v>
      </c>
    </row>
    <row r="64" spans="1:25">
      <c r="A64" s="257" t="str">
        <f>VLOOKUP(B64,[1]Supplier!$A:$B,2,FALSE)</f>
        <v>SCH086</v>
      </c>
      <c r="B64" s="296" t="s">
        <v>555</v>
      </c>
      <c r="C64" s="265">
        <v>6897</v>
      </c>
      <c r="D64" s="297">
        <v>35698.870000000003</v>
      </c>
      <c r="E64" s="297"/>
      <c r="F64" s="297">
        <v>17849.439999999999</v>
      </c>
      <c r="G64" s="282">
        <v>17849.439999999999</v>
      </c>
      <c r="H64" s="261">
        <v>6897</v>
      </c>
      <c r="I64" s="262">
        <v>17849.43</v>
      </c>
      <c r="J64" s="298">
        <f t="shared" si="0"/>
        <v>35698.869999999995</v>
      </c>
      <c r="K64" s="257">
        <v>33</v>
      </c>
      <c r="L64" s="257">
        <v>11</v>
      </c>
      <c r="M64" s="257">
        <v>5016</v>
      </c>
      <c r="N64" s="264">
        <v>32453.52</v>
      </c>
      <c r="O64" s="264">
        <v>1533.51</v>
      </c>
      <c r="P64" s="264">
        <v>33987.03</v>
      </c>
      <c r="Q64" s="257">
        <v>1881</v>
      </c>
      <c r="R64" s="264">
        <v>12170.07</v>
      </c>
      <c r="S64" s="264">
        <v>359.37</v>
      </c>
      <c r="T64" s="264">
        <v>12529.44</v>
      </c>
      <c r="U64" s="257">
        <v>6897</v>
      </c>
      <c r="V64" s="264">
        <v>46516.47</v>
      </c>
      <c r="W64" s="299">
        <v>35698.870000000003</v>
      </c>
      <c r="X64" s="300">
        <v>0</v>
      </c>
      <c r="Y64" s="300">
        <v>10817.6</v>
      </c>
    </row>
    <row r="65" spans="1:26">
      <c r="A65" s="257" t="str">
        <f>VLOOKUP(B65,[1]Supplier!$A:$B,2,FALSE)</f>
        <v>SCH070</v>
      </c>
      <c r="B65" s="296" t="s">
        <v>605</v>
      </c>
      <c r="C65" s="265">
        <v>6720</v>
      </c>
      <c r="D65" s="297">
        <v>34782.720000000001</v>
      </c>
      <c r="E65" s="297"/>
      <c r="F65" s="297">
        <v>17391.36</v>
      </c>
      <c r="G65" s="282">
        <v>17391.36</v>
      </c>
      <c r="H65" s="261">
        <v>6720</v>
      </c>
      <c r="I65" s="262">
        <v>17391.36</v>
      </c>
      <c r="J65" s="298">
        <f t="shared" si="0"/>
        <v>34782.720000000001</v>
      </c>
      <c r="K65" s="257">
        <v>27</v>
      </c>
      <c r="L65" s="257">
        <v>11</v>
      </c>
      <c r="M65" s="257">
        <v>4380</v>
      </c>
      <c r="N65" s="264">
        <v>28338.6</v>
      </c>
      <c r="O65" s="264">
        <v>1386</v>
      </c>
      <c r="P65" s="264">
        <v>29724.6</v>
      </c>
      <c r="Q65" s="257">
        <v>2295</v>
      </c>
      <c r="R65" s="264">
        <v>14848.65</v>
      </c>
      <c r="S65" s="264">
        <v>423.45</v>
      </c>
      <c r="T65" s="264">
        <v>15272.1</v>
      </c>
      <c r="U65" s="257">
        <v>6675</v>
      </c>
      <c r="V65" s="264">
        <v>44996.7</v>
      </c>
      <c r="W65" s="299">
        <v>34782.720000000001</v>
      </c>
      <c r="X65" s="300">
        <v>0</v>
      </c>
      <c r="Y65" s="300">
        <v>10213.98</v>
      </c>
    </row>
    <row r="66" spans="1:26">
      <c r="A66" s="257" t="str">
        <f>VLOOKUP(B66,[1]Supplier!$A:$B,2,FALSE)</f>
        <v>SCH071</v>
      </c>
      <c r="B66" s="296" t="s">
        <v>606</v>
      </c>
      <c r="C66" s="265"/>
      <c r="D66" s="297">
        <v>0</v>
      </c>
      <c r="E66" s="297"/>
      <c r="F66" s="297">
        <v>0</v>
      </c>
      <c r="G66" s="282">
        <v>0</v>
      </c>
      <c r="H66" s="261"/>
      <c r="I66" s="262">
        <v>0</v>
      </c>
      <c r="J66" s="298">
        <f t="shared" si="0"/>
        <v>0</v>
      </c>
      <c r="K66" s="257">
        <v>42</v>
      </c>
      <c r="L66" s="257">
        <v>11</v>
      </c>
      <c r="M66" s="257">
        <v>6825</v>
      </c>
      <c r="N66" s="264">
        <v>44157.75</v>
      </c>
      <c r="O66" s="264">
        <v>3595.65</v>
      </c>
      <c r="P66" s="264">
        <v>47753.4</v>
      </c>
      <c r="Q66" s="257">
        <v>1710</v>
      </c>
      <c r="R66" s="264">
        <v>11063.7</v>
      </c>
      <c r="S66" s="264">
        <v>404.55</v>
      </c>
      <c r="T66" s="264">
        <v>11468.25</v>
      </c>
      <c r="U66" s="257">
        <v>8535</v>
      </c>
      <c r="V66" s="264">
        <v>59221.65</v>
      </c>
      <c r="W66" s="299">
        <v>0</v>
      </c>
      <c r="X66" s="300">
        <v>0</v>
      </c>
      <c r="Y66" s="300">
        <v>59221.65</v>
      </c>
    </row>
    <row r="67" spans="1:26">
      <c r="A67" s="257" t="str">
        <f>VLOOKUP(B67,[1]Supplier!$A:$B,2,FALSE)</f>
        <v>SCH072</v>
      </c>
      <c r="B67" s="296" t="s">
        <v>556</v>
      </c>
      <c r="C67" s="265">
        <v>12210</v>
      </c>
      <c r="D67" s="297">
        <v>63198.96</v>
      </c>
      <c r="E67" s="297"/>
      <c r="F67" s="297">
        <v>31599.48</v>
      </c>
      <c r="G67" s="282">
        <v>31599.48</v>
      </c>
      <c r="H67" s="261">
        <v>12210</v>
      </c>
      <c r="I67" s="262">
        <v>31599.48</v>
      </c>
      <c r="J67" s="298">
        <f t="shared" ref="J67:J72" si="1">G67+I67</f>
        <v>63198.96</v>
      </c>
      <c r="K67" s="257">
        <v>56</v>
      </c>
      <c r="L67" s="257">
        <v>11</v>
      </c>
      <c r="M67" s="257">
        <v>9240</v>
      </c>
      <c r="N67" s="264">
        <v>59782.8</v>
      </c>
      <c r="O67" s="264">
        <v>3349.5</v>
      </c>
      <c r="P67" s="264">
        <v>63132.3</v>
      </c>
      <c r="Q67" s="257">
        <v>3135</v>
      </c>
      <c r="R67" s="264">
        <v>20283.45</v>
      </c>
      <c r="S67" s="264">
        <v>762.3</v>
      </c>
      <c r="T67" s="264">
        <v>21045.75</v>
      </c>
      <c r="U67" s="257">
        <v>12375</v>
      </c>
      <c r="V67" s="264">
        <v>84178.05</v>
      </c>
      <c r="W67" s="299">
        <v>63198.96</v>
      </c>
      <c r="X67" s="300">
        <v>0</v>
      </c>
      <c r="Y67" s="300">
        <v>20979.09</v>
      </c>
    </row>
    <row r="68" spans="1:26">
      <c r="A68" s="257" t="str">
        <f>VLOOKUP(B68,[1]Supplier!$A:$B,2,FALSE)</f>
        <v>SCH073</v>
      </c>
      <c r="B68" s="296" t="s">
        <v>557</v>
      </c>
      <c r="C68" s="265">
        <v>15180</v>
      </c>
      <c r="D68" s="297">
        <v>78571.679999999993</v>
      </c>
      <c r="E68" s="297"/>
      <c r="F68" s="297">
        <v>39285.839999999997</v>
      </c>
      <c r="G68" s="282">
        <v>39285.839999999997</v>
      </c>
      <c r="H68" s="261">
        <v>15180</v>
      </c>
      <c r="I68" s="262">
        <v>39285.839999999997</v>
      </c>
      <c r="J68" s="298">
        <f t="shared" si="1"/>
        <v>78571.679999999993</v>
      </c>
      <c r="K68" s="257">
        <v>69</v>
      </c>
      <c r="L68" s="257">
        <v>11</v>
      </c>
      <c r="M68" s="257">
        <v>11385</v>
      </c>
      <c r="N68" s="264">
        <v>73660.95</v>
      </c>
      <c r="O68" s="264">
        <v>5661.15</v>
      </c>
      <c r="P68" s="264">
        <v>79322.100000000006</v>
      </c>
      <c r="Q68" s="257">
        <v>3795</v>
      </c>
      <c r="R68" s="264">
        <v>24553.65</v>
      </c>
      <c r="S68" s="264">
        <v>1214.4000000000001</v>
      </c>
      <c r="T68" s="264">
        <v>25768.05</v>
      </c>
      <c r="U68" s="257">
        <v>15180</v>
      </c>
      <c r="V68" s="264">
        <v>105090.1</v>
      </c>
      <c r="W68" s="299">
        <v>78571.679999999993</v>
      </c>
      <c r="X68" s="300">
        <v>0</v>
      </c>
      <c r="Y68" s="300">
        <v>26518.47</v>
      </c>
    </row>
    <row r="69" spans="1:26">
      <c r="A69" s="257" t="str">
        <f>VLOOKUP(B69,[1]Supplier!$A:$B,2,FALSE)</f>
        <v>SCH078</v>
      </c>
      <c r="B69" s="296" t="s">
        <v>558</v>
      </c>
      <c r="C69" s="265"/>
      <c r="D69" s="297">
        <v>0</v>
      </c>
      <c r="E69" s="297"/>
      <c r="F69" s="297">
        <v>0</v>
      </c>
      <c r="G69" s="282">
        <v>0</v>
      </c>
      <c r="H69" s="261"/>
      <c r="I69" s="262">
        <v>0</v>
      </c>
      <c r="J69" s="298">
        <f t="shared" si="1"/>
        <v>0</v>
      </c>
      <c r="K69" s="257">
        <v>23</v>
      </c>
      <c r="L69" s="257">
        <v>11</v>
      </c>
      <c r="M69" s="257">
        <v>3795</v>
      </c>
      <c r="N69" s="264">
        <v>24553.65</v>
      </c>
      <c r="O69" s="264">
        <v>1148.4000000000001</v>
      </c>
      <c r="P69" s="264">
        <v>25702.05</v>
      </c>
      <c r="Q69" s="257">
        <v>1320</v>
      </c>
      <c r="R69" s="264">
        <v>8540.4</v>
      </c>
      <c r="S69" s="264">
        <v>148.5</v>
      </c>
      <c r="T69" s="264">
        <v>8688.9</v>
      </c>
      <c r="U69" s="257">
        <v>5115</v>
      </c>
      <c r="V69" s="264">
        <v>34390.949999999997</v>
      </c>
      <c r="W69" s="299">
        <v>0</v>
      </c>
      <c r="X69" s="300">
        <v>0</v>
      </c>
      <c r="Y69" s="300">
        <v>34390.949999999997</v>
      </c>
    </row>
    <row r="70" spans="1:26">
      <c r="A70" s="257" t="str">
        <f>VLOOKUP(B70,[1]Supplier!$A:$B,2,FALSE)</f>
        <v>SCH079</v>
      </c>
      <c r="B70" s="296" t="s">
        <v>559</v>
      </c>
      <c r="C70" s="265"/>
      <c r="D70" s="297">
        <v>0</v>
      </c>
      <c r="E70" s="297"/>
      <c r="F70" s="297">
        <v>0</v>
      </c>
      <c r="G70" s="282">
        <v>0</v>
      </c>
      <c r="H70" s="261"/>
      <c r="I70" s="262">
        <v>0</v>
      </c>
      <c r="J70" s="298">
        <f t="shared" si="1"/>
        <v>0</v>
      </c>
      <c r="K70" s="257">
        <v>27</v>
      </c>
      <c r="L70" s="257">
        <v>11</v>
      </c>
      <c r="M70" s="257">
        <v>4455</v>
      </c>
      <c r="N70" s="264">
        <v>28823.85</v>
      </c>
      <c r="O70" s="264">
        <v>2861.1</v>
      </c>
      <c r="P70" s="264">
        <v>31684.95</v>
      </c>
      <c r="Q70" s="257">
        <v>660</v>
      </c>
      <c r="R70" s="264">
        <v>4270.2</v>
      </c>
      <c r="S70" s="264">
        <v>74.25</v>
      </c>
      <c r="T70" s="264">
        <v>4344.45</v>
      </c>
      <c r="U70" s="257">
        <v>5115</v>
      </c>
      <c r="V70" s="264">
        <v>36029.4</v>
      </c>
      <c r="W70" s="299">
        <v>0</v>
      </c>
      <c r="X70" s="300">
        <v>0</v>
      </c>
      <c r="Y70" s="300">
        <v>36029.4</v>
      </c>
    </row>
    <row r="71" spans="1:26">
      <c r="A71" s="257" t="str">
        <f>VLOOKUP(B71,[1]Supplier!$A:$B,2,FALSE)</f>
        <v>SCH080</v>
      </c>
      <c r="B71" s="296" t="s">
        <v>607</v>
      </c>
      <c r="C71" s="265">
        <v>10065</v>
      </c>
      <c r="D71" s="297">
        <v>52096.44</v>
      </c>
      <c r="E71" s="297"/>
      <c r="F71" s="297">
        <v>26048.22</v>
      </c>
      <c r="G71" s="282">
        <v>26048.22</v>
      </c>
      <c r="H71" s="261">
        <v>10065</v>
      </c>
      <c r="I71" s="262">
        <v>26048.22</v>
      </c>
      <c r="J71" s="298">
        <f t="shared" si="1"/>
        <v>52096.44</v>
      </c>
      <c r="K71" s="257">
        <v>46</v>
      </c>
      <c r="L71" s="257">
        <v>11</v>
      </c>
      <c r="M71" s="257">
        <v>7590</v>
      </c>
      <c r="N71" s="264">
        <v>49107.3</v>
      </c>
      <c r="O71" s="264">
        <v>3659.7</v>
      </c>
      <c r="P71" s="264">
        <v>52767</v>
      </c>
      <c r="Q71" s="257">
        <v>2640</v>
      </c>
      <c r="R71" s="264">
        <v>17080.8</v>
      </c>
      <c r="S71" s="264">
        <v>673.2</v>
      </c>
      <c r="T71" s="264">
        <v>17754</v>
      </c>
      <c r="U71" s="257">
        <v>10230</v>
      </c>
      <c r="V71" s="264">
        <v>70521</v>
      </c>
      <c r="W71" s="299">
        <v>52096.44</v>
      </c>
      <c r="X71" s="300">
        <v>0</v>
      </c>
      <c r="Y71" s="300">
        <v>18424.560000000001</v>
      </c>
    </row>
    <row r="72" spans="1:26" ht="15" thickBot="1">
      <c r="A72" s="257" t="str">
        <f>VLOOKUP(B72,[1]Supplier!$A:$B,2,FALSE)</f>
        <v>SCH081</v>
      </c>
      <c r="B72" s="296" t="s">
        <v>560</v>
      </c>
      <c r="C72" s="302"/>
      <c r="D72" s="303">
        <v>0</v>
      </c>
      <c r="E72" s="303"/>
      <c r="F72" s="303">
        <v>0</v>
      </c>
      <c r="G72" s="284">
        <v>0</v>
      </c>
      <c r="H72" s="268"/>
      <c r="I72" s="269">
        <v>0</v>
      </c>
      <c r="J72" s="298">
        <f t="shared" si="1"/>
        <v>0</v>
      </c>
      <c r="K72" s="257">
        <v>33</v>
      </c>
      <c r="L72" s="257">
        <v>11</v>
      </c>
      <c r="M72" s="257">
        <v>5445</v>
      </c>
      <c r="N72" s="264">
        <v>35229.15</v>
      </c>
      <c r="O72" s="264">
        <v>2057.5500000000002</v>
      </c>
      <c r="P72" s="264">
        <v>37286.699999999997</v>
      </c>
      <c r="Q72" s="257">
        <v>660</v>
      </c>
      <c r="R72" s="264">
        <v>4270.2</v>
      </c>
      <c r="S72" s="264">
        <v>138.6</v>
      </c>
      <c r="T72" s="264">
        <v>4408.8</v>
      </c>
      <c r="U72" s="257">
        <v>6105</v>
      </c>
      <c r="V72" s="264">
        <v>41695.5</v>
      </c>
      <c r="W72" s="299">
        <v>0</v>
      </c>
      <c r="X72" s="300">
        <v>0</v>
      </c>
      <c r="Y72" s="300">
        <v>41695.5</v>
      </c>
    </row>
    <row r="73" spans="1:26" s="304" customFormat="1">
      <c r="C73" s="305"/>
      <c r="J73" s="306"/>
      <c r="K73" s="307"/>
      <c r="L73" s="271"/>
      <c r="N73" s="308"/>
      <c r="O73" s="308"/>
      <c r="P73" s="308"/>
      <c r="Q73" s="299"/>
      <c r="R73" s="299"/>
      <c r="S73" s="299"/>
      <c r="T73" s="299"/>
      <c r="U73" s="299"/>
      <c r="V73" s="299"/>
      <c r="W73" s="272"/>
      <c r="X73" s="272"/>
      <c r="Y73" s="274"/>
      <c r="Z73" s="309"/>
    </row>
    <row r="74" spans="1:26" s="304" customFormat="1" ht="18">
      <c r="C74" s="305"/>
      <c r="J74" s="310"/>
      <c r="K74" s="271"/>
      <c r="L74" s="271"/>
      <c r="N74" s="308"/>
      <c r="O74" s="308"/>
      <c r="P74" s="308"/>
      <c r="Q74" s="299"/>
      <c r="R74" s="299"/>
      <c r="S74" s="299"/>
      <c r="T74" s="299"/>
      <c r="U74" s="299"/>
      <c r="V74" s="299"/>
      <c r="W74" s="299"/>
      <c r="X74" s="299"/>
      <c r="Y74" s="309"/>
    </row>
    <row r="75" spans="1:26" s="304" customFormat="1" ht="15" thickBot="1">
      <c r="C75" s="305"/>
      <c r="G75" s="276">
        <f>SUM(G2:G72)</f>
        <v>1095247.3099999998</v>
      </c>
      <c r="I75" s="276">
        <f>SUM(I2:I72)</f>
        <v>1094869.4200000002</v>
      </c>
      <c r="J75" s="311">
        <f>SUM(J2:J72)</f>
        <v>2190116.73</v>
      </c>
      <c r="K75" s="274"/>
      <c r="L75" s="274"/>
      <c r="M75" s="312">
        <f t="shared" ref="M75:Y75" si="2">SUM(M2:M72)</f>
        <v>414118.99</v>
      </c>
      <c r="N75" s="311">
        <f t="shared" si="2"/>
        <v>2679349.8699999996</v>
      </c>
      <c r="O75" s="311">
        <f t="shared" si="2"/>
        <v>141712.85999999999</v>
      </c>
      <c r="P75" s="311">
        <f t="shared" si="2"/>
        <v>2821062.7299999986</v>
      </c>
      <c r="Q75" s="312">
        <f t="shared" si="2"/>
        <v>161093.04999999999</v>
      </c>
      <c r="R75" s="311">
        <f t="shared" si="2"/>
        <v>1042272.0300000001</v>
      </c>
      <c r="S75" s="311">
        <f t="shared" si="2"/>
        <v>30496.119999999984</v>
      </c>
      <c r="T75" s="311">
        <f t="shared" si="2"/>
        <v>1072768.1500000001</v>
      </c>
      <c r="U75" s="312">
        <f t="shared" si="2"/>
        <v>575212.04</v>
      </c>
      <c r="V75" s="311">
        <f t="shared" si="2"/>
        <v>3893830.8300000005</v>
      </c>
      <c r="W75" s="311">
        <f t="shared" si="2"/>
        <v>2190116.6900000004</v>
      </c>
      <c r="X75" s="311">
        <f t="shared" si="2"/>
        <v>4161.8999999999996</v>
      </c>
      <c r="Y75" s="311">
        <f t="shared" si="2"/>
        <v>1707876.05</v>
      </c>
    </row>
    <row r="76" spans="1:26" s="304" customFormat="1" ht="15" thickTop="1">
      <c r="C76" s="305"/>
      <c r="K76" s="271"/>
      <c r="L76" s="271"/>
      <c r="N76" s="308"/>
      <c r="O76" s="308"/>
      <c r="P76" s="308"/>
      <c r="Q76" s="299"/>
      <c r="R76" s="299"/>
      <c r="S76" s="299"/>
      <c r="T76" s="299"/>
      <c r="U76" s="299"/>
      <c r="V76" s="299"/>
      <c r="W76" s="299"/>
      <c r="X76" s="299"/>
      <c r="Y76" s="309"/>
    </row>
    <row r="77" spans="1:26" s="304" customFormat="1">
      <c r="C77" s="305"/>
      <c r="K77" s="271"/>
      <c r="L77" s="271"/>
      <c r="N77" s="308"/>
      <c r="O77" s="308"/>
      <c r="P77" s="308"/>
      <c r="Q77" s="299"/>
      <c r="R77" s="299"/>
      <c r="S77" s="299"/>
      <c r="T77" s="299"/>
      <c r="U77" s="299"/>
      <c r="V77" s="299"/>
      <c r="W77" s="299"/>
      <c r="X77" s="299"/>
      <c r="Y77" s="309"/>
    </row>
    <row r="78" spans="1:26" s="304" customFormat="1">
      <c r="C78" s="305"/>
      <c r="K78" s="271"/>
      <c r="L78" s="271"/>
      <c r="N78" s="308"/>
      <c r="O78" s="308"/>
      <c r="P78" s="308"/>
      <c r="Q78" s="299"/>
      <c r="R78" s="299"/>
      <c r="S78" s="299"/>
      <c r="T78" s="299"/>
      <c r="U78" s="299"/>
      <c r="V78" s="299"/>
      <c r="W78" s="299"/>
      <c r="X78" s="299"/>
      <c r="Y78" s="309"/>
    </row>
    <row r="79" spans="1:26" s="304" customFormat="1">
      <c r="C79" s="305"/>
      <c r="K79" s="271"/>
      <c r="L79" s="271"/>
      <c r="N79" s="308"/>
      <c r="O79" s="308"/>
      <c r="P79" s="308"/>
      <c r="Q79" s="299"/>
      <c r="R79" s="299"/>
      <c r="S79" s="299"/>
      <c r="T79" s="299"/>
      <c r="U79" s="299"/>
      <c r="V79" s="299"/>
      <c r="W79" s="299"/>
      <c r="X79" s="299"/>
      <c r="Y79" s="309"/>
    </row>
    <row r="80" spans="1:26" s="304" customFormat="1">
      <c r="C80" s="305"/>
      <c r="K80" s="271"/>
      <c r="L80" s="271"/>
      <c r="N80" s="308"/>
      <c r="O80" s="308"/>
      <c r="P80" s="308"/>
      <c r="Q80" s="299"/>
      <c r="R80" s="299"/>
      <c r="S80" s="299"/>
      <c r="T80" s="299"/>
      <c r="U80" s="299"/>
      <c r="V80" s="299"/>
      <c r="W80" s="299"/>
      <c r="X80" s="299"/>
      <c r="Y80" s="309"/>
    </row>
    <row r="81" spans="3:25" s="304" customFormat="1">
      <c r="C81" s="305"/>
      <c r="K81" s="271"/>
      <c r="L81" s="271"/>
      <c r="N81" s="308"/>
      <c r="O81" s="308"/>
      <c r="P81" s="308"/>
      <c r="Q81" s="299"/>
      <c r="R81" s="299"/>
      <c r="S81" s="299"/>
      <c r="T81" s="299"/>
      <c r="U81" s="299"/>
      <c r="V81" s="299"/>
      <c r="W81" s="299"/>
      <c r="X81" s="299"/>
      <c r="Y81" s="309"/>
    </row>
    <row r="82" spans="3:25" s="304" customFormat="1">
      <c r="C82" s="305"/>
      <c r="K82" s="271"/>
      <c r="L82" s="271"/>
      <c r="N82" s="308"/>
      <c r="O82" s="308"/>
      <c r="P82" s="308"/>
      <c r="Q82" s="299"/>
      <c r="R82" s="299"/>
      <c r="S82" s="299"/>
      <c r="T82" s="299"/>
      <c r="U82" s="299"/>
      <c r="V82" s="299"/>
      <c r="W82" s="299"/>
      <c r="X82" s="299"/>
      <c r="Y82" s="309"/>
    </row>
    <row r="83" spans="3:25" s="304" customFormat="1">
      <c r="C83" s="305"/>
      <c r="K83" s="271"/>
      <c r="L83" s="271"/>
      <c r="N83" s="308"/>
      <c r="O83" s="308"/>
      <c r="P83" s="308"/>
      <c r="Q83" s="299"/>
      <c r="R83" s="299"/>
      <c r="S83" s="299"/>
      <c r="T83" s="299"/>
      <c r="U83" s="299"/>
      <c r="V83" s="299"/>
      <c r="W83" s="299"/>
      <c r="X83" s="299"/>
      <c r="Y83" s="309"/>
    </row>
    <row r="84" spans="3:25" s="304" customFormat="1">
      <c r="C84" s="305"/>
      <c r="K84" s="271"/>
      <c r="L84" s="271"/>
      <c r="N84" s="308"/>
      <c r="O84" s="308"/>
      <c r="P84" s="308"/>
      <c r="Q84" s="299"/>
      <c r="R84" s="299"/>
      <c r="S84" s="299"/>
      <c r="T84" s="299"/>
      <c r="U84" s="299"/>
      <c r="V84" s="299"/>
      <c r="W84" s="299"/>
      <c r="X84" s="299"/>
      <c r="Y84" s="309"/>
    </row>
    <row r="85" spans="3:25" s="304" customFormat="1">
      <c r="C85" s="305"/>
      <c r="K85" s="271"/>
      <c r="L85" s="271"/>
      <c r="N85" s="308"/>
      <c r="O85" s="308"/>
      <c r="P85" s="308"/>
      <c r="Q85" s="299"/>
      <c r="R85" s="299"/>
      <c r="S85" s="299"/>
      <c r="T85" s="299"/>
      <c r="U85" s="299"/>
      <c r="V85" s="299"/>
      <c r="W85" s="299"/>
      <c r="X85" s="299"/>
      <c r="Y85" s="309"/>
    </row>
    <row r="86" spans="3:25" s="304" customFormat="1">
      <c r="C86" s="305"/>
      <c r="K86" s="271"/>
      <c r="L86" s="271"/>
      <c r="N86" s="308"/>
      <c r="O86" s="308"/>
      <c r="P86" s="308"/>
      <c r="Q86" s="299"/>
      <c r="R86" s="299"/>
      <c r="S86" s="299"/>
      <c r="T86" s="299"/>
      <c r="U86" s="299"/>
      <c r="V86" s="299"/>
      <c r="W86" s="299"/>
      <c r="X86" s="299"/>
      <c r="Y86" s="309"/>
    </row>
    <row r="87" spans="3:25" s="304" customFormat="1">
      <c r="C87" s="305"/>
      <c r="K87" s="271"/>
      <c r="L87" s="271"/>
      <c r="N87" s="308"/>
      <c r="O87" s="308"/>
      <c r="P87" s="308"/>
      <c r="Q87" s="299"/>
      <c r="R87" s="299"/>
      <c r="S87" s="299"/>
      <c r="T87" s="299"/>
      <c r="U87" s="299"/>
      <c r="V87" s="299"/>
      <c r="W87" s="299"/>
      <c r="X87" s="299"/>
      <c r="Y87" s="309"/>
    </row>
    <row r="88" spans="3:25" s="304" customFormat="1">
      <c r="C88" s="305"/>
      <c r="K88" s="271"/>
      <c r="L88" s="271"/>
      <c r="N88" s="308"/>
      <c r="O88" s="308"/>
      <c r="P88" s="308"/>
      <c r="Q88" s="299"/>
      <c r="R88" s="299"/>
      <c r="S88" s="299"/>
      <c r="T88" s="299"/>
      <c r="U88" s="299"/>
      <c r="V88" s="299"/>
      <c r="W88" s="299"/>
      <c r="X88" s="299"/>
      <c r="Y88" s="309"/>
    </row>
    <row r="89" spans="3:25" s="304" customFormat="1">
      <c r="C89" s="305"/>
      <c r="K89" s="271"/>
      <c r="L89" s="271"/>
      <c r="N89" s="308"/>
      <c r="O89" s="308"/>
      <c r="P89" s="308"/>
      <c r="Q89" s="299"/>
      <c r="R89" s="299"/>
      <c r="S89" s="299"/>
      <c r="T89" s="299"/>
      <c r="U89" s="299"/>
      <c r="V89" s="299"/>
      <c r="W89" s="299"/>
      <c r="X89" s="299"/>
      <c r="Y89" s="309"/>
    </row>
    <row r="90" spans="3:25" s="304" customFormat="1">
      <c r="C90" s="305"/>
      <c r="K90" s="271"/>
      <c r="L90" s="271"/>
      <c r="N90" s="308"/>
      <c r="O90" s="308"/>
      <c r="P90" s="308"/>
      <c r="Q90" s="299"/>
      <c r="R90" s="299"/>
      <c r="S90" s="299"/>
      <c r="T90" s="299"/>
      <c r="U90" s="299"/>
      <c r="V90" s="299"/>
      <c r="W90" s="299"/>
      <c r="X90" s="299"/>
      <c r="Y90" s="309"/>
    </row>
    <row r="91" spans="3:25" s="304" customFormat="1">
      <c r="C91" s="305"/>
      <c r="K91" s="271"/>
      <c r="L91" s="271"/>
      <c r="N91" s="308"/>
      <c r="O91" s="308"/>
      <c r="P91" s="308"/>
      <c r="Q91" s="299"/>
      <c r="R91" s="299"/>
      <c r="S91" s="299"/>
      <c r="T91" s="299"/>
      <c r="U91" s="299"/>
      <c r="V91" s="299"/>
      <c r="W91" s="299"/>
      <c r="X91" s="299"/>
      <c r="Y91" s="309"/>
    </row>
    <row r="92" spans="3:25" s="304" customFormat="1">
      <c r="C92" s="305"/>
      <c r="K92" s="271"/>
      <c r="L92" s="271"/>
      <c r="N92" s="308"/>
      <c r="O92" s="308"/>
      <c r="P92" s="308"/>
      <c r="Q92" s="299"/>
      <c r="R92" s="299"/>
      <c r="S92" s="299"/>
      <c r="T92" s="299"/>
      <c r="U92" s="299"/>
      <c r="V92" s="299"/>
      <c r="W92" s="299"/>
      <c r="X92" s="299"/>
      <c r="Y92" s="309"/>
    </row>
    <row r="93" spans="3:25" s="304" customFormat="1">
      <c r="C93" s="305"/>
      <c r="K93" s="271"/>
      <c r="L93" s="271"/>
      <c r="N93" s="308"/>
      <c r="O93" s="308"/>
      <c r="P93" s="308"/>
      <c r="Q93" s="299"/>
      <c r="R93" s="299"/>
      <c r="S93" s="299"/>
      <c r="T93" s="299"/>
      <c r="U93" s="299"/>
      <c r="V93" s="299"/>
      <c r="W93" s="299"/>
      <c r="X93" s="299"/>
      <c r="Y93" s="309"/>
    </row>
    <row r="94" spans="3:25" s="304" customFormat="1">
      <c r="C94" s="305"/>
      <c r="K94" s="271"/>
      <c r="L94" s="271"/>
      <c r="N94" s="308"/>
      <c r="O94" s="308"/>
      <c r="P94" s="308"/>
      <c r="Q94" s="299"/>
      <c r="R94" s="299"/>
      <c r="S94" s="299"/>
      <c r="T94" s="299"/>
      <c r="U94" s="299"/>
      <c r="V94" s="299"/>
      <c r="W94" s="299"/>
      <c r="X94" s="299"/>
      <c r="Y94" s="309"/>
    </row>
    <row r="95" spans="3:25" s="304" customFormat="1">
      <c r="C95" s="305"/>
      <c r="K95" s="271"/>
      <c r="L95" s="271"/>
      <c r="N95" s="308"/>
      <c r="O95" s="308"/>
      <c r="P95" s="308"/>
      <c r="Q95" s="299"/>
      <c r="R95" s="299"/>
      <c r="S95" s="299"/>
      <c r="T95" s="299"/>
      <c r="U95" s="299"/>
      <c r="V95" s="299"/>
      <c r="W95" s="299"/>
      <c r="X95" s="299"/>
      <c r="Y95" s="309"/>
    </row>
    <row r="96" spans="3:25" s="304" customFormat="1">
      <c r="C96" s="305"/>
      <c r="K96" s="271"/>
      <c r="L96" s="271"/>
      <c r="N96" s="308"/>
      <c r="O96" s="308"/>
      <c r="P96" s="308"/>
      <c r="Q96" s="299"/>
      <c r="R96" s="299"/>
      <c r="S96" s="299"/>
      <c r="T96" s="299"/>
      <c r="U96" s="299"/>
      <c r="V96" s="299"/>
      <c r="W96" s="299"/>
      <c r="X96" s="299"/>
      <c r="Y96" s="309"/>
    </row>
    <row r="97" spans="3:25" s="304" customFormat="1">
      <c r="C97" s="305"/>
      <c r="K97" s="271"/>
      <c r="L97" s="271"/>
      <c r="N97" s="308"/>
      <c r="O97" s="308"/>
      <c r="P97" s="308"/>
      <c r="Q97" s="299"/>
      <c r="R97" s="299"/>
      <c r="S97" s="299"/>
      <c r="T97" s="299"/>
      <c r="U97" s="299"/>
      <c r="V97" s="299"/>
      <c r="W97" s="299"/>
      <c r="X97" s="299"/>
      <c r="Y97" s="309"/>
    </row>
    <row r="98" spans="3:25" s="304" customFormat="1">
      <c r="C98" s="305"/>
      <c r="K98" s="271"/>
      <c r="L98" s="271"/>
      <c r="N98" s="308"/>
      <c r="O98" s="308"/>
      <c r="P98" s="308"/>
      <c r="Q98" s="299"/>
      <c r="R98" s="299"/>
      <c r="S98" s="299"/>
      <c r="T98" s="299"/>
      <c r="U98" s="299"/>
      <c r="V98" s="299"/>
      <c r="W98" s="299"/>
      <c r="X98" s="299"/>
      <c r="Y98" s="309"/>
    </row>
    <row r="99" spans="3:25" s="304" customFormat="1">
      <c r="C99" s="305"/>
      <c r="K99" s="271"/>
      <c r="L99" s="271"/>
      <c r="N99" s="308"/>
      <c r="O99" s="308"/>
      <c r="P99" s="308"/>
      <c r="Q99" s="299"/>
      <c r="R99" s="299"/>
      <c r="S99" s="299"/>
      <c r="T99" s="299"/>
      <c r="U99" s="299"/>
      <c r="V99" s="299"/>
      <c r="W99" s="299"/>
      <c r="X99" s="299"/>
      <c r="Y99" s="309"/>
    </row>
    <row r="100" spans="3:25" s="304" customFormat="1">
      <c r="C100" s="305"/>
      <c r="K100" s="271"/>
      <c r="L100" s="271"/>
      <c r="N100" s="308"/>
      <c r="O100" s="308"/>
      <c r="P100" s="308"/>
      <c r="Q100" s="299"/>
      <c r="R100" s="299"/>
      <c r="S100" s="299"/>
      <c r="T100" s="299"/>
      <c r="U100" s="299"/>
      <c r="V100" s="299"/>
      <c r="W100" s="299"/>
      <c r="X100" s="299"/>
      <c r="Y100" s="309"/>
    </row>
    <row r="101" spans="3:25" s="304" customFormat="1">
      <c r="C101" s="305"/>
      <c r="K101" s="271"/>
      <c r="L101" s="271"/>
      <c r="N101" s="308"/>
      <c r="O101" s="308"/>
      <c r="P101" s="308"/>
      <c r="Q101" s="299"/>
      <c r="R101" s="299"/>
      <c r="S101" s="299"/>
      <c r="T101" s="299"/>
      <c r="U101" s="299"/>
      <c r="V101" s="299"/>
      <c r="W101" s="299"/>
      <c r="X101" s="299"/>
      <c r="Y101" s="309"/>
    </row>
    <row r="102" spans="3:25" s="304" customFormat="1">
      <c r="C102" s="305"/>
      <c r="K102" s="271"/>
      <c r="L102" s="271"/>
      <c r="N102" s="308"/>
      <c r="O102" s="308"/>
      <c r="P102" s="308"/>
      <c r="Q102" s="299"/>
      <c r="R102" s="299"/>
      <c r="S102" s="299"/>
      <c r="T102" s="299"/>
      <c r="U102" s="299"/>
      <c r="V102" s="299"/>
      <c r="W102" s="299"/>
      <c r="X102" s="299"/>
      <c r="Y102" s="309"/>
    </row>
    <row r="103" spans="3:25" s="304" customFormat="1">
      <c r="C103" s="305"/>
      <c r="K103" s="271"/>
      <c r="L103" s="271"/>
      <c r="N103" s="308"/>
      <c r="O103" s="308"/>
      <c r="P103" s="308"/>
      <c r="Q103" s="299"/>
      <c r="R103" s="299"/>
      <c r="S103" s="299"/>
      <c r="T103" s="299"/>
      <c r="U103" s="299"/>
      <c r="V103" s="299"/>
      <c r="W103" s="299"/>
      <c r="X103" s="299"/>
      <c r="Y103" s="309"/>
    </row>
    <row r="104" spans="3:25" s="304" customFormat="1">
      <c r="C104" s="305"/>
      <c r="K104" s="271"/>
      <c r="L104" s="271"/>
      <c r="N104" s="308"/>
      <c r="O104" s="308"/>
      <c r="P104" s="308"/>
      <c r="Q104" s="299"/>
      <c r="R104" s="299"/>
      <c r="S104" s="299"/>
      <c r="T104" s="299"/>
      <c r="U104" s="299"/>
      <c r="V104" s="299"/>
      <c r="W104" s="299"/>
      <c r="X104" s="299"/>
      <c r="Y104" s="309"/>
    </row>
    <row r="105" spans="3:25" s="304" customFormat="1">
      <c r="C105" s="305"/>
      <c r="K105" s="271"/>
      <c r="L105" s="271"/>
      <c r="N105" s="308"/>
      <c r="O105" s="308"/>
      <c r="P105" s="308"/>
      <c r="Q105" s="299"/>
      <c r="R105" s="299"/>
      <c r="S105" s="299"/>
      <c r="T105" s="299"/>
      <c r="U105" s="299"/>
      <c r="V105" s="299"/>
      <c r="W105" s="299"/>
      <c r="X105" s="299"/>
      <c r="Y105" s="309"/>
    </row>
    <row r="106" spans="3:25" s="304" customFormat="1">
      <c r="C106" s="305"/>
      <c r="K106" s="271"/>
      <c r="L106" s="271"/>
      <c r="N106" s="308"/>
      <c r="O106" s="308"/>
      <c r="P106" s="308"/>
      <c r="Q106" s="299"/>
      <c r="R106" s="299"/>
      <c r="S106" s="299"/>
      <c r="T106" s="299"/>
      <c r="U106" s="299"/>
      <c r="V106" s="299"/>
      <c r="W106" s="299"/>
      <c r="X106" s="299"/>
      <c r="Y106" s="309"/>
    </row>
    <row r="107" spans="3:25" s="304" customFormat="1">
      <c r="C107" s="305"/>
      <c r="K107" s="271"/>
      <c r="L107" s="271"/>
      <c r="N107" s="308"/>
      <c r="O107" s="308"/>
      <c r="P107" s="308"/>
      <c r="Q107" s="299"/>
      <c r="R107" s="299"/>
      <c r="S107" s="299"/>
      <c r="T107" s="299"/>
      <c r="U107" s="299"/>
      <c r="V107" s="299"/>
      <c r="W107" s="299"/>
      <c r="X107" s="299"/>
      <c r="Y107" s="309"/>
    </row>
    <row r="108" spans="3:25" s="304" customFormat="1">
      <c r="C108" s="305"/>
      <c r="K108" s="271"/>
      <c r="L108" s="271"/>
      <c r="N108" s="308"/>
      <c r="O108" s="308"/>
      <c r="P108" s="308"/>
      <c r="Q108" s="299"/>
      <c r="R108" s="299"/>
      <c r="S108" s="299"/>
      <c r="T108" s="299"/>
      <c r="U108" s="299"/>
      <c r="V108" s="299"/>
      <c r="W108" s="299"/>
      <c r="X108" s="299"/>
      <c r="Y108" s="309"/>
    </row>
    <row r="109" spans="3:25" s="304" customFormat="1">
      <c r="C109" s="305"/>
      <c r="K109" s="271"/>
      <c r="L109" s="271"/>
      <c r="N109" s="308"/>
      <c r="O109" s="308"/>
      <c r="P109" s="308"/>
      <c r="Q109" s="299"/>
      <c r="R109" s="299"/>
      <c r="S109" s="299"/>
      <c r="T109" s="299"/>
      <c r="U109" s="299"/>
      <c r="V109" s="299"/>
      <c r="W109" s="299"/>
      <c r="X109" s="299"/>
      <c r="Y109" s="309"/>
    </row>
    <row r="110" spans="3:25" s="304" customFormat="1">
      <c r="C110" s="305"/>
      <c r="K110" s="271"/>
      <c r="L110" s="271"/>
      <c r="N110" s="308"/>
      <c r="O110" s="308"/>
      <c r="P110" s="308"/>
      <c r="Q110" s="299"/>
      <c r="R110" s="299"/>
      <c r="S110" s="299"/>
      <c r="T110" s="299"/>
      <c r="U110" s="299"/>
      <c r="V110" s="299"/>
      <c r="W110" s="299"/>
      <c r="X110" s="299"/>
      <c r="Y110" s="309"/>
    </row>
    <row r="111" spans="3:25" s="304" customFormat="1">
      <c r="C111" s="305"/>
      <c r="K111" s="271"/>
      <c r="L111" s="271"/>
      <c r="N111" s="308"/>
      <c r="O111" s="308"/>
      <c r="P111" s="308"/>
      <c r="Q111" s="299"/>
      <c r="R111" s="299"/>
      <c r="S111" s="299"/>
      <c r="T111" s="299"/>
      <c r="U111" s="299"/>
      <c r="V111" s="299"/>
      <c r="W111" s="299"/>
      <c r="X111" s="299"/>
      <c r="Y111" s="309"/>
    </row>
    <row r="112" spans="3:25" s="304" customFormat="1">
      <c r="C112" s="305"/>
      <c r="K112" s="271"/>
      <c r="L112" s="271"/>
      <c r="N112" s="308"/>
      <c r="O112" s="308"/>
      <c r="P112" s="308"/>
      <c r="Q112" s="299"/>
      <c r="R112" s="299"/>
      <c r="S112" s="299"/>
      <c r="T112" s="299"/>
      <c r="U112" s="299"/>
      <c r="V112" s="299"/>
      <c r="W112" s="299"/>
      <c r="X112" s="299"/>
      <c r="Y112" s="309"/>
    </row>
    <row r="113" spans="3:25" s="304" customFormat="1">
      <c r="C113" s="305"/>
      <c r="K113" s="271"/>
      <c r="L113" s="271"/>
      <c r="N113" s="308"/>
      <c r="O113" s="308"/>
      <c r="P113" s="308"/>
      <c r="Q113" s="299"/>
      <c r="R113" s="299"/>
      <c r="S113" s="299"/>
      <c r="T113" s="299"/>
      <c r="U113" s="299"/>
      <c r="V113" s="299"/>
      <c r="W113" s="299"/>
      <c r="X113" s="299"/>
      <c r="Y113" s="309"/>
    </row>
    <row r="114" spans="3:25" s="304" customFormat="1">
      <c r="C114" s="305"/>
      <c r="K114" s="271"/>
      <c r="L114" s="271"/>
      <c r="N114" s="308"/>
      <c r="O114" s="308"/>
      <c r="P114" s="308"/>
      <c r="Q114" s="299"/>
      <c r="R114" s="299"/>
      <c r="S114" s="299"/>
      <c r="T114" s="299"/>
      <c r="U114" s="299"/>
      <c r="V114" s="299"/>
      <c r="W114" s="299"/>
      <c r="X114" s="299"/>
      <c r="Y114" s="309"/>
    </row>
    <row r="115" spans="3:25" s="304" customFormat="1">
      <c r="C115" s="305"/>
      <c r="K115" s="271"/>
      <c r="L115" s="271"/>
      <c r="N115" s="308"/>
      <c r="O115" s="308"/>
      <c r="P115" s="308"/>
      <c r="Q115" s="299"/>
      <c r="R115" s="299"/>
      <c r="S115" s="299"/>
      <c r="T115" s="299"/>
      <c r="U115" s="299"/>
      <c r="V115" s="299"/>
      <c r="W115" s="299"/>
      <c r="X115" s="299"/>
      <c r="Y115" s="309"/>
    </row>
    <row r="116" spans="3:25" s="304" customFormat="1">
      <c r="C116" s="305"/>
      <c r="K116" s="271"/>
      <c r="L116" s="271"/>
      <c r="N116" s="308"/>
      <c r="O116" s="308"/>
      <c r="P116" s="308"/>
      <c r="Q116" s="299"/>
      <c r="R116" s="299"/>
      <c r="S116" s="299"/>
      <c r="T116" s="299"/>
      <c r="U116" s="299"/>
      <c r="V116" s="299"/>
      <c r="W116" s="299"/>
      <c r="X116" s="299"/>
      <c r="Y116" s="309"/>
    </row>
    <row r="117" spans="3:25" s="304" customFormat="1">
      <c r="C117" s="305"/>
      <c r="K117" s="271"/>
      <c r="L117" s="271"/>
      <c r="N117" s="308"/>
      <c r="O117" s="308"/>
      <c r="P117" s="308"/>
      <c r="Q117" s="299"/>
      <c r="R117" s="299"/>
      <c r="S117" s="299"/>
      <c r="T117" s="299"/>
      <c r="U117" s="299"/>
      <c r="V117" s="299"/>
      <c r="W117" s="299"/>
      <c r="X117" s="299"/>
      <c r="Y117" s="309"/>
    </row>
    <row r="118" spans="3:25" s="304" customFormat="1">
      <c r="C118" s="305"/>
      <c r="K118" s="271"/>
      <c r="L118" s="271"/>
      <c r="N118" s="308"/>
      <c r="O118" s="308"/>
      <c r="P118" s="308"/>
      <c r="Q118" s="299"/>
      <c r="R118" s="299"/>
      <c r="S118" s="299"/>
      <c r="T118" s="299"/>
      <c r="U118" s="299"/>
      <c r="V118" s="299"/>
      <c r="W118" s="299"/>
      <c r="X118" s="299"/>
      <c r="Y118" s="309"/>
    </row>
    <row r="119" spans="3:25" s="304" customFormat="1">
      <c r="C119" s="305"/>
      <c r="K119" s="271"/>
      <c r="L119" s="271"/>
      <c r="N119" s="308"/>
      <c r="O119" s="308"/>
      <c r="P119" s="308"/>
      <c r="Q119" s="299"/>
      <c r="R119" s="299"/>
      <c r="S119" s="299"/>
      <c r="T119" s="299"/>
      <c r="U119" s="299"/>
      <c r="V119" s="299"/>
      <c r="W119" s="299"/>
      <c r="X119" s="299"/>
      <c r="Y119" s="309"/>
    </row>
    <row r="120" spans="3:25" s="304" customFormat="1">
      <c r="C120" s="305"/>
      <c r="K120" s="271"/>
      <c r="L120" s="271"/>
      <c r="N120" s="308"/>
      <c r="O120" s="308"/>
      <c r="P120" s="308"/>
      <c r="Q120" s="299"/>
      <c r="R120" s="299"/>
      <c r="S120" s="299"/>
      <c r="T120" s="299"/>
      <c r="U120" s="299"/>
      <c r="V120" s="299"/>
      <c r="W120" s="299"/>
      <c r="X120" s="299"/>
      <c r="Y120" s="309"/>
    </row>
    <row r="121" spans="3:25" s="304" customFormat="1">
      <c r="C121" s="305"/>
      <c r="K121" s="271"/>
      <c r="L121" s="271"/>
      <c r="N121" s="308"/>
      <c r="O121" s="308"/>
      <c r="P121" s="308"/>
      <c r="Q121" s="299"/>
      <c r="R121" s="299"/>
      <c r="S121" s="299"/>
      <c r="T121" s="299"/>
      <c r="U121" s="299"/>
      <c r="V121" s="299"/>
      <c r="W121" s="299"/>
      <c r="X121" s="299"/>
      <c r="Y121" s="309"/>
    </row>
    <row r="122" spans="3:25" s="304" customFormat="1">
      <c r="C122" s="305"/>
      <c r="K122" s="271"/>
      <c r="L122" s="271"/>
      <c r="N122" s="308"/>
      <c r="O122" s="308"/>
      <c r="P122" s="308"/>
      <c r="Q122" s="299"/>
      <c r="R122" s="299"/>
      <c r="S122" s="299"/>
      <c r="T122" s="299"/>
      <c r="U122" s="299"/>
      <c r="V122" s="299"/>
      <c r="W122" s="299"/>
      <c r="X122" s="299"/>
      <c r="Y122" s="309"/>
    </row>
    <row r="123" spans="3:25" s="304" customFormat="1">
      <c r="C123" s="305"/>
      <c r="K123" s="271"/>
      <c r="L123" s="271"/>
      <c r="N123" s="308"/>
      <c r="O123" s="308"/>
      <c r="P123" s="308"/>
      <c r="Q123" s="299"/>
      <c r="R123" s="299"/>
      <c r="S123" s="299"/>
      <c r="T123" s="299"/>
      <c r="U123" s="299"/>
      <c r="V123" s="299"/>
      <c r="W123" s="299"/>
      <c r="X123" s="299"/>
      <c r="Y123" s="309"/>
    </row>
    <row r="124" spans="3:25" s="304" customFormat="1">
      <c r="C124" s="305"/>
      <c r="K124" s="271"/>
      <c r="L124" s="271"/>
      <c r="N124" s="308"/>
      <c r="O124" s="308"/>
      <c r="P124" s="308"/>
      <c r="Q124" s="299"/>
      <c r="R124" s="299"/>
      <c r="S124" s="299"/>
      <c r="T124" s="299"/>
      <c r="U124" s="299"/>
      <c r="V124" s="299"/>
      <c r="W124" s="299"/>
      <c r="X124" s="299"/>
      <c r="Y124" s="309"/>
    </row>
    <row r="125" spans="3:25" s="304" customFormat="1">
      <c r="C125" s="305"/>
      <c r="K125" s="271"/>
      <c r="L125" s="271"/>
      <c r="N125" s="308"/>
      <c r="O125" s="308"/>
      <c r="P125" s="308"/>
      <c r="Q125" s="299"/>
      <c r="R125" s="299"/>
      <c r="S125" s="299"/>
      <c r="T125" s="299"/>
      <c r="U125" s="299"/>
      <c r="V125" s="299"/>
      <c r="W125" s="299"/>
      <c r="X125" s="299"/>
      <c r="Y125" s="309"/>
    </row>
    <row r="126" spans="3:25" s="304" customFormat="1">
      <c r="C126" s="305"/>
      <c r="K126" s="271"/>
      <c r="L126" s="271"/>
      <c r="N126" s="308"/>
      <c r="O126" s="308"/>
      <c r="P126" s="308"/>
      <c r="Q126" s="299"/>
      <c r="R126" s="299"/>
      <c r="S126" s="299"/>
      <c r="T126" s="299"/>
      <c r="U126" s="299"/>
      <c r="V126" s="299"/>
      <c r="W126" s="299"/>
      <c r="X126" s="299"/>
      <c r="Y126" s="309"/>
    </row>
    <row r="127" spans="3:25" s="304" customFormat="1">
      <c r="C127" s="305"/>
      <c r="K127" s="271"/>
      <c r="L127" s="271"/>
      <c r="N127" s="308"/>
      <c r="O127" s="308"/>
      <c r="P127" s="308"/>
      <c r="Q127" s="299"/>
      <c r="R127" s="299"/>
      <c r="S127" s="299"/>
      <c r="T127" s="299"/>
      <c r="U127" s="299"/>
      <c r="V127" s="299"/>
      <c r="W127" s="299"/>
      <c r="X127" s="299"/>
      <c r="Y127" s="309"/>
    </row>
    <row r="128" spans="3:25" s="304" customFormat="1">
      <c r="C128" s="305"/>
      <c r="K128" s="271"/>
      <c r="L128" s="271"/>
      <c r="N128" s="308"/>
      <c r="O128" s="308"/>
      <c r="P128" s="308"/>
      <c r="Q128" s="299"/>
      <c r="R128" s="299"/>
      <c r="S128" s="299"/>
      <c r="T128" s="299"/>
      <c r="U128" s="299"/>
      <c r="V128" s="299"/>
      <c r="W128" s="299"/>
      <c r="X128" s="299"/>
      <c r="Y128" s="309"/>
    </row>
    <row r="129" spans="3:25" s="304" customFormat="1">
      <c r="C129" s="305"/>
      <c r="K129" s="271"/>
      <c r="L129" s="271"/>
      <c r="N129" s="308"/>
      <c r="O129" s="308"/>
      <c r="P129" s="308"/>
      <c r="Q129" s="299"/>
      <c r="R129" s="299"/>
      <c r="S129" s="299"/>
      <c r="T129" s="299"/>
      <c r="U129" s="299"/>
      <c r="V129" s="299"/>
      <c r="W129" s="299"/>
      <c r="X129" s="299"/>
      <c r="Y129" s="309"/>
    </row>
    <row r="130" spans="3:25" s="304" customFormat="1">
      <c r="C130" s="305"/>
      <c r="K130" s="271"/>
      <c r="L130" s="271"/>
      <c r="N130" s="308"/>
      <c r="O130" s="308"/>
      <c r="P130" s="308"/>
      <c r="Q130" s="299"/>
      <c r="R130" s="299"/>
      <c r="S130" s="299"/>
      <c r="T130" s="299"/>
      <c r="U130" s="299"/>
      <c r="V130" s="299"/>
      <c r="W130" s="299"/>
      <c r="X130" s="299"/>
      <c r="Y130" s="309"/>
    </row>
    <row r="131" spans="3:25" s="304" customFormat="1">
      <c r="C131" s="305"/>
      <c r="K131" s="271"/>
      <c r="L131" s="271"/>
      <c r="N131" s="308"/>
      <c r="O131" s="308"/>
      <c r="P131" s="308"/>
      <c r="Q131" s="299"/>
      <c r="R131" s="299"/>
      <c r="S131" s="299"/>
      <c r="T131" s="299"/>
      <c r="U131" s="299"/>
      <c r="V131" s="299"/>
      <c r="W131" s="299"/>
      <c r="X131" s="299"/>
      <c r="Y131" s="309"/>
    </row>
    <row r="132" spans="3:25" s="304" customFormat="1">
      <c r="C132" s="305"/>
      <c r="K132" s="271"/>
      <c r="L132" s="271"/>
      <c r="N132" s="308"/>
      <c r="O132" s="308"/>
      <c r="P132" s="308"/>
      <c r="Q132" s="299"/>
      <c r="R132" s="299"/>
      <c r="S132" s="299"/>
      <c r="T132" s="299"/>
      <c r="U132" s="299"/>
      <c r="V132" s="299"/>
      <c r="W132" s="299"/>
      <c r="X132" s="299"/>
      <c r="Y132" s="309"/>
    </row>
    <row r="133" spans="3:25" s="304" customFormat="1">
      <c r="C133" s="305"/>
      <c r="K133" s="271"/>
      <c r="L133" s="271"/>
      <c r="N133" s="308"/>
      <c r="O133" s="308"/>
      <c r="P133" s="308"/>
      <c r="Q133" s="299"/>
      <c r="R133" s="299"/>
      <c r="S133" s="299"/>
      <c r="T133" s="299"/>
      <c r="U133" s="299"/>
      <c r="V133" s="299"/>
      <c r="W133" s="299"/>
      <c r="X133" s="299"/>
      <c r="Y133" s="309"/>
    </row>
    <row r="134" spans="3:25" s="304" customFormat="1">
      <c r="C134" s="305"/>
      <c r="K134" s="271"/>
      <c r="L134" s="271"/>
      <c r="N134" s="308"/>
      <c r="O134" s="308"/>
      <c r="P134" s="308"/>
      <c r="Q134" s="299"/>
      <c r="R134" s="299"/>
      <c r="S134" s="299"/>
      <c r="T134" s="299"/>
      <c r="U134" s="299"/>
      <c r="V134" s="299"/>
      <c r="W134" s="299"/>
      <c r="X134" s="299"/>
      <c r="Y134" s="309"/>
    </row>
    <row r="135" spans="3:25" s="304" customFormat="1">
      <c r="C135" s="305"/>
      <c r="K135" s="271"/>
      <c r="L135" s="271"/>
      <c r="N135" s="308"/>
      <c r="O135" s="308"/>
      <c r="P135" s="308"/>
      <c r="Q135" s="299"/>
      <c r="R135" s="299"/>
      <c r="S135" s="299"/>
      <c r="T135" s="299"/>
      <c r="U135" s="299"/>
      <c r="V135" s="299"/>
      <c r="W135" s="299"/>
      <c r="X135" s="299"/>
      <c r="Y135" s="309"/>
    </row>
    <row r="136" spans="3:25" s="304" customFormat="1">
      <c r="C136" s="305"/>
      <c r="K136" s="271"/>
      <c r="L136" s="271"/>
      <c r="N136" s="308"/>
      <c r="O136" s="308"/>
      <c r="P136" s="308"/>
      <c r="Q136" s="299"/>
      <c r="R136" s="299"/>
      <c r="S136" s="299"/>
      <c r="T136" s="299"/>
      <c r="U136" s="299"/>
      <c r="V136" s="299"/>
      <c r="W136" s="299"/>
      <c r="X136" s="299"/>
      <c r="Y136" s="309"/>
    </row>
    <row r="137" spans="3:25" s="304" customFormat="1">
      <c r="C137" s="305"/>
      <c r="K137" s="271"/>
      <c r="L137" s="271"/>
      <c r="N137" s="308"/>
      <c r="O137" s="308"/>
      <c r="P137" s="308"/>
      <c r="Q137" s="299"/>
      <c r="R137" s="299"/>
      <c r="S137" s="299"/>
      <c r="T137" s="299"/>
      <c r="U137" s="299"/>
      <c r="V137" s="299"/>
      <c r="W137" s="299"/>
      <c r="X137" s="299"/>
      <c r="Y137" s="309"/>
    </row>
    <row r="138" spans="3:25" s="304" customFormat="1">
      <c r="C138" s="305"/>
      <c r="K138" s="271"/>
      <c r="L138" s="271"/>
      <c r="N138" s="308"/>
      <c r="O138" s="308"/>
      <c r="P138" s="308"/>
      <c r="Q138" s="299"/>
      <c r="R138" s="299"/>
      <c r="S138" s="299"/>
      <c r="T138" s="299"/>
      <c r="U138" s="299"/>
      <c r="V138" s="299"/>
      <c r="W138" s="299"/>
      <c r="X138" s="299"/>
      <c r="Y138" s="309"/>
    </row>
    <row r="139" spans="3:25" s="304" customFormat="1">
      <c r="C139" s="305"/>
      <c r="K139" s="271"/>
      <c r="L139" s="271"/>
      <c r="N139" s="308"/>
      <c r="O139" s="308"/>
      <c r="P139" s="308"/>
      <c r="Q139" s="299"/>
      <c r="R139" s="299"/>
      <c r="S139" s="299"/>
      <c r="T139" s="299"/>
      <c r="U139" s="299"/>
      <c r="V139" s="299"/>
      <c r="W139" s="299"/>
      <c r="X139" s="299"/>
      <c r="Y139" s="309"/>
    </row>
    <row r="140" spans="3:25" s="304" customFormat="1">
      <c r="C140" s="305"/>
      <c r="K140" s="271"/>
      <c r="L140" s="271"/>
      <c r="N140" s="308"/>
      <c r="O140" s="308"/>
      <c r="P140" s="308"/>
      <c r="Q140" s="299"/>
      <c r="R140" s="299"/>
      <c r="S140" s="299"/>
      <c r="T140" s="299"/>
      <c r="U140" s="299"/>
      <c r="V140" s="299"/>
      <c r="W140" s="299"/>
      <c r="X140" s="299"/>
      <c r="Y140" s="309"/>
    </row>
    <row r="141" spans="3:25" s="304" customFormat="1">
      <c r="C141" s="305"/>
      <c r="K141" s="271"/>
      <c r="L141" s="271"/>
      <c r="N141" s="308"/>
      <c r="O141" s="308"/>
      <c r="P141" s="308"/>
      <c r="Q141" s="299"/>
      <c r="R141" s="299"/>
      <c r="S141" s="299"/>
      <c r="T141" s="299"/>
      <c r="U141" s="299"/>
      <c r="V141" s="299"/>
      <c r="W141" s="299"/>
      <c r="X141" s="299"/>
      <c r="Y141" s="309"/>
    </row>
    <row r="142" spans="3:25" s="304" customFormat="1">
      <c r="C142" s="305"/>
      <c r="K142" s="271"/>
      <c r="L142" s="271"/>
      <c r="N142" s="308"/>
      <c r="O142" s="308"/>
      <c r="P142" s="308"/>
      <c r="Q142" s="299"/>
      <c r="R142" s="299"/>
      <c r="S142" s="299"/>
      <c r="T142" s="299"/>
      <c r="U142" s="299"/>
      <c r="V142" s="299"/>
      <c r="W142" s="299"/>
      <c r="X142" s="299"/>
      <c r="Y142" s="309"/>
    </row>
    <row r="143" spans="3:25" s="304" customFormat="1">
      <c r="C143" s="305"/>
      <c r="K143" s="271"/>
      <c r="L143" s="271"/>
      <c r="N143" s="308"/>
      <c r="O143" s="308"/>
      <c r="P143" s="308"/>
      <c r="Q143" s="299"/>
      <c r="R143" s="299"/>
      <c r="S143" s="299"/>
      <c r="T143" s="299"/>
      <c r="U143" s="299"/>
      <c r="V143" s="299"/>
      <c r="W143" s="299"/>
      <c r="X143" s="299"/>
      <c r="Y143" s="309"/>
    </row>
    <row r="144" spans="3:25" s="304" customFormat="1">
      <c r="C144" s="305"/>
      <c r="K144" s="271"/>
      <c r="L144" s="271"/>
      <c r="N144" s="308"/>
      <c r="O144" s="308"/>
      <c r="P144" s="308"/>
      <c r="Q144" s="299"/>
      <c r="R144" s="299"/>
      <c r="S144" s="299"/>
      <c r="T144" s="299"/>
      <c r="U144" s="299"/>
      <c r="V144" s="299"/>
      <c r="W144" s="299"/>
      <c r="X144" s="299"/>
      <c r="Y144" s="309"/>
    </row>
    <row r="145" spans="3:25" s="304" customFormat="1">
      <c r="C145" s="305"/>
      <c r="K145" s="271"/>
      <c r="L145" s="271"/>
      <c r="N145" s="308"/>
      <c r="O145" s="308"/>
      <c r="P145" s="308"/>
      <c r="Q145" s="299"/>
      <c r="R145" s="299"/>
      <c r="S145" s="299"/>
      <c r="T145" s="299"/>
      <c r="U145" s="299"/>
      <c r="V145" s="299"/>
      <c r="W145" s="299"/>
      <c r="X145" s="299"/>
      <c r="Y145" s="309"/>
    </row>
    <row r="146" spans="3:25" s="304" customFormat="1">
      <c r="C146" s="305"/>
      <c r="K146" s="271"/>
      <c r="L146" s="271"/>
      <c r="N146" s="308"/>
      <c r="O146" s="308"/>
      <c r="P146" s="308"/>
      <c r="Q146" s="299"/>
      <c r="R146" s="299"/>
      <c r="S146" s="299"/>
      <c r="T146" s="299"/>
      <c r="U146" s="299"/>
      <c r="V146" s="299"/>
      <c r="W146" s="299"/>
      <c r="X146" s="299"/>
      <c r="Y146" s="309"/>
    </row>
    <row r="147" spans="3:25" s="304" customFormat="1">
      <c r="C147" s="305"/>
      <c r="K147" s="271"/>
      <c r="L147" s="271"/>
      <c r="N147" s="308"/>
      <c r="O147" s="308"/>
      <c r="P147" s="308"/>
      <c r="Q147" s="299"/>
      <c r="R147" s="299"/>
      <c r="S147" s="299"/>
      <c r="T147" s="299"/>
      <c r="U147" s="299"/>
      <c r="V147" s="299"/>
      <c r="W147" s="299"/>
      <c r="X147" s="299"/>
      <c r="Y147" s="309"/>
    </row>
    <row r="148" spans="3:25" s="304" customFormat="1">
      <c r="C148" s="305"/>
      <c r="K148" s="271"/>
      <c r="L148" s="271"/>
      <c r="N148" s="308"/>
      <c r="O148" s="308"/>
      <c r="P148" s="308"/>
      <c r="Q148" s="299"/>
      <c r="R148" s="299"/>
      <c r="S148" s="299"/>
      <c r="T148" s="299"/>
      <c r="U148" s="299"/>
      <c r="V148" s="299"/>
      <c r="W148" s="299"/>
      <c r="X148" s="299"/>
      <c r="Y148" s="309"/>
    </row>
    <row r="149" spans="3:25" s="304" customFormat="1">
      <c r="C149" s="305"/>
      <c r="K149" s="271"/>
      <c r="L149" s="271"/>
      <c r="N149" s="308"/>
      <c r="O149" s="308"/>
      <c r="P149" s="308"/>
      <c r="Q149" s="299"/>
      <c r="R149" s="299"/>
      <c r="S149" s="299"/>
      <c r="T149" s="299"/>
      <c r="U149" s="299"/>
      <c r="V149" s="299"/>
      <c r="W149" s="299"/>
      <c r="X149" s="299"/>
      <c r="Y149" s="309"/>
    </row>
    <row r="150" spans="3:25" s="304" customFormat="1">
      <c r="C150" s="305"/>
      <c r="K150" s="271"/>
      <c r="L150" s="271"/>
      <c r="N150" s="308"/>
      <c r="O150" s="308"/>
      <c r="P150" s="308"/>
      <c r="Q150" s="299"/>
      <c r="R150" s="299"/>
      <c r="S150" s="299"/>
      <c r="T150" s="299"/>
      <c r="U150" s="299"/>
      <c r="V150" s="299"/>
      <c r="W150" s="299"/>
      <c r="X150" s="299"/>
      <c r="Y150" s="309"/>
    </row>
    <row r="151" spans="3:25" s="304" customFormat="1">
      <c r="C151" s="305"/>
      <c r="K151" s="271"/>
      <c r="L151" s="271"/>
      <c r="N151" s="308"/>
      <c r="O151" s="308"/>
      <c r="P151" s="308"/>
      <c r="Q151" s="299"/>
      <c r="R151" s="299"/>
      <c r="S151" s="299"/>
      <c r="T151" s="299"/>
      <c r="U151" s="299"/>
      <c r="V151" s="299"/>
      <c r="W151" s="299"/>
      <c r="X151" s="299"/>
      <c r="Y151" s="309"/>
    </row>
    <row r="152" spans="3:25" s="304" customFormat="1">
      <c r="C152" s="305"/>
      <c r="K152" s="271"/>
      <c r="L152" s="271"/>
      <c r="N152" s="308"/>
      <c r="O152" s="308"/>
      <c r="P152" s="308"/>
      <c r="Q152" s="299"/>
      <c r="R152" s="299"/>
      <c r="S152" s="299"/>
      <c r="T152" s="299"/>
      <c r="U152" s="299"/>
      <c r="V152" s="299"/>
      <c r="W152" s="299"/>
      <c r="X152" s="299"/>
      <c r="Y152" s="309"/>
    </row>
    <row r="153" spans="3:25" s="304" customFormat="1">
      <c r="C153" s="305"/>
      <c r="K153" s="271"/>
      <c r="L153" s="271"/>
      <c r="N153" s="308"/>
      <c r="O153" s="308"/>
      <c r="P153" s="308"/>
      <c r="Q153" s="299"/>
      <c r="R153" s="299"/>
      <c r="S153" s="299"/>
      <c r="T153" s="299"/>
      <c r="U153" s="299"/>
      <c r="V153" s="299"/>
      <c r="W153" s="299"/>
      <c r="X153" s="299"/>
      <c r="Y153" s="309"/>
    </row>
    <row r="154" spans="3:25" s="304" customFormat="1">
      <c r="C154" s="305"/>
      <c r="K154" s="271"/>
      <c r="L154" s="271"/>
      <c r="N154" s="308"/>
      <c r="O154" s="308"/>
      <c r="P154" s="308"/>
      <c r="Q154" s="299"/>
      <c r="R154" s="299"/>
      <c r="S154" s="299"/>
      <c r="T154" s="299"/>
      <c r="U154" s="299"/>
      <c r="V154" s="299"/>
      <c r="W154" s="299"/>
      <c r="X154" s="299"/>
      <c r="Y154" s="309"/>
    </row>
    <row r="155" spans="3:25" s="304" customFormat="1">
      <c r="C155" s="305"/>
      <c r="K155" s="271"/>
      <c r="L155" s="271"/>
      <c r="N155" s="308"/>
      <c r="O155" s="308"/>
      <c r="P155" s="308"/>
      <c r="Q155" s="299"/>
      <c r="R155" s="299"/>
      <c r="S155" s="299"/>
      <c r="T155" s="299"/>
      <c r="U155" s="299"/>
      <c r="V155" s="299"/>
      <c r="W155" s="299"/>
      <c r="X155" s="299"/>
      <c r="Y155" s="309"/>
    </row>
    <row r="156" spans="3:25" s="304" customFormat="1">
      <c r="C156" s="305"/>
      <c r="K156" s="271"/>
      <c r="L156" s="271"/>
      <c r="N156" s="308"/>
      <c r="O156" s="308"/>
      <c r="P156" s="308"/>
      <c r="Q156" s="299"/>
      <c r="R156" s="299"/>
      <c r="S156" s="299"/>
      <c r="T156" s="299"/>
      <c r="U156" s="299"/>
      <c r="V156" s="299"/>
      <c r="W156" s="299"/>
      <c r="X156" s="299"/>
      <c r="Y156" s="309"/>
    </row>
    <row r="157" spans="3:25" s="304" customFormat="1">
      <c r="C157" s="305"/>
      <c r="K157" s="271"/>
      <c r="L157" s="271"/>
      <c r="N157" s="308"/>
      <c r="O157" s="308"/>
      <c r="P157" s="308"/>
      <c r="Q157" s="299"/>
      <c r="R157" s="299"/>
      <c r="S157" s="299"/>
      <c r="T157" s="299"/>
      <c r="U157" s="299"/>
      <c r="V157" s="299"/>
      <c r="W157" s="299"/>
      <c r="X157" s="299"/>
      <c r="Y157" s="309"/>
    </row>
    <row r="158" spans="3:25" s="304" customFormat="1">
      <c r="C158" s="305"/>
      <c r="K158" s="271"/>
      <c r="L158" s="271"/>
      <c r="N158" s="308"/>
      <c r="O158" s="308"/>
      <c r="P158" s="308"/>
      <c r="Q158" s="299"/>
      <c r="R158" s="299"/>
      <c r="S158" s="299"/>
      <c r="T158" s="299"/>
      <c r="U158" s="299"/>
      <c r="V158" s="299"/>
      <c r="W158" s="299"/>
      <c r="X158" s="299"/>
      <c r="Y158" s="309"/>
    </row>
    <row r="159" spans="3:25" s="304" customFormat="1">
      <c r="C159" s="305"/>
      <c r="K159" s="271"/>
      <c r="L159" s="271"/>
      <c r="N159" s="308"/>
      <c r="O159" s="308"/>
      <c r="P159" s="308"/>
      <c r="Q159" s="299"/>
      <c r="R159" s="299"/>
      <c r="S159" s="299"/>
      <c r="T159" s="299"/>
      <c r="U159" s="299"/>
      <c r="V159" s="299"/>
      <c r="W159" s="299"/>
      <c r="X159" s="299"/>
      <c r="Y159" s="309"/>
    </row>
    <row r="160" spans="3:25" s="304" customFormat="1">
      <c r="C160" s="305"/>
      <c r="K160" s="271"/>
      <c r="L160" s="271"/>
      <c r="N160" s="308"/>
      <c r="O160" s="308"/>
      <c r="P160" s="308"/>
      <c r="Q160" s="299"/>
      <c r="R160" s="299"/>
      <c r="S160" s="299"/>
      <c r="T160" s="299"/>
      <c r="U160" s="299"/>
      <c r="V160" s="299"/>
      <c r="W160" s="299"/>
      <c r="X160" s="299"/>
      <c r="Y160" s="309"/>
    </row>
    <row r="161" spans="3:25" s="304" customFormat="1">
      <c r="C161" s="305"/>
      <c r="K161" s="271"/>
      <c r="L161" s="271"/>
      <c r="N161" s="308"/>
      <c r="O161" s="308"/>
      <c r="P161" s="308"/>
      <c r="Q161" s="299"/>
      <c r="R161" s="299"/>
      <c r="S161" s="299"/>
      <c r="T161" s="299"/>
      <c r="U161" s="299"/>
      <c r="V161" s="299"/>
      <c r="W161" s="299"/>
      <c r="X161" s="299"/>
      <c r="Y161" s="309"/>
    </row>
    <row r="162" spans="3:25" s="304" customFormat="1">
      <c r="C162" s="305"/>
      <c r="K162" s="271"/>
      <c r="L162" s="271"/>
      <c r="N162" s="308"/>
      <c r="O162" s="308"/>
      <c r="P162" s="308"/>
      <c r="Q162" s="299"/>
      <c r="R162" s="299"/>
      <c r="S162" s="299"/>
      <c r="T162" s="299"/>
      <c r="U162" s="299"/>
      <c r="V162" s="299"/>
      <c r="W162" s="299"/>
      <c r="X162" s="299"/>
      <c r="Y162" s="309"/>
    </row>
    <row r="163" spans="3:25" s="304" customFormat="1">
      <c r="C163" s="305"/>
      <c r="K163" s="271"/>
      <c r="L163" s="271"/>
      <c r="N163" s="308"/>
      <c r="O163" s="308"/>
      <c r="P163" s="308"/>
      <c r="Q163" s="299"/>
      <c r="R163" s="299"/>
      <c r="S163" s="299"/>
      <c r="T163" s="299"/>
      <c r="U163" s="299"/>
      <c r="V163" s="299"/>
      <c r="W163" s="299"/>
      <c r="X163" s="299"/>
      <c r="Y163" s="309"/>
    </row>
    <row r="164" spans="3:25" s="304" customFormat="1">
      <c r="C164" s="305"/>
      <c r="K164" s="271"/>
      <c r="L164" s="271"/>
      <c r="N164" s="308"/>
      <c r="O164" s="308"/>
      <c r="P164" s="308"/>
      <c r="Q164" s="299"/>
      <c r="R164" s="299"/>
      <c r="S164" s="299"/>
      <c r="T164" s="299"/>
      <c r="U164" s="299"/>
      <c r="V164" s="299"/>
      <c r="W164" s="299"/>
      <c r="X164" s="299"/>
      <c r="Y164" s="309"/>
    </row>
    <row r="165" spans="3:25" s="304" customFormat="1">
      <c r="C165" s="305"/>
      <c r="K165" s="271"/>
      <c r="L165" s="271"/>
      <c r="N165" s="308"/>
      <c r="O165" s="308"/>
      <c r="P165" s="308"/>
      <c r="Q165" s="299"/>
      <c r="R165" s="299"/>
      <c r="S165" s="299"/>
      <c r="T165" s="299"/>
      <c r="U165" s="299"/>
      <c r="V165" s="299"/>
      <c r="W165" s="299"/>
      <c r="X165" s="299"/>
      <c r="Y165" s="309"/>
    </row>
    <row r="166" spans="3:25" s="304" customFormat="1">
      <c r="C166" s="305"/>
      <c r="K166" s="271"/>
      <c r="L166" s="271"/>
      <c r="N166" s="308"/>
      <c r="O166" s="308"/>
      <c r="P166" s="308"/>
      <c r="Q166" s="299"/>
      <c r="R166" s="299"/>
      <c r="S166" s="299"/>
      <c r="T166" s="299"/>
      <c r="U166" s="299"/>
      <c r="V166" s="299"/>
      <c r="W166" s="299"/>
      <c r="X166" s="299"/>
      <c r="Y166" s="309"/>
    </row>
    <row r="167" spans="3:25" s="304" customFormat="1">
      <c r="C167" s="305"/>
      <c r="K167" s="271"/>
      <c r="L167" s="271"/>
      <c r="N167" s="308"/>
      <c r="O167" s="308"/>
      <c r="P167" s="308"/>
      <c r="Q167" s="299"/>
      <c r="R167" s="299"/>
      <c r="S167" s="299"/>
      <c r="T167" s="299"/>
      <c r="U167" s="299"/>
      <c r="V167" s="299"/>
      <c r="W167" s="299"/>
      <c r="X167" s="299"/>
      <c r="Y167" s="309"/>
    </row>
    <row r="168" spans="3:25" s="304" customFormat="1">
      <c r="C168" s="305"/>
      <c r="K168" s="271"/>
      <c r="L168" s="271"/>
      <c r="N168" s="308"/>
      <c r="O168" s="308"/>
      <c r="P168" s="308"/>
      <c r="Q168" s="299"/>
      <c r="R168" s="299"/>
      <c r="S168" s="299"/>
      <c r="T168" s="299"/>
      <c r="U168" s="299"/>
      <c r="V168" s="299"/>
      <c r="W168" s="299"/>
      <c r="X168" s="299"/>
      <c r="Y168" s="309"/>
    </row>
    <row r="169" spans="3:25" s="304" customFormat="1">
      <c r="C169" s="305"/>
      <c r="K169" s="271"/>
      <c r="L169" s="271"/>
      <c r="N169" s="308"/>
      <c r="O169" s="308"/>
      <c r="P169" s="308"/>
      <c r="Q169" s="299"/>
      <c r="R169" s="299"/>
      <c r="S169" s="299"/>
      <c r="T169" s="299"/>
      <c r="U169" s="299"/>
      <c r="V169" s="299"/>
      <c r="W169" s="299"/>
      <c r="X169" s="299"/>
      <c r="Y169" s="309"/>
    </row>
    <row r="170" spans="3:25" s="304" customFormat="1">
      <c r="C170" s="305"/>
      <c r="K170" s="271"/>
      <c r="L170" s="271"/>
      <c r="N170" s="308"/>
      <c r="O170" s="308"/>
      <c r="P170" s="308"/>
      <c r="Q170" s="299"/>
      <c r="R170" s="299"/>
      <c r="S170" s="299"/>
      <c r="T170" s="299"/>
      <c r="U170" s="299"/>
      <c r="V170" s="299"/>
      <c r="W170" s="299"/>
      <c r="X170" s="299"/>
      <c r="Y170" s="309"/>
    </row>
    <row r="171" spans="3:25" s="304" customFormat="1">
      <c r="C171" s="305"/>
      <c r="K171" s="271"/>
      <c r="L171" s="271"/>
      <c r="N171" s="308"/>
      <c r="O171" s="308"/>
      <c r="P171" s="308"/>
      <c r="Q171" s="299"/>
      <c r="R171" s="299"/>
      <c r="S171" s="299"/>
      <c r="T171" s="299"/>
      <c r="U171" s="299"/>
      <c r="V171" s="299"/>
      <c r="W171" s="299"/>
      <c r="X171" s="299"/>
      <c r="Y171" s="309"/>
    </row>
    <row r="172" spans="3:25" s="304" customFormat="1">
      <c r="C172" s="305"/>
      <c r="K172" s="271"/>
      <c r="L172" s="271"/>
      <c r="N172" s="308"/>
      <c r="O172" s="308"/>
      <c r="P172" s="308"/>
      <c r="Q172" s="299"/>
      <c r="R172" s="299"/>
      <c r="S172" s="299"/>
      <c r="T172" s="299"/>
      <c r="U172" s="299"/>
      <c r="V172" s="299"/>
      <c r="W172" s="299"/>
      <c r="X172" s="299"/>
      <c r="Y172" s="309"/>
    </row>
    <row r="173" spans="3:25" s="304" customFormat="1">
      <c r="C173" s="305"/>
      <c r="K173" s="271"/>
      <c r="L173" s="271"/>
      <c r="N173" s="308"/>
      <c r="O173" s="308"/>
      <c r="P173" s="308"/>
      <c r="Q173" s="299"/>
      <c r="R173" s="299"/>
      <c r="S173" s="299"/>
      <c r="T173" s="299"/>
      <c r="U173" s="299"/>
      <c r="V173" s="299"/>
      <c r="W173" s="299"/>
      <c r="X173" s="299"/>
      <c r="Y173" s="309"/>
    </row>
    <row r="174" spans="3:25" s="304" customFormat="1">
      <c r="C174" s="305"/>
      <c r="K174" s="271"/>
      <c r="L174" s="271"/>
      <c r="N174" s="308"/>
      <c r="O174" s="308"/>
      <c r="P174" s="308"/>
      <c r="Q174" s="299"/>
      <c r="R174" s="299"/>
      <c r="S174" s="299"/>
      <c r="T174" s="299"/>
      <c r="U174" s="299"/>
      <c r="V174" s="299"/>
      <c r="W174" s="299"/>
      <c r="X174" s="299"/>
      <c r="Y174" s="309"/>
    </row>
    <row r="175" spans="3:25" s="304" customFormat="1">
      <c r="C175" s="305"/>
      <c r="K175" s="271"/>
      <c r="L175" s="271"/>
      <c r="N175" s="308"/>
      <c r="O175" s="308"/>
      <c r="P175" s="308"/>
      <c r="Q175" s="299"/>
      <c r="R175" s="299"/>
      <c r="S175" s="299"/>
      <c r="T175" s="299"/>
      <c r="U175" s="299"/>
      <c r="V175" s="299"/>
      <c r="W175" s="299"/>
      <c r="X175" s="299"/>
      <c r="Y175" s="309"/>
    </row>
    <row r="176" spans="3:25" s="304" customFormat="1">
      <c r="C176" s="305"/>
      <c r="K176" s="271"/>
      <c r="L176" s="271"/>
      <c r="N176" s="308"/>
      <c r="O176" s="308"/>
      <c r="P176" s="308"/>
      <c r="Q176" s="299"/>
      <c r="R176" s="299"/>
      <c r="S176" s="299"/>
      <c r="T176" s="299"/>
      <c r="U176" s="299"/>
      <c r="V176" s="299"/>
      <c r="W176" s="299"/>
      <c r="X176" s="299"/>
      <c r="Y176" s="309"/>
    </row>
    <row r="177" spans="3:25" s="304" customFormat="1">
      <c r="C177" s="305"/>
      <c r="K177" s="271"/>
      <c r="L177" s="271"/>
      <c r="N177" s="308"/>
      <c r="O177" s="308"/>
      <c r="P177" s="308"/>
      <c r="Q177" s="299"/>
      <c r="R177" s="299"/>
      <c r="S177" s="299"/>
      <c r="T177" s="299"/>
      <c r="U177" s="299"/>
      <c r="V177" s="299"/>
      <c r="W177" s="299"/>
      <c r="X177" s="299"/>
      <c r="Y177" s="309"/>
    </row>
    <row r="178" spans="3:25" s="304" customFormat="1">
      <c r="C178" s="305"/>
      <c r="K178" s="271"/>
      <c r="L178" s="271"/>
      <c r="N178" s="308"/>
      <c r="O178" s="308"/>
      <c r="P178" s="308"/>
      <c r="Q178" s="299"/>
      <c r="R178" s="299"/>
      <c r="S178" s="299"/>
      <c r="T178" s="299"/>
      <c r="U178" s="299"/>
      <c r="V178" s="299"/>
      <c r="W178" s="299"/>
      <c r="X178" s="299"/>
      <c r="Y178" s="309"/>
    </row>
    <row r="179" spans="3:25" s="304" customFormat="1">
      <c r="C179" s="305"/>
      <c r="K179" s="271"/>
      <c r="L179" s="271"/>
      <c r="N179" s="308"/>
      <c r="O179" s="308"/>
      <c r="P179" s="308"/>
      <c r="Q179" s="299"/>
      <c r="R179" s="299"/>
      <c r="S179" s="299"/>
      <c r="T179" s="299"/>
      <c r="U179" s="299"/>
      <c r="V179" s="299"/>
      <c r="W179" s="299"/>
      <c r="X179" s="299"/>
      <c r="Y179" s="309"/>
    </row>
    <row r="180" spans="3:25" s="304" customFormat="1">
      <c r="C180" s="305"/>
      <c r="K180" s="271"/>
      <c r="L180" s="271"/>
      <c r="N180" s="308"/>
      <c r="O180" s="308"/>
      <c r="P180" s="308"/>
      <c r="Q180" s="299"/>
      <c r="R180" s="299"/>
      <c r="S180" s="299"/>
      <c r="T180" s="299"/>
      <c r="U180" s="299"/>
      <c r="V180" s="299"/>
      <c r="W180" s="299"/>
      <c r="X180" s="299"/>
      <c r="Y180" s="309"/>
    </row>
    <row r="181" spans="3:25" s="304" customFormat="1">
      <c r="C181" s="305"/>
      <c r="K181" s="271"/>
      <c r="L181" s="271"/>
      <c r="N181" s="308"/>
      <c r="O181" s="308"/>
      <c r="P181" s="308"/>
      <c r="Q181" s="299"/>
      <c r="R181" s="299"/>
      <c r="S181" s="299"/>
      <c r="T181" s="299"/>
      <c r="U181" s="299"/>
      <c r="V181" s="299"/>
      <c r="W181" s="299"/>
      <c r="X181" s="299"/>
      <c r="Y181" s="309"/>
    </row>
    <row r="182" spans="3:25" s="304" customFormat="1">
      <c r="C182" s="305"/>
      <c r="K182" s="271"/>
      <c r="L182" s="271"/>
      <c r="N182" s="308"/>
      <c r="O182" s="308"/>
      <c r="P182" s="308"/>
      <c r="Q182" s="299"/>
      <c r="R182" s="299"/>
      <c r="S182" s="299"/>
      <c r="T182" s="299"/>
      <c r="U182" s="299"/>
      <c r="V182" s="299"/>
      <c r="W182" s="299"/>
      <c r="X182" s="299"/>
      <c r="Y182" s="309"/>
    </row>
    <row r="183" spans="3:25" s="304" customFormat="1">
      <c r="C183" s="305"/>
      <c r="K183" s="271"/>
      <c r="L183" s="271"/>
      <c r="N183" s="308"/>
      <c r="O183" s="308"/>
      <c r="P183" s="308"/>
      <c r="Q183" s="299"/>
      <c r="R183" s="299"/>
      <c r="S183" s="299"/>
      <c r="T183" s="299"/>
      <c r="U183" s="299"/>
      <c r="V183" s="299"/>
      <c r="W183" s="299"/>
      <c r="X183" s="299"/>
      <c r="Y183" s="309"/>
    </row>
    <row r="184" spans="3:25" s="304" customFormat="1">
      <c r="C184" s="305"/>
      <c r="K184" s="271"/>
      <c r="L184" s="271"/>
      <c r="N184" s="308"/>
      <c r="O184" s="308"/>
      <c r="P184" s="308"/>
      <c r="Q184" s="299"/>
      <c r="R184" s="299"/>
      <c r="S184" s="299"/>
      <c r="T184" s="299"/>
      <c r="U184" s="299"/>
      <c r="V184" s="299"/>
      <c r="W184" s="299"/>
      <c r="X184" s="299"/>
      <c r="Y184" s="309"/>
    </row>
    <row r="185" spans="3:25" s="304" customFormat="1">
      <c r="C185" s="305"/>
      <c r="K185" s="271"/>
      <c r="L185" s="271"/>
      <c r="N185" s="308"/>
      <c r="O185" s="308"/>
      <c r="P185" s="308"/>
      <c r="Q185" s="299"/>
      <c r="R185" s="299"/>
      <c r="S185" s="299"/>
      <c r="T185" s="299"/>
      <c r="U185" s="299"/>
      <c r="V185" s="299"/>
      <c r="W185" s="299"/>
      <c r="X185" s="299"/>
      <c r="Y185" s="309"/>
    </row>
    <row r="186" spans="3:25" s="304" customFormat="1">
      <c r="C186" s="305"/>
      <c r="K186" s="271"/>
      <c r="L186" s="271"/>
      <c r="N186" s="308"/>
      <c r="O186" s="308"/>
      <c r="P186" s="308"/>
      <c r="Q186" s="299"/>
      <c r="R186" s="299"/>
      <c r="S186" s="299"/>
      <c r="T186" s="299"/>
      <c r="U186" s="299"/>
      <c r="V186" s="299"/>
      <c r="W186" s="299"/>
      <c r="X186" s="299"/>
      <c r="Y186" s="309"/>
    </row>
    <row r="187" spans="3:25" s="304" customFormat="1">
      <c r="C187" s="305"/>
      <c r="K187" s="271"/>
      <c r="L187" s="271"/>
      <c r="N187" s="308"/>
      <c r="O187" s="308"/>
      <c r="P187" s="308"/>
      <c r="Q187" s="299"/>
      <c r="R187" s="299"/>
      <c r="S187" s="299"/>
      <c r="T187" s="299"/>
      <c r="U187" s="299"/>
      <c r="V187" s="299"/>
      <c r="W187" s="299"/>
      <c r="X187" s="299"/>
      <c r="Y187" s="309"/>
    </row>
    <row r="188" spans="3:25" s="304" customFormat="1">
      <c r="C188" s="305"/>
      <c r="K188" s="271"/>
      <c r="L188" s="271"/>
      <c r="N188" s="308"/>
      <c r="O188" s="308"/>
      <c r="P188" s="308"/>
      <c r="Q188" s="299"/>
      <c r="R188" s="299"/>
      <c r="S188" s="299"/>
      <c r="T188" s="299"/>
      <c r="U188" s="299"/>
      <c r="V188" s="299"/>
      <c r="W188" s="299"/>
      <c r="X188" s="299"/>
      <c r="Y188" s="309"/>
    </row>
    <row r="189" spans="3:25" s="304" customFormat="1">
      <c r="C189" s="305"/>
      <c r="K189" s="271"/>
      <c r="L189" s="271"/>
      <c r="N189" s="308"/>
      <c r="O189" s="308"/>
      <c r="P189" s="308"/>
      <c r="Q189" s="299"/>
      <c r="R189" s="299"/>
      <c r="S189" s="299"/>
      <c r="T189" s="299"/>
      <c r="U189" s="299"/>
      <c r="V189" s="299"/>
      <c r="W189" s="299"/>
      <c r="X189" s="299"/>
      <c r="Y189" s="309"/>
    </row>
    <row r="190" spans="3:25" s="304" customFormat="1">
      <c r="C190" s="305"/>
      <c r="K190" s="271"/>
      <c r="L190" s="271"/>
      <c r="N190" s="308"/>
      <c r="O190" s="308"/>
      <c r="P190" s="308"/>
      <c r="Q190" s="299"/>
      <c r="R190" s="299"/>
      <c r="S190" s="299"/>
      <c r="T190" s="299"/>
      <c r="U190" s="299"/>
      <c r="V190" s="299"/>
      <c r="W190" s="299"/>
      <c r="X190" s="299"/>
      <c r="Y190" s="309"/>
    </row>
    <row r="191" spans="3:25" s="304" customFormat="1">
      <c r="C191" s="305"/>
      <c r="K191" s="271"/>
      <c r="L191" s="271"/>
      <c r="N191" s="308"/>
      <c r="O191" s="308"/>
      <c r="P191" s="308"/>
      <c r="Q191" s="299"/>
      <c r="R191" s="299"/>
      <c r="S191" s="299"/>
      <c r="T191" s="299"/>
      <c r="U191" s="299"/>
      <c r="V191" s="299"/>
      <c r="W191" s="299"/>
      <c r="X191" s="299"/>
      <c r="Y191" s="309"/>
    </row>
    <row r="192" spans="3:25" s="304" customFormat="1">
      <c r="C192" s="305"/>
      <c r="K192" s="271"/>
      <c r="L192" s="271"/>
      <c r="N192" s="308"/>
      <c r="O192" s="308"/>
      <c r="P192" s="308"/>
      <c r="Q192" s="299"/>
      <c r="R192" s="299"/>
      <c r="S192" s="299"/>
      <c r="T192" s="299"/>
      <c r="U192" s="299"/>
      <c r="V192" s="299"/>
      <c r="W192" s="299"/>
      <c r="X192" s="299"/>
      <c r="Y192" s="309"/>
    </row>
    <row r="193" spans="3:25" s="304" customFormat="1">
      <c r="C193" s="305"/>
      <c r="K193" s="271"/>
      <c r="L193" s="271"/>
      <c r="N193" s="308"/>
      <c r="O193" s="308"/>
      <c r="P193" s="308"/>
      <c r="Q193" s="299"/>
      <c r="R193" s="299"/>
      <c r="S193" s="299"/>
      <c r="T193" s="299"/>
      <c r="U193" s="299"/>
      <c r="V193" s="299"/>
      <c r="W193" s="299"/>
      <c r="X193" s="299"/>
      <c r="Y193" s="309"/>
    </row>
    <row r="194" spans="3:25" s="304" customFormat="1">
      <c r="C194" s="305"/>
      <c r="K194" s="271"/>
      <c r="L194" s="271"/>
      <c r="N194" s="308"/>
      <c r="O194" s="308"/>
      <c r="P194" s="308"/>
      <c r="Q194" s="299"/>
      <c r="R194" s="299"/>
      <c r="S194" s="299"/>
      <c r="T194" s="299"/>
      <c r="U194" s="299"/>
      <c r="V194" s="299"/>
      <c r="W194" s="299"/>
      <c r="X194" s="299"/>
      <c r="Y194" s="309"/>
    </row>
    <row r="195" spans="3:25" s="304" customFormat="1">
      <c r="C195" s="305"/>
      <c r="K195" s="271"/>
      <c r="L195" s="271"/>
      <c r="N195" s="308"/>
      <c r="O195" s="308"/>
      <c r="P195" s="308"/>
      <c r="Q195" s="299"/>
      <c r="R195" s="299"/>
      <c r="S195" s="299"/>
      <c r="T195" s="299"/>
      <c r="U195" s="299"/>
      <c r="V195" s="299"/>
      <c r="W195" s="299"/>
      <c r="X195" s="299"/>
      <c r="Y195" s="309"/>
    </row>
    <row r="196" spans="3:25" s="304" customFormat="1">
      <c r="C196" s="305"/>
      <c r="K196" s="271"/>
      <c r="L196" s="271"/>
      <c r="N196" s="308"/>
      <c r="O196" s="308"/>
      <c r="P196" s="308"/>
      <c r="Q196" s="299"/>
      <c r="R196" s="299"/>
      <c r="S196" s="299"/>
      <c r="T196" s="299"/>
      <c r="U196" s="299"/>
      <c r="V196" s="299"/>
      <c r="W196" s="299"/>
      <c r="X196" s="299"/>
      <c r="Y196" s="309"/>
    </row>
    <row r="197" spans="3:25" s="304" customFormat="1">
      <c r="C197" s="305"/>
      <c r="K197" s="271"/>
      <c r="L197" s="271"/>
      <c r="N197" s="308"/>
      <c r="O197" s="308"/>
      <c r="P197" s="308"/>
      <c r="Q197" s="299"/>
      <c r="R197" s="299"/>
      <c r="S197" s="299"/>
      <c r="T197" s="299"/>
      <c r="U197" s="299"/>
      <c r="V197" s="299"/>
      <c r="W197" s="299"/>
      <c r="X197" s="299"/>
      <c r="Y197" s="309"/>
    </row>
    <row r="198" spans="3:25" s="304" customFormat="1">
      <c r="C198" s="305"/>
      <c r="K198" s="271"/>
      <c r="L198" s="271"/>
      <c r="N198" s="308"/>
      <c r="O198" s="308"/>
      <c r="P198" s="308"/>
      <c r="Q198" s="299"/>
      <c r="R198" s="299"/>
      <c r="S198" s="299"/>
      <c r="T198" s="299"/>
      <c r="U198" s="299"/>
      <c r="V198" s="299"/>
      <c r="W198" s="299"/>
      <c r="X198" s="299"/>
      <c r="Y198" s="309"/>
    </row>
    <row r="199" spans="3:25" s="304" customFormat="1">
      <c r="C199" s="305"/>
      <c r="K199" s="271"/>
      <c r="L199" s="271"/>
      <c r="N199" s="308"/>
      <c r="O199" s="308"/>
      <c r="P199" s="308"/>
      <c r="Q199" s="299"/>
      <c r="R199" s="299"/>
      <c r="S199" s="299"/>
      <c r="T199" s="299"/>
      <c r="U199" s="299"/>
      <c r="V199" s="299"/>
      <c r="W199" s="299"/>
      <c r="X199" s="299"/>
      <c r="Y199" s="309"/>
    </row>
    <row r="200" spans="3:25" s="304" customFormat="1">
      <c r="C200" s="305"/>
      <c r="K200" s="271"/>
      <c r="L200" s="271"/>
      <c r="N200" s="308"/>
      <c r="O200" s="308"/>
      <c r="P200" s="308"/>
      <c r="Q200" s="299"/>
      <c r="R200" s="299"/>
      <c r="S200" s="299"/>
      <c r="T200" s="299"/>
      <c r="U200" s="299"/>
      <c r="V200" s="299"/>
      <c r="W200" s="299"/>
      <c r="X200" s="299"/>
      <c r="Y200" s="309"/>
    </row>
    <row r="201" spans="3:25" s="304" customFormat="1">
      <c r="C201" s="305"/>
      <c r="K201" s="271"/>
      <c r="L201" s="271"/>
      <c r="N201" s="308"/>
      <c r="O201" s="308"/>
      <c r="P201" s="308"/>
      <c r="Q201" s="299"/>
      <c r="R201" s="299"/>
      <c r="S201" s="299"/>
      <c r="T201" s="299"/>
      <c r="U201" s="299"/>
      <c r="V201" s="299"/>
      <c r="W201" s="299"/>
      <c r="X201" s="299"/>
      <c r="Y201" s="309"/>
    </row>
    <row r="202" spans="3:25" s="304" customFormat="1">
      <c r="C202" s="305"/>
      <c r="K202" s="271"/>
      <c r="L202" s="271"/>
      <c r="N202" s="308"/>
      <c r="O202" s="308"/>
      <c r="P202" s="308"/>
      <c r="Q202" s="299"/>
      <c r="R202" s="299"/>
      <c r="S202" s="299"/>
      <c r="T202" s="299"/>
      <c r="U202" s="299"/>
      <c r="V202" s="299"/>
      <c r="W202" s="299"/>
      <c r="X202" s="299"/>
      <c r="Y202" s="309"/>
    </row>
    <row r="203" spans="3:25" s="304" customFormat="1">
      <c r="C203" s="305"/>
      <c r="K203" s="271"/>
      <c r="L203" s="271"/>
      <c r="N203" s="308"/>
      <c r="O203" s="308"/>
      <c r="P203" s="308"/>
      <c r="Q203" s="299"/>
      <c r="R203" s="299"/>
      <c r="S203" s="299"/>
      <c r="T203" s="299"/>
      <c r="U203" s="299"/>
      <c r="V203" s="299"/>
      <c r="W203" s="299"/>
      <c r="X203" s="299"/>
      <c r="Y203" s="309"/>
    </row>
    <row r="204" spans="3:25" s="304" customFormat="1">
      <c r="C204" s="305"/>
      <c r="K204" s="271"/>
      <c r="L204" s="271"/>
      <c r="N204" s="308"/>
      <c r="O204" s="308"/>
      <c r="P204" s="308"/>
      <c r="Q204" s="299"/>
      <c r="R204" s="299"/>
      <c r="S204" s="299"/>
      <c r="T204" s="299"/>
      <c r="U204" s="299"/>
      <c r="V204" s="299"/>
      <c r="W204" s="299"/>
      <c r="X204" s="299"/>
      <c r="Y204" s="309"/>
    </row>
    <row r="205" spans="3:25" s="304" customFormat="1">
      <c r="C205" s="305"/>
      <c r="K205" s="271"/>
      <c r="L205" s="271"/>
      <c r="N205" s="308"/>
      <c r="O205" s="308"/>
      <c r="P205" s="308"/>
      <c r="Q205" s="299"/>
      <c r="R205" s="299"/>
      <c r="S205" s="299"/>
      <c r="T205" s="299"/>
      <c r="U205" s="299"/>
      <c r="V205" s="299"/>
      <c r="W205" s="299"/>
      <c r="X205" s="299"/>
      <c r="Y205" s="309"/>
    </row>
    <row r="206" spans="3:25" s="304" customFormat="1">
      <c r="C206" s="305"/>
      <c r="K206" s="271"/>
      <c r="L206" s="271"/>
      <c r="N206" s="308"/>
      <c r="O206" s="308"/>
      <c r="P206" s="308"/>
      <c r="Q206" s="299"/>
      <c r="R206" s="299"/>
      <c r="S206" s="299"/>
      <c r="T206" s="299"/>
      <c r="U206" s="299"/>
      <c r="V206" s="299"/>
      <c r="W206" s="299"/>
      <c r="X206" s="299"/>
      <c r="Y206" s="309"/>
    </row>
    <row r="207" spans="3:25" s="304" customFormat="1">
      <c r="C207" s="305"/>
      <c r="K207" s="271"/>
      <c r="L207" s="271"/>
      <c r="N207" s="308"/>
      <c r="O207" s="308"/>
      <c r="P207" s="308"/>
      <c r="Q207" s="299"/>
      <c r="R207" s="299"/>
      <c r="S207" s="299"/>
      <c r="T207" s="299"/>
      <c r="U207" s="299"/>
      <c r="V207" s="299"/>
      <c r="W207" s="299"/>
      <c r="X207" s="299"/>
      <c r="Y207" s="309"/>
    </row>
    <row r="208" spans="3:25" s="304" customFormat="1">
      <c r="C208" s="305"/>
      <c r="K208" s="271"/>
      <c r="L208" s="271"/>
      <c r="N208" s="308"/>
      <c r="O208" s="308"/>
      <c r="P208" s="308"/>
      <c r="Q208" s="299"/>
      <c r="R208" s="299"/>
      <c r="S208" s="299"/>
      <c r="T208" s="299"/>
      <c r="U208" s="299"/>
      <c r="V208" s="299"/>
      <c r="W208" s="299"/>
      <c r="X208" s="299"/>
      <c r="Y208" s="309"/>
    </row>
    <row r="209" spans="3:25" s="304" customFormat="1">
      <c r="C209" s="305"/>
      <c r="K209" s="271"/>
      <c r="L209" s="271"/>
      <c r="N209" s="308"/>
      <c r="O209" s="308"/>
      <c r="P209" s="308"/>
      <c r="Q209" s="299"/>
      <c r="R209" s="299"/>
      <c r="S209" s="299"/>
      <c r="T209" s="299"/>
      <c r="U209" s="299"/>
      <c r="V209" s="299"/>
      <c r="W209" s="299"/>
      <c r="X209" s="299"/>
      <c r="Y209" s="309"/>
    </row>
    <row r="210" spans="3:25" s="304" customFormat="1">
      <c r="C210" s="305"/>
      <c r="K210" s="271"/>
      <c r="L210" s="271"/>
      <c r="N210" s="308"/>
      <c r="O210" s="308"/>
      <c r="P210" s="308"/>
      <c r="Q210" s="299"/>
      <c r="R210" s="299"/>
      <c r="S210" s="299"/>
      <c r="T210" s="299"/>
      <c r="U210" s="299"/>
      <c r="V210" s="299"/>
      <c r="W210" s="299"/>
      <c r="X210" s="299"/>
      <c r="Y210" s="309"/>
    </row>
    <row r="211" spans="3:25" s="304" customFormat="1">
      <c r="C211" s="305"/>
      <c r="K211" s="271"/>
      <c r="L211" s="271"/>
      <c r="N211" s="308"/>
      <c r="O211" s="308"/>
      <c r="P211" s="308"/>
      <c r="Q211" s="299"/>
      <c r="R211" s="299"/>
      <c r="S211" s="299"/>
      <c r="T211" s="299"/>
      <c r="U211" s="299"/>
      <c r="V211" s="299"/>
      <c r="W211" s="299"/>
      <c r="X211" s="299"/>
      <c r="Y211" s="309"/>
    </row>
    <row r="212" spans="3:25" s="304" customFormat="1">
      <c r="C212" s="305"/>
      <c r="K212" s="271"/>
      <c r="L212" s="271"/>
      <c r="N212" s="308"/>
      <c r="O212" s="308"/>
      <c r="P212" s="308"/>
      <c r="Q212" s="299"/>
      <c r="R212" s="299"/>
      <c r="S212" s="299"/>
      <c r="T212" s="299"/>
      <c r="U212" s="299"/>
      <c r="V212" s="299"/>
      <c r="W212" s="299"/>
      <c r="X212" s="299"/>
      <c r="Y212" s="309"/>
    </row>
    <row r="213" spans="3:25" s="304" customFormat="1">
      <c r="C213" s="305"/>
      <c r="K213" s="271"/>
      <c r="L213" s="271"/>
      <c r="N213" s="308"/>
      <c r="O213" s="308"/>
      <c r="P213" s="308"/>
      <c r="Q213" s="299"/>
      <c r="R213" s="299"/>
      <c r="S213" s="299"/>
      <c r="T213" s="299"/>
      <c r="U213" s="299"/>
      <c r="V213" s="299"/>
      <c r="W213" s="299"/>
      <c r="X213" s="299"/>
      <c r="Y213" s="309"/>
    </row>
    <row r="214" spans="3:25" s="304" customFormat="1">
      <c r="C214" s="305"/>
      <c r="K214" s="271"/>
      <c r="L214" s="271"/>
      <c r="N214" s="308"/>
      <c r="O214" s="308"/>
      <c r="P214" s="308"/>
      <c r="Q214" s="299"/>
      <c r="R214" s="299"/>
      <c r="S214" s="299"/>
      <c r="T214" s="299"/>
      <c r="U214" s="299"/>
      <c r="V214" s="299"/>
      <c r="W214" s="299"/>
      <c r="X214" s="299"/>
      <c r="Y214" s="309"/>
    </row>
    <row r="215" spans="3:25" s="304" customFormat="1">
      <c r="C215" s="305"/>
      <c r="K215" s="271"/>
      <c r="L215" s="271"/>
      <c r="N215" s="308"/>
      <c r="O215" s="308"/>
      <c r="P215" s="308"/>
      <c r="Q215" s="299"/>
      <c r="R215" s="299"/>
      <c r="S215" s="299"/>
      <c r="T215" s="299"/>
      <c r="U215" s="299"/>
      <c r="V215" s="299"/>
      <c r="W215" s="299"/>
      <c r="X215" s="299"/>
      <c r="Y215" s="309"/>
    </row>
    <row r="216" spans="3:25" s="304" customFormat="1">
      <c r="C216" s="305"/>
      <c r="K216" s="271"/>
      <c r="L216" s="271"/>
      <c r="N216" s="308"/>
      <c r="O216" s="308"/>
      <c r="P216" s="308"/>
      <c r="Q216" s="299"/>
      <c r="R216" s="299"/>
      <c r="S216" s="299"/>
      <c r="T216" s="299"/>
      <c r="U216" s="299"/>
      <c r="V216" s="299"/>
      <c r="W216" s="299"/>
      <c r="X216" s="299"/>
      <c r="Y216" s="309"/>
    </row>
    <row r="217" spans="3:25" s="304" customFormat="1">
      <c r="C217" s="305"/>
      <c r="K217" s="271"/>
      <c r="L217" s="271"/>
      <c r="N217" s="308"/>
      <c r="O217" s="308"/>
      <c r="P217" s="308"/>
      <c r="Q217" s="299"/>
      <c r="R217" s="299"/>
      <c r="S217" s="299"/>
      <c r="T217" s="299"/>
      <c r="U217" s="299"/>
      <c r="V217" s="299"/>
      <c r="W217" s="299"/>
      <c r="X217" s="299"/>
      <c r="Y217" s="309"/>
    </row>
    <row r="218" spans="3:25" s="304" customFormat="1">
      <c r="C218" s="305"/>
      <c r="K218" s="271"/>
      <c r="L218" s="271"/>
      <c r="N218" s="308"/>
      <c r="O218" s="308"/>
      <c r="P218" s="308"/>
      <c r="Q218" s="299"/>
      <c r="R218" s="299"/>
      <c r="S218" s="299"/>
      <c r="T218" s="299"/>
      <c r="U218" s="299"/>
      <c r="V218" s="299"/>
      <c r="W218" s="299"/>
      <c r="X218" s="299"/>
      <c r="Y218" s="309"/>
    </row>
    <row r="219" spans="3:25" s="304" customFormat="1">
      <c r="C219" s="305"/>
      <c r="K219" s="271"/>
      <c r="L219" s="271"/>
      <c r="N219" s="308"/>
      <c r="O219" s="308"/>
      <c r="P219" s="308"/>
      <c r="Q219" s="299"/>
      <c r="R219" s="299"/>
      <c r="S219" s="299"/>
      <c r="T219" s="299"/>
      <c r="U219" s="299"/>
      <c r="V219" s="299"/>
      <c r="W219" s="299"/>
      <c r="X219" s="299"/>
      <c r="Y219" s="309"/>
    </row>
    <row r="220" spans="3:25" s="304" customFormat="1">
      <c r="C220" s="305"/>
      <c r="K220" s="271"/>
      <c r="L220" s="271"/>
      <c r="N220" s="308"/>
      <c r="O220" s="308"/>
      <c r="P220" s="308"/>
      <c r="Q220" s="299"/>
      <c r="R220" s="299"/>
      <c r="S220" s="299"/>
      <c r="T220" s="299"/>
      <c r="U220" s="299"/>
      <c r="V220" s="299"/>
      <c r="W220" s="299"/>
      <c r="X220" s="299"/>
      <c r="Y220" s="309"/>
    </row>
    <row r="221" spans="3:25" s="304" customFormat="1">
      <c r="C221" s="305"/>
      <c r="K221" s="271"/>
      <c r="L221" s="271"/>
      <c r="N221" s="308"/>
      <c r="O221" s="308"/>
      <c r="P221" s="308"/>
      <c r="Q221" s="299"/>
      <c r="R221" s="299"/>
      <c r="S221" s="299"/>
      <c r="T221" s="299"/>
      <c r="U221" s="299"/>
      <c r="V221" s="299"/>
      <c r="W221" s="299"/>
      <c r="X221" s="299"/>
      <c r="Y221" s="309"/>
    </row>
    <row r="222" spans="3:25" s="304" customFormat="1">
      <c r="C222" s="305"/>
      <c r="K222" s="271"/>
      <c r="L222" s="271"/>
      <c r="N222" s="308"/>
      <c r="O222" s="308"/>
      <c r="P222" s="308"/>
      <c r="Q222" s="299"/>
      <c r="R222" s="299"/>
      <c r="S222" s="299"/>
      <c r="T222" s="299"/>
      <c r="U222" s="299"/>
      <c r="V222" s="299"/>
      <c r="W222" s="299"/>
      <c r="X222" s="299"/>
      <c r="Y222" s="309"/>
    </row>
    <row r="223" spans="3:25" s="304" customFormat="1">
      <c r="C223" s="305"/>
      <c r="K223" s="271"/>
      <c r="L223" s="271"/>
      <c r="N223" s="308"/>
      <c r="O223" s="308"/>
      <c r="P223" s="308"/>
      <c r="Q223" s="299"/>
      <c r="R223" s="299"/>
      <c r="S223" s="299"/>
      <c r="T223" s="299"/>
      <c r="U223" s="299"/>
      <c r="V223" s="299"/>
      <c r="W223" s="299"/>
      <c r="X223" s="299"/>
      <c r="Y223" s="309"/>
    </row>
    <row r="224" spans="3:25" s="304" customFormat="1">
      <c r="C224" s="305"/>
      <c r="K224" s="271"/>
      <c r="L224" s="271"/>
      <c r="N224" s="308"/>
      <c r="O224" s="308"/>
      <c r="P224" s="308"/>
      <c r="Q224" s="299"/>
      <c r="R224" s="299"/>
      <c r="S224" s="299"/>
      <c r="T224" s="299"/>
      <c r="U224" s="299"/>
      <c r="V224" s="299"/>
      <c r="W224" s="299"/>
      <c r="X224" s="299"/>
      <c r="Y224" s="309"/>
    </row>
    <row r="225" spans="3:25" s="304" customFormat="1">
      <c r="C225" s="305"/>
      <c r="K225" s="271"/>
      <c r="L225" s="271"/>
      <c r="N225" s="308"/>
      <c r="O225" s="308"/>
      <c r="P225" s="308"/>
      <c r="Q225" s="299"/>
      <c r="R225" s="299"/>
      <c r="S225" s="299"/>
      <c r="T225" s="299"/>
      <c r="U225" s="299"/>
      <c r="V225" s="299"/>
      <c r="W225" s="299"/>
      <c r="X225" s="299"/>
      <c r="Y225" s="309"/>
    </row>
    <row r="226" spans="3:25" s="304" customFormat="1">
      <c r="C226" s="305"/>
      <c r="K226" s="271"/>
      <c r="L226" s="271"/>
      <c r="N226" s="308"/>
      <c r="O226" s="308"/>
      <c r="P226" s="308"/>
      <c r="Q226" s="299"/>
      <c r="R226" s="299"/>
      <c r="S226" s="299"/>
      <c r="T226" s="299"/>
      <c r="U226" s="299"/>
      <c r="V226" s="299"/>
      <c r="W226" s="299"/>
      <c r="X226" s="299"/>
      <c r="Y226" s="309"/>
    </row>
    <row r="227" spans="3:25" s="304" customFormat="1">
      <c r="C227" s="305"/>
      <c r="K227" s="271"/>
      <c r="L227" s="271"/>
      <c r="N227" s="308"/>
      <c r="O227" s="308"/>
      <c r="P227" s="308"/>
      <c r="Q227" s="299"/>
      <c r="R227" s="299"/>
      <c r="S227" s="299"/>
      <c r="T227" s="299"/>
      <c r="U227" s="299"/>
      <c r="V227" s="299"/>
      <c r="W227" s="299"/>
      <c r="X227" s="299"/>
      <c r="Y227" s="309"/>
    </row>
    <row r="228" spans="3:25" s="304" customFormat="1">
      <c r="C228" s="305"/>
      <c r="K228" s="271"/>
      <c r="L228" s="271"/>
      <c r="N228" s="308"/>
      <c r="O228" s="308"/>
      <c r="P228" s="308"/>
      <c r="Q228" s="299"/>
      <c r="R228" s="299"/>
      <c r="S228" s="299"/>
      <c r="T228" s="299"/>
      <c r="U228" s="299"/>
      <c r="V228" s="299"/>
      <c r="W228" s="299"/>
      <c r="X228" s="299"/>
      <c r="Y228" s="309"/>
    </row>
    <row r="229" spans="3:25" s="304" customFormat="1">
      <c r="C229" s="305"/>
      <c r="K229" s="271"/>
      <c r="L229" s="271"/>
      <c r="N229" s="308"/>
      <c r="O229" s="308"/>
      <c r="P229" s="308"/>
      <c r="Q229" s="299"/>
      <c r="R229" s="299"/>
      <c r="S229" s="299"/>
      <c r="T229" s="299"/>
      <c r="U229" s="299"/>
      <c r="V229" s="299"/>
      <c r="W229" s="299"/>
      <c r="X229" s="299"/>
      <c r="Y229" s="309"/>
    </row>
    <row r="230" spans="3:25" s="304" customFormat="1">
      <c r="C230" s="305"/>
      <c r="K230" s="271"/>
      <c r="L230" s="271"/>
      <c r="N230" s="308"/>
      <c r="O230" s="308"/>
      <c r="P230" s="308"/>
      <c r="Q230" s="299"/>
      <c r="R230" s="299"/>
      <c r="S230" s="299"/>
      <c r="T230" s="299"/>
      <c r="U230" s="299"/>
      <c r="V230" s="299"/>
      <c r="W230" s="299"/>
      <c r="X230" s="299"/>
      <c r="Y230" s="309"/>
    </row>
    <row r="231" spans="3:25" s="304" customFormat="1">
      <c r="C231" s="305"/>
      <c r="K231" s="271"/>
      <c r="L231" s="271"/>
      <c r="N231" s="308"/>
      <c r="O231" s="308"/>
      <c r="P231" s="308"/>
      <c r="Q231" s="299"/>
      <c r="R231" s="299"/>
      <c r="S231" s="299"/>
      <c r="T231" s="299"/>
      <c r="U231" s="299"/>
      <c r="V231" s="299"/>
      <c r="W231" s="299"/>
      <c r="X231" s="299"/>
      <c r="Y231" s="309"/>
    </row>
    <row r="232" spans="3:25" s="304" customFormat="1">
      <c r="C232" s="305"/>
      <c r="K232" s="271"/>
      <c r="L232" s="271"/>
      <c r="N232" s="308"/>
      <c r="O232" s="308"/>
      <c r="P232" s="308"/>
      <c r="Q232" s="299"/>
      <c r="R232" s="299"/>
      <c r="S232" s="299"/>
      <c r="T232" s="299"/>
      <c r="U232" s="299"/>
      <c r="V232" s="299"/>
      <c r="W232" s="299"/>
      <c r="X232" s="299"/>
      <c r="Y232" s="309"/>
    </row>
    <row r="233" spans="3:25" s="304" customFormat="1">
      <c r="C233" s="305"/>
      <c r="K233" s="271"/>
      <c r="L233" s="271"/>
      <c r="N233" s="308"/>
      <c r="O233" s="308"/>
      <c r="P233" s="308"/>
      <c r="Q233" s="299"/>
      <c r="R233" s="299"/>
      <c r="S233" s="299"/>
      <c r="T233" s="299"/>
      <c r="U233" s="299"/>
      <c r="V233" s="299"/>
      <c r="W233" s="299"/>
      <c r="X233" s="299"/>
      <c r="Y233" s="309"/>
    </row>
    <row r="234" spans="3:25" s="304" customFormat="1">
      <c r="C234" s="305"/>
      <c r="K234" s="271"/>
      <c r="L234" s="271"/>
      <c r="N234" s="308"/>
      <c r="O234" s="308"/>
      <c r="P234" s="308"/>
      <c r="Q234" s="299"/>
      <c r="R234" s="299"/>
      <c r="S234" s="299"/>
      <c r="T234" s="299"/>
      <c r="U234" s="299"/>
      <c r="V234" s="299"/>
      <c r="W234" s="299"/>
      <c r="X234" s="299"/>
      <c r="Y234" s="309"/>
    </row>
    <row r="235" spans="3:25" s="304" customFormat="1">
      <c r="C235" s="305"/>
      <c r="K235" s="271"/>
      <c r="L235" s="271"/>
      <c r="N235" s="308"/>
      <c r="O235" s="308"/>
      <c r="P235" s="308"/>
      <c r="Q235" s="299"/>
      <c r="R235" s="299"/>
      <c r="S235" s="299"/>
      <c r="T235" s="299"/>
      <c r="U235" s="299"/>
      <c r="V235" s="299"/>
      <c r="W235" s="299"/>
      <c r="X235" s="299"/>
      <c r="Y235" s="309"/>
    </row>
    <row r="236" spans="3:25" s="304" customFormat="1">
      <c r="C236" s="305"/>
      <c r="K236" s="271"/>
      <c r="L236" s="271"/>
      <c r="N236" s="308"/>
      <c r="O236" s="308"/>
      <c r="P236" s="308"/>
      <c r="Q236" s="299"/>
      <c r="R236" s="299"/>
      <c r="S236" s="299"/>
      <c r="T236" s="299"/>
      <c r="U236" s="299"/>
      <c r="V236" s="299"/>
      <c r="W236" s="299"/>
      <c r="X236" s="299"/>
      <c r="Y236" s="309"/>
    </row>
    <row r="237" spans="3:25" s="304" customFormat="1">
      <c r="C237" s="305"/>
      <c r="K237" s="271"/>
      <c r="L237" s="271"/>
      <c r="N237" s="308"/>
      <c r="O237" s="308"/>
      <c r="P237" s="308"/>
      <c r="Q237" s="299"/>
      <c r="R237" s="299"/>
      <c r="S237" s="299"/>
      <c r="T237" s="299"/>
      <c r="U237" s="299"/>
      <c r="V237" s="299"/>
      <c r="W237" s="299"/>
      <c r="X237" s="299"/>
      <c r="Y237" s="309"/>
    </row>
    <row r="238" spans="3:25" s="304" customFormat="1">
      <c r="C238" s="305"/>
      <c r="K238" s="271"/>
      <c r="L238" s="271"/>
      <c r="N238" s="308"/>
      <c r="O238" s="308"/>
      <c r="P238" s="308"/>
      <c r="Q238" s="299"/>
      <c r="R238" s="299"/>
      <c r="S238" s="299"/>
      <c r="T238" s="299"/>
      <c r="U238" s="299"/>
      <c r="V238" s="299"/>
      <c r="W238" s="299"/>
      <c r="X238" s="299"/>
      <c r="Y238" s="309"/>
    </row>
    <row r="239" spans="3:25" s="304" customFormat="1">
      <c r="C239" s="305"/>
      <c r="K239" s="271"/>
      <c r="L239" s="271"/>
      <c r="N239" s="308"/>
      <c r="O239" s="308"/>
      <c r="P239" s="308"/>
      <c r="Q239" s="299"/>
      <c r="R239" s="299"/>
      <c r="S239" s="299"/>
      <c r="T239" s="299"/>
      <c r="U239" s="299"/>
      <c r="V239" s="299"/>
      <c r="W239" s="299"/>
      <c r="X239" s="299"/>
      <c r="Y239" s="309"/>
    </row>
    <row r="240" spans="3:25" s="304" customFormat="1">
      <c r="C240" s="305"/>
      <c r="K240" s="271"/>
      <c r="L240" s="271"/>
      <c r="N240" s="308"/>
      <c r="O240" s="308"/>
      <c r="P240" s="308"/>
      <c r="Q240" s="299"/>
      <c r="R240" s="299"/>
      <c r="S240" s="299"/>
      <c r="T240" s="299"/>
      <c r="U240" s="299"/>
      <c r="V240" s="299"/>
      <c r="W240" s="299"/>
      <c r="X240" s="299"/>
      <c r="Y240" s="309"/>
    </row>
    <row r="241" spans="3:25" s="304" customFormat="1">
      <c r="C241" s="305"/>
      <c r="K241" s="271"/>
      <c r="L241" s="271"/>
      <c r="N241" s="308"/>
      <c r="O241" s="308"/>
      <c r="P241" s="308"/>
      <c r="Q241" s="299"/>
      <c r="R241" s="299"/>
      <c r="S241" s="299"/>
      <c r="T241" s="299"/>
      <c r="U241" s="299"/>
      <c r="V241" s="299"/>
      <c r="W241" s="299"/>
      <c r="X241" s="299"/>
      <c r="Y241" s="309"/>
    </row>
    <row r="242" spans="3:25" s="304" customFormat="1">
      <c r="C242" s="305"/>
      <c r="K242" s="271"/>
      <c r="L242" s="271"/>
      <c r="N242" s="308"/>
      <c r="O242" s="308"/>
      <c r="P242" s="308"/>
      <c r="Q242" s="299"/>
      <c r="R242" s="299"/>
      <c r="S242" s="299"/>
      <c r="T242" s="299"/>
      <c r="U242" s="299"/>
      <c r="V242" s="299"/>
      <c r="W242" s="299"/>
      <c r="X242" s="299"/>
      <c r="Y242" s="309"/>
    </row>
    <row r="243" spans="3:25" s="304" customFormat="1">
      <c r="C243" s="305"/>
      <c r="K243" s="271"/>
      <c r="L243" s="271"/>
      <c r="N243" s="308"/>
      <c r="O243" s="308"/>
      <c r="P243" s="308"/>
      <c r="Q243" s="299"/>
      <c r="R243" s="299"/>
      <c r="S243" s="299"/>
      <c r="T243" s="299"/>
      <c r="U243" s="299"/>
      <c r="V243" s="299"/>
      <c r="W243" s="299"/>
      <c r="X243" s="299"/>
      <c r="Y243" s="309"/>
    </row>
    <row r="244" spans="3:25" s="304" customFormat="1">
      <c r="C244" s="305"/>
      <c r="K244" s="271"/>
      <c r="L244" s="271"/>
      <c r="N244" s="308"/>
      <c r="O244" s="308"/>
      <c r="P244" s="308"/>
      <c r="Q244" s="299"/>
      <c r="R244" s="299"/>
      <c r="S244" s="299"/>
      <c r="T244" s="299"/>
      <c r="U244" s="299"/>
      <c r="V244" s="299"/>
      <c r="W244" s="299"/>
      <c r="X244" s="299"/>
      <c r="Y244" s="309"/>
    </row>
    <row r="245" spans="3:25" s="304" customFormat="1">
      <c r="C245" s="305"/>
      <c r="K245" s="271"/>
      <c r="L245" s="271"/>
      <c r="N245" s="308"/>
      <c r="O245" s="308"/>
      <c r="P245" s="308"/>
      <c r="Q245" s="299"/>
      <c r="R245" s="299"/>
      <c r="S245" s="299"/>
      <c r="T245" s="299"/>
      <c r="U245" s="299"/>
      <c r="V245" s="299"/>
      <c r="W245" s="299"/>
      <c r="X245" s="299"/>
      <c r="Y245" s="309"/>
    </row>
    <row r="246" spans="3:25" s="304" customFormat="1">
      <c r="C246" s="305"/>
      <c r="K246" s="271"/>
      <c r="L246" s="271"/>
      <c r="N246" s="308"/>
      <c r="O246" s="308"/>
      <c r="P246" s="308"/>
      <c r="Q246" s="299"/>
      <c r="R246" s="299"/>
      <c r="S246" s="299"/>
      <c r="T246" s="299"/>
      <c r="U246" s="299"/>
      <c r="V246" s="299"/>
      <c r="W246" s="299"/>
      <c r="X246" s="299"/>
      <c r="Y246" s="309"/>
    </row>
    <row r="247" spans="3:25" s="304" customFormat="1">
      <c r="C247" s="305"/>
      <c r="K247" s="271"/>
      <c r="L247" s="271"/>
      <c r="N247" s="308"/>
      <c r="O247" s="308"/>
      <c r="P247" s="308"/>
      <c r="Q247" s="299"/>
      <c r="R247" s="299"/>
      <c r="S247" s="299"/>
      <c r="T247" s="299"/>
      <c r="U247" s="299"/>
      <c r="V247" s="299"/>
      <c r="W247" s="299"/>
      <c r="X247" s="299"/>
      <c r="Y247" s="309"/>
    </row>
    <row r="248" spans="3:25" s="304" customFormat="1">
      <c r="C248" s="305"/>
      <c r="K248" s="271"/>
      <c r="L248" s="271"/>
      <c r="N248" s="308"/>
      <c r="O248" s="308"/>
      <c r="P248" s="308"/>
      <c r="Q248" s="299"/>
      <c r="R248" s="299"/>
      <c r="S248" s="299"/>
      <c r="T248" s="299"/>
      <c r="U248" s="299"/>
      <c r="V248" s="299"/>
      <c r="W248" s="299"/>
      <c r="X248" s="299"/>
      <c r="Y248" s="309"/>
    </row>
    <row r="249" spans="3:25" s="304" customFormat="1">
      <c r="C249" s="305"/>
      <c r="K249" s="271"/>
      <c r="L249" s="271"/>
      <c r="N249" s="308"/>
      <c r="O249" s="308"/>
      <c r="P249" s="308"/>
      <c r="Q249" s="299"/>
      <c r="R249" s="299"/>
      <c r="S249" s="299"/>
      <c r="T249" s="299"/>
      <c r="U249" s="299"/>
      <c r="V249" s="299"/>
      <c r="W249" s="299"/>
      <c r="X249" s="299"/>
      <c r="Y249" s="309"/>
    </row>
    <row r="250" spans="3:25" s="304" customFormat="1">
      <c r="C250" s="305"/>
      <c r="K250" s="271"/>
      <c r="L250" s="271"/>
      <c r="N250" s="308"/>
      <c r="O250" s="308"/>
      <c r="P250" s="308"/>
      <c r="Q250" s="299"/>
      <c r="R250" s="299"/>
      <c r="S250" s="299"/>
      <c r="T250" s="299"/>
      <c r="U250" s="299"/>
      <c r="V250" s="299"/>
      <c r="W250" s="299"/>
      <c r="X250" s="299"/>
      <c r="Y250" s="309"/>
    </row>
    <row r="251" spans="3:25" s="304" customFormat="1">
      <c r="C251" s="305"/>
      <c r="K251" s="271"/>
      <c r="L251" s="271"/>
      <c r="N251" s="308"/>
      <c r="O251" s="308"/>
      <c r="P251" s="308"/>
      <c r="Q251" s="299"/>
      <c r="R251" s="299"/>
      <c r="S251" s="299"/>
      <c r="T251" s="299"/>
      <c r="U251" s="299"/>
      <c r="V251" s="299"/>
      <c r="W251" s="299"/>
      <c r="X251" s="299"/>
      <c r="Y251" s="309"/>
    </row>
    <row r="252" spans="3:25" s="304" customFormat="1">
      <c r="C252" s="305"/>
      <c r="K252" s="271"/>
      <c r="L252" s="271"/>
      <c r="N252" s="308"/>
      <c r="O252" s="308"/>
      <c r="P252" s="308"/>
      <c r="Q252" s="299"/>
      <c r="R252" s="299"/>
      <c r="S252" s="299"/>
      <c r="T252" s="299"/>
      <c r="U252" s="299"/>
      <c r="V252" s="299"/>
      <c r="W252" s="299"/>
      <c r="X252" s="299"/>
      <c r="Y252" s="309"/>
    </row>
    <row r="253" spans="3:25" s="304" customFormat="1">
      <c r="C253" s="305"/>
      <c r="K253" s="271"/>
      <c r="L253" s="271"/>
      <c r="N253" s="308"/>
      <c r="O253" s="308"/>
      <c r="P253" s="308"/>
      <c r="Q253" s="299"/>
      <c r="R253" s="299"/>
      <c r="S253" s="299"/>
      <c r="T253" s="299"/>
      <c r="U253" s="299"/>
      <c r="V253" s="299"/>
      <c r="W253" s="299"/>
      <c r="X253" s="299"/>
      <c r="Y253" s="309"/>
    </row>
    <row r="254" spans="3:25" s="304" customFormat="1">
      <c r="C254" s="305"/>
      <c r="K254" s="271"/>
      <c r="L254" s="271"/>
      <c r="N254" s="308"/>
      <c r="O254" s="308"/>
      <c r="P254" s="308"/>
      <c r="Q254" s="299"/>
      <c r="R254" s="299"/>
      <c r="S254" s="299"/>
      <c r="T254" s="299"/>
      <c r="U254" s="299"/>
      <c r="V254" s="299"/>
      <c r="W254" s="299"/>
      <c r="X254" s="299"/>
      <c r="Y254" s="309"/>
    </row>
    <row r="255" spans="3:25" s="304" customFormat="1">
      <c r="C255" s="305"/>
      <c r="K255" s="271"/>
      <c r="L255" s="271"/>
      <c r="N255" s="308"/>
      <c r="O255" s="308"/>
      <c r="P255" s="308"/>
      <c r="Q255" s="299"/>
      <c r="R255" s="299"/>
      <c r="S255" s="299"/>
      <c r="T255" s="299"/>
      <c r="U255" s="299"/>
      <c r="V255" s="299"/>
      <c r="W255" s="299"/>
      <c r="X255" s="299"/>
      <c r="Y255" s="309"/>
    </row>
    <row r="256" spans="3:25" s="304" customFormat="1">
      <c r="C256" s="305"/>
      <c r="K256" s="271"/>
      <c r="L256" s="271"/>
      <c r="N256" s="308"/>
      <c r="O256" s="308"/>
      <c r="P256" s="308"/>
      <c r="Q256" s="299"/>
      <c r="R256" s="299"/>
      <c r="S256" s="299"/>
      <c r="T256" s="299"/>
      <c r="U256" s="299"/>
      <c r="V256" s="299"/>
      <c r="W256" s="299"/>
      <c r="X256" s="299"/>
      <c r="Y256" s="309"/>
    </row>
    <row r="257" spans="3:25" s="304" customFormat="1">
      <c r="C257" s="305"/>
      <c r="K257" s="271"/>
      <c r="L257" s="271"/>
      <c r="N257" s="308"/>
      <c r="O257" s="308"/>
      <c r="P257" s="308"/>
      <c r="Q257" s="299"/>
      <c r="R257" s="299"/>
      <c r="S257" s="299"/>
      <c r="T257" s="299"/>
      <c r="U257" s="299"/>
      <c r="V257" s="299"/>
      <c r="W257" s="299"/>
      <c r="X257" s="299"/>
      <c r="Y257" s="309"/>
    </row>
    <row r="258" spans="3:25" s="304" customFormat="1">
      <c r="C258" s="305"/>
      <c r="K258" s="271"/>
      <c r="L258" s="271"/>
      <c r="N258" s="308"/>
      <c r="O258" s="308"/>
      <c r="P258" s="308"/>
      <c r="Q258" s="299"/>
      <c r="R258" s="299"/>
      <c r="S258" s="299"/>
      <c r="T258" s="299"/>
      <c r="U258" s="299"/>
      <c r="V258" s="299"/>
      <c r="W258" s="299"/>
      <c r="X258" s="299"/>
      <c r="Y258" s="309"/>
    </row>
    <row r="259" spans="3:25" s="304" customFormat="1">
      <c r="C259" s="305"/>
      <c r="K259" s="271"/>
      <c r="L259" s="271"/>
      <c r="N259" s="308"/>
      <c r="O259" s="308"/>
      <c r="P259" s="308"/>
      <c r="Q259" s="299"/>
      <c r="R259" s="299"/>
      <c r="S259" s="299"/>
      <c r="T259" s="299"/>
      <c r="U259" s="299"/>
      <c r="V259" s="299"/>
      <c r="W259" s="299"/>
      <c r="X259" s="299"/>
      <c r="Y259" s="309"/>
    </row>
    <row r="260" spans="3:25" s="304" customFormat="1">
      <c r="C260" s="305"/>
      <c r="K260" s="271"/>
      <c r="L260" s="271"/>
      <c r="N260" s="308"/>
      <c r="O260" s="308"/>
      <c r="P260" s="308"/>
      <c r="Q260" s="299"/>
      <c r="R260" s="299"/>
      <c r="S260" s="299"/>
      <c r="T260" s="299"/>
      <c r="U260" s="299"/>
      <c r="V260" s="299"/>
      <c r="W260" s="299"/>
      <c r="X260" s="299"/>
      <c r="Y260" s="309"/>
    </row>
    <row r="261" spans="3:25" s="304" customFormat="1">
      <c r="C261" s="305"/>
      <c r="K261" s="271"/>
      <c r="L261" s="271"/>
      <c r="N261" s="308"/>
      <c r="O261" s="308"/>
      <c r="P261" s="308"/>
      <c r="Q261" s="299"/>
      <c r="R261" s="299"/>
      <c r="S261" s="299"/>
      <c r="T261" s="299"/>
      <c r="U261" s="299"/>
      <c r="V261" s="299"/>
      <c r="W261" s="299"/>
      <c r="X261" s="299"/>
      <c r="Y261" s="309"/>
    </row>
    <row r="262" spans="3:25" s="304" customFormat="1">
      <c r="C262" s="305"/>
      <c r="K262" s="271"/>
      <c r="L262" s="271"/>
      <c r="N262" s="308"/>
      <c r="O262" s="308"/>
      <c r="P262" s="308"/>
      <c r="Q262" s="299"/>
      <c r="R262" s="299"/>
      <c r="S262" s="299"/>
      <c r="T262" s="299"/>
      <c r="U262" s="299"/>
      <c r="V262" s="299"/>
      <c r="W262" s="299"/>
      <c r="X262" s="299"/>
      <c r="Y262" s="309"/>
    </row>
    <row r="263" spans="3:25" s="304" customFormat="1">
      <c r="C263" s="305"/>
      <c r="K263" s="271"/>
      <c r="L263" s="271"/>
      <c r="N263" s="308"/>
      <c r="O263" s="308"/>
      <c r="P263" s="308"/>
      <c r="Q263" s="299"/>
      <c r="R263" s="299"/>
      <c r="S263" s="299"/>
      <c r="T263" s="299"/>
      <c r="U263" s="299"/>
      <c r="V263" s="299"/>
      <c r="W263" s="299"/>
      <c r="X263" s="299"/>
      <c r="Y263" s="309"/>
    </row>
    <row r="264" spans="3:25" s="304" customFormat="1">
      <c r="C264" s="305"/>
      <c r="K264" s="271"/>
      <c r="L264" s="271"/>
      <c r="N264" s="308"/>
      <c r="O264" s="308"/>
      <c r="P264" s="308"/>
      <c r="Q264" s="299"/>
      <c r="R264" s="299"/>
      <c r="S264" s="299"/>
      <c r="T264" s="299"/>
      <c r="U264" s="299"/>
      <c r="V264" s="299"/>
      <c r="W264" s="299"/>
      <c r="X264" s="299"/>
      <c r="Y264" s="309"/>
    </row>
    <row r="265" spans="3:25" s="304" customFormat="1">
      <c r="C265" s="305"/>
      <c r="K265" s="271"/>
      <c r="L265" s="271"/>
      <c r="N265" s="308"/>
      <c r="O265" s="308"/>
      <c r="P265" s="308"/>
      <c r="Q265" s="299"/>
      <c r="R265" s="299"/>
      <c r="S265" s="299"/>
      <c r="T265" s="299"/>
      <c r="U265" s="299"/>
      <c r="V265" s="299"/>
      <c r="W265" s="299"/>
      <c r="X265" s="299"/>
      <c r="Y265" s="309"/>
    </row>
    <row r="266" spans="3:25" s="304" customFormat="1">
      <c r="C266" s="305"/>
      <c r="K266" s="271"/>
      <c r="L266" s="271"/>
      <c r="N266" s="308"/>
      <c r="O266" s="308"/>
      <c r="P266" s="308"/>
      <c r="Q266" s="299"/>
      <c r="R266" s="299"/>
      <c r="S266" s="299"/>
      <c r="T266" s="299"/>
      <c r="U266" s="299"/>
      <c r="V266" s="299"/>
      <c r="W266" s="299"/>
      <c r="X266" s="299"/>
      <c r="Y266" s="309"/>
    </row>
    <row r="267" spans="3:25" s="304" customFormat="1">
      <c r="C267" s="305"/>
      <c r="K267" s="271"/>
      <c r="L267" s="271"/>
      <c r="N267" s="308"/>
      <c r="O267" s="308"/>
      <c r="P267" s="308"/>
      <c r="Q267" s="299"/>
      <c r="R267" s="299"/>
      <c r="S267" s="299"/>
      <c r="T267" s="299"/>
      <c r="U267" s="299"/>
      <c r="V267" s="299"/>
      <c r="W267" s="299"/>
      <c r="X267" s="299"/>
      <c r="Y267" s="309"/>
    </row>
    <row r="268" spans="3:25" s="304" customFormat="1">
      <c r="C268" s="305"/>
      <c r="K268" s="271"/>
      <c r="L268" s="271"/>
      <c r="N268" s="308"/>
      <c r="O268" s="308"/>
      <c r="P268" s="308"/>
      <c r="Q268" s="299"/>
      <c r="R268" s="299"/>
      <c r="S268" s="299"/>
      <c r="T268" s="299"/>
      <c r="U268" s="299"/>
      <c r="V268" s="299"/>
      <c r="W268" s="299"/>
      <c r="X268" s="299"/>
      <c r="Y268" s="309"/>
    </row>
    <row r="269" spans="3:25" s="304" customFormat="1">
      <c r="C269" s="305"/>
      <c r="K269" s="271"/>
      <c r="L269" s="271"/>
      <c r="N269" s="308"/>
      <c r="O269" s="308"/>
      <c r="P269" s="308"/>
      <c r="Q269" s="299"/>
      <c r="R269" s="299"/>
      <c r="S269" s="299"/>
      <c r="T269" s="299"/>
      <c r="U269" s="299"/>
      <c r="V269" s="299"/>
      <c r="W269" s="299"/>
      <c r="X269" s="299"/>
      <c r="Y269" s="309"/>
    </row>
    <row r="270" spans="3:25" s="304" customFormat="1">
      <c r="C270" s="305"/>
      <c r="K270" s="271"/>
      <c r="L270" s="271"/>
      <c r="N270" s="308"/>
      <c r="O270" s="308"/>
      <c r="P270" s="308"/>
      <c r="Q270" s="299"/>
      <c r="R270" s="299"/>
      <c r="S270" s="299"/>
      <c r="T270" s="299"/>
      <c r="U270" s="299"/>
      <c r="V270" s="299"/>
      <c r="W270" s="299"/>
      <c r="X270" s="299"/>
      <c r="Y270" s="309"/>
    </row>
    <row r="271" spans="3:25" s="304" customFormat="1">
      <c r="C271" s="305"/>
      <c r="K271" s="271"/>
      <c r="L271" s="271"/>
      <c r="N271" s="308"/>
      <c r="O271" s="308"/>
      <c r="P271" s="308"/>
      <c r="Q271" s="299"/>
      <c r="R271" s="299"/>
      <c r="S271" s="299"/>
      <c r="T271" s="299"/>
      <c r="U271" s="299"/>
      <c r="V271" s="299"/>
      <c r="W271" s="299"/>
      <c r="X271" s="299"/>
      <c r="Y271" s="309"/>
    </row>
    <row r="272" spans="3:25" s="304" customFormat="1">
      <c r="C272" s="305"/>
      <c r="K272" s="271"/>
      <c r="L272" s="271"/>
      <c r="N272" s="308"/>
      <c r="O272" s="308"/>
      <c r="P272" s="308"/>
      <c r="Q272" s="299"/>
      <c r="R272" s="299"/>
      <c r="S272" s="299"/>
      <c r="T272" s="299"/>
      <c r="U272" s="299"/>
      <c r="V272" s="299"/>
      <c r="W272" s="299"/>
      <c r="X272" s="299"/>
      <c r="Y272" s="309"/>
    </row>
    <row r="273" spans="3:25" s="304" customFormat="1">
      <c r="C273" s="305"/>
      <c r="K273" s="271"/>
      <c r="L273" s="271"/>
      <c r="N273" s="308"/>
      <c r="O273" s="308"/>
      <c r="P273" s="308"/>
      <c r="Q273" s="299"/>
      <c r="R273" s="299"/>
      <c r="S273" s="299"/>
      <c r="T273" s="299"/>
      <c r="U273" s="299"/>
      <c r="V273" s="299"/>
      <c r="W273" s="299"/>
      <c r="X273" s="299"/>
      <c r="Y273" s="309"/>
    </row>
    <row r="274" spans="3:25" s="304" customFormat="1">
      <c r="C274" s="305"/>
      <c r="K274" s="271"/>
      <c r="L274" s="271"/>
      <c r="N274" s="308"/>
      <c r="O274" s="308"/>
      <c r="P274" s="308"/>
      <c r="Q274" s="299"/>
      <c r="R274" s="299"/>
      <c r="S274" s="299"/>
      <c r="T274" s="299"/>
      <c r="U274" s="299"/>
      <c r="V274" s="299"/>
      <c r="W274" s="299"/>
      <c r="X274" s="299"/>
      <c r="Y274" s="309"/>
    </row>
    <row r="275" spans="3:25" s="304" customFormat="1">
      <c r="C275" s="305"/>
      <c r="K275" s="271"/>
      <c r="L275" s="271"/>
      <c r="N275" s="308"/>
      <c r="O275" s="308"/>
      <c r="P275" s="308"/>
      <c r="Q275" s="299"/>
      <c r="R275" s="299"/>
      <c r="S275" s="299"/>
      <c r="T275" s="299"/>
      <c r="U275" s="299"/>
      <c r="V275" s="299"/>
      <c r="W275" s="299"/>
      <c r="X275" s="299"/>
      <c r="Y275" s="309"/>
    </row>
    <row r="276" spans="3:25" s="304" customFormat="1">
      <c r="C276" s="305"/>
      <c r="K276" s="271"/>
      <c r="L276" s="271"/>
      <c r="N276" s="308"/>
      <c r="O276" s="308"/>
      <c r="P276" s="308"/>
      <c r="Q276" s="299"/>
      <c r="R276" s="299"/>
      <c r="S276" s="299"/>
      <c r="T276" s="299"/>
      <c r="U276" s="299"/>
      <c r="V276" s="299"/>
      <c r="W276" s="299"/>
      <c r="X276" s="299"/>
      <c r="Y276" s="309"/>
    </row>
    <row r="277" spans="3:25" s="304" customFormat="1">
      <c r="C277" s="305"/>
      <c r="K277" s="271"/>
      <c r="L277" s="271"/>
      <c r="N277" s="308"/>
      <c r="O277" s="308"/>
      <c r="P277" s="308"/>
      <c r="Q277" s="299"/>
      <c r="R277" s="299"/>
      <c r="S277" s="299"/>
      <c r="T277" s="299"/>
      <c r="U277" s="299"/>
      <c r="V277" s="299"/>
      <c r="W277" s="299"/>
      <c r="X277" s="299"/>
      <c r="Y277" s="309"/>
    </row>
    <row r="278" spans="3:25" s="304" customFormat="1">
      <c r="C278" s="305"/>
      <c r="K278" s="271"/>
      <c r="L278" s="271"/>
      <c r="N278" s="308"/>
      <c r="O278" s="308"/>
      <c r="P278" s="308"/>
      <c r="Q278" s="299"/>
      <c r="R278" s="299"/>
      <c r="S278" s="299"/>
      <c r="T278" s="299"/>
      <c r="U278" s="299"/>
      <c r="V278" s="299"/>
      <c r="W278" s="299"/>
      <c r="X278" s="299"/>
      <c r="Y278" s="309"/>
    </row>
    <row r="279" spans="3:25" s="304" customFormat="1">
      <c r="C279" s="305"/>
      <c r="K279" s="271"/>
      <c r="L279" s="271"/>
      <c r="N279" s="308"/>
      <c r="O279" s="308"/>
      <c r="P279" s="308"/>
      <c r="Q279" s="299"/>
      <c r="R279" s="299"/>
      <c r="S279" s="299"/>
      <c r="T279" s="299"/>
      <c r="U279" s="299"/>
      <c r="V279" s="299"/>
      <c r="W279" s="299"/>
      <c r="X279" s="299"/>
      <c r="Y279" s="309"/>
    </row>
    <row r="280" spans="3:25" s="304" customFormat="1">
      <c r="C280" s="305"/>
      <c r="K280" s="271"/>
      <c r="L280" s="271"/>
      <c r="N280" s="308"/>
      <c r="O280" s="308"/>
      <c r="P280" s="308"/>
      <c r="Q280" s="299"/>
      <c r="R280" s="299"/>
      <c r="S280" s="299"/>
      <c r="T280" s="299"/>
      <c r="U280" s="299"/>
      <c r="V280" s="299"/>
      <c r="W280" s="299"/>
      <c r="X280" s="299"/>
      <c r="Y280" s="309"/>
    </row>
    <row r="281" spans="3:25" s="304" customFormat="1">
      <c r="C281" s="305"/>
      <c r="K281" s="271"/>
      <c r="L281" s="271"/>
      <c r="N281" s="308"/>
      <c r="O281" s="308"/>
      <c r="P281" s="308"/>
      <c r="Q281" s="299"/>
      <c r="R281" s="299"/>
      <c r="S281" s="299"/>
      <c r="T281" s="299"/>
      <c r="U281" s="299"/>
      <c r="V281" s="299"/>
      <c r="W281" s="299"/>
      <c r="X281" s="299"/>
      <c r="Y281" s="309"/>
    </row>
    <row r="282" spans="3:25" s="304" customFormat="1">
      <c r="C282" s="305"/>
      <c r="K282" s="271"/>
      <c r="L282" s="271"/>
      <c r="N282" s="308"/>
      <c r="O282" s="308"/>
      <c r="P282" s="308"/>
      <c r="Q282" s="299"/>
      <c r="R282" s="299"/>
      <c r="S282" s="299"/>
      <c r="T282" s="299"/>
      <c r="U282" s="299"/>
      <c r="V282" s="299"/>
      <c r="W282" s="299"/>
      <c r="X282" s="299"/>
      <c r="Y282" s="309"/>
    </row>
    <row r="283" spans="3:25" s="304" customFormat="1">
      <c r="C283" s="305"/>
      <c r="K283" s="271"/>
      <c r="L283" s="271"/>
      <c r="N283" s="308"/>
      <c r="O283" s="308"/>
      <c r="P283" s="308"/>
      <c r="Q283" s="299"/>
      <c r="R283" s="299"/>
      <c r="S283" s="299"/>
      <c r="T283" s="299"/>
      <c r="U283" s="299"/>
      <c r="V283" s="299"/>
      <c r="W283" s="299"/>
      <c r="X283" s="299"/>
      <c r="Y283" s="309"/>
    </row>
    <row r="284" spans="3:25" s="304" customFormat="1">
      <c r="C284" s="305"/>
      <c r="K284" s="271"/>
      <c r="L284" s="271"/>
      <c r="N284" s="308"/>
      <c r="O284" s="308"/>
      <c r="P284" s="308"/>
      <c r="Q284" s="299"/>
      <c r="R284" s="299"/>
      <c r="S284" s="299"/>
      <c r="T284" s="299"/>
      <c r="U284" s="299"/>
      <c r="V284" s="299"/>
      <c r="W284" s="299"/>
      <c r="X284" s="299"/>
      <c r="Y284" s="309"/>
    </row>
    <row r="285" spans="3:25" s="304" customFormat="1">
      <c r="C285" s="305"/>
      <c r="K285" s="271"/>
      <c r="L285" s="271"/>
      <c r="N285" s="308"/>
      <c r="O285" s="308"/>
      <c r="P285" s="308"/>
      <c r="Q285" s="299"/>
      <c r="R285" s="299"/>
      <c r="S285" s="299"/>
      <c r="T285" s="299"/>
      <c r="U285" s="299"/>
      <c r="V285" s="299"/>
      <c r="W285" s="299"/>
      <c r="X285" s="299"/>
      <c r="Y285" s="309"/>
    </row>
    <row r="286" spans="3:25" s="304" customFormat="1">
      <c r="C286" s="305"/>
      <c r="K286" s="271"/>
      <c r="L286" s="271"/>
      <c r="N286" s="308"/>
      <c r="O286" s="308"/>
      <c r="P286" s="308"/>
      <c r="Q286" s="299"/>
      <c r="R286" s="299"/>
      <c r="S286" s="299"/>
      <c r="T286" s="299"/>
      <c r="U286" s="299"/>
      <c r="V286" s="299"/>
      <c r="W286" s="299"/>
      <c r="X286" s="299"/>
      <c r="Y286" s="309"/>
    </row>
    <row r="287" spans="3:25" s="304" customFormat="1">
      <c r="C287" s="305"/>
      <c r="K287" s="271"/>
      <c r="L287" s="271"/>
      <c r="N287" s="308"/>
      <c r="O287" s="308"/>
      <c r="P287" s="308"/>
      <c r="Q287" s="299"/>
      <c r="R287" s="299"/>
      <c r="S287" s="299"/>
      <c r="T287" s="299"/>
      <c r="U287" s="299"/>
      <c r="V287" s="299"/>
      <c r="W287" s="299"/>
      <c r="X287" s="299"/>
      <c r="Y287" s="309"/>
    </row>
    <row r="288" spans="3:25" s="304" customFormat="1">
      <c r="C288" s="305"/>
      <c r="K288" s="271"/>
      <c r="L288" s="271"/>
      <c r="N288" s="308"/>
      <c r="O288" s="308"/>
      <c r="P288" s="308"/>
      <c r="Q288" s="299"/>
      <c r="R288" s="299"/>
      <c r="S288" s="299"/>
      <c r="T288" s="299"/>
      <c r="U288" s="299"/>
      <c r="V288" s="299"/>
      <c r="W288" s="299"/>
      <c r="X288" s="299"/>
      <c r="Y288" s="309"/>
    </row>
    <row r="289" spans="3:25" s="304" customFormat="1">
      <c r="C289" s="305"/>
      <c r="K289" s="271"/>
      <c r="L289" s="271"/>
      <c r="N289" s="308"/>
      <c r="O289" s="308"/>
      <c r="P289" s="308"/>
      <c r="Q289" s="299"/>
      <c r="R289" s="299"/>
      <c r="S289" s="299"/>
      <c r="T289" s="299"/>
      <c r="U289" s="299"/>
      <c r="V289" s="299"/>
      <c r="W289" s="299"/>
      <c r="X289" s="299"/>
      <c r="Y289" s="309"/>
    </row>
    <row r="290" spans="3:25" s="304" customFormat="1">
      <c r="C290" s="305"/>
      <c r="K290" s="271"/>
      <c r="L290" s="271"/>
      <c r="N290" s="308"/>
      <c r="O290" s="308"/>
      <c r="P290" s="308"/>
      <c r="Q290" s="299"/>
      <c r="R290" s="299"/>
      <c r="S290" s="299"/>
      <c r="T290" s="299"/>
      <c r="U290" s="299"/>
      <c r="V290" s="299"/>
      <c r="W290" s="299"/>
      <c r="X290" s="299"/>
      <c r="Y290" s="309"/>
    </row>
    <row r="291" spans="3:25" s="304" customFormat="1">
      <c r="C291" s="305"/>
      <c r="K291" s="271"/>
      <c r="L291" s="271"/>
      <c r="N291" s="308"/>
      <c r="O291" s="308"/>
      <c r="P291" s="308"/>
      <c r="Q291" s="299"/>
      <c r="R291" s="299"/>
      <c r="S291" s="299"/>
      <c r="T291" s="299"/>
      <c r="U291" s="299"/>
      <c r="V291" s="299"/>
      <c r="W291" s="299"/>
      <c r="X291" s="299"/>
      <c r="Y291" s="309"/>
    </row>
    <row r="292" spans="3:25" s="304" customFormat="1">
      <c r="C292" s="305"/>
      <c r="K292" s="271"/>
      <c r="L292" s="271"/>
      <c r="N292" s="308"/>
      <c r="O292" s="308"/>
      <c r="P292" s="308"/>
      <c r="Q292" s="299"/>
      <c r="R292" s="299"/>
      <c r="S292" s="299"/>
      <c r="T292" s="299"/>
      <c r="U292" s="299"/>
      <c r="V292" s="299"/>
      <c r="W292" s="299"/>
      <c r="X292" s="299"/>
      <c r="Y292" s="309"/>
    </row>
    <row r="293" spans="3:25" s="304" customFormat="1">
      <c r="C293" s="305"/>
      <c r="K293" s="271"/>
      <c r="L293" s="271"/>
      <c r="N293" s="308"/>
      <c r="O293" s="308"/>
      <c r="P293" s="308"/>
      <c r="Q293" s="299"/>
      <c r="R293" s="299"/>
      <c r="S293" s="299"/>
      <c r="T293" s="299"/>
      <c r="U293" s="299"/>
      <c r="V293" s="299"/>
      <c r="W293" s="299"/>
      <c r="X293" s="299"/>
      <c r="Y293" s="309"/>
    </row>
    <row r="294" spans="3:25" s="304" customFormat="1">
      <c r="C294" s="305"/>
      <c r="K294" s="271"/>
      <c r="L294" s="271"/>
      <c r="N294" s="308"/>
      <c r="O294" s="308"/>
      <c r="P294" s="308"/>
      <c r="Q294" s="299"/>
      <c r="R294" s="299"/>
      <c r="S294" s="299"/>
      <c r="T294" s="299"/>
      <c r="U294" s="299"/>
      <c r="V294" s="299"/>
      <c r="W294" s="299"/>
      <c r="X294" s="299"/>
      <c r="Y294" s="309"/>
    </row>
    <row r="295" spans="3:25" s="304" customFormat="1">
      <c r="C295" s="305"/>
      <c r="K295" s="271"/>
      <c r="L295" s="271"/>
      <c r="N295" s="308"/>
      <c r="O295" s="308"/>
      <c r="P295" s="308"/>
      <c r="Q295" s="299"/>
      <c r="R295" s="299"/>
      <c r="S295" s="299"/>
      <c r="T295" s="299"/>
      <c r="U295" s="299"/>
      <c r="V295" s="299"/>
      <c r="W295" s="299"/>
      <c r="X295" s="299"/>
      <c r="Y295" s="309"/>
    </row>
    <row r="296" spans="3:25" s="304" customFormat="1">
      <c r="C296" s="305"/>
      <c r="K296" s="271"/>
      <c r="L296" s="271"/>
      <c r="N296" s="308"/>
      <c r="O296" s="308"/>
      <c r="P296" s="308"/>
      <c r="Q296" s="299"/>
      <c r="R296" s="299"/>
      <c r="S296" s="299"/>
      <c r="T296" s="299"/>
      <c r="U296" s="299"/>
      <c r="V296" s="299"/>
      <c r="W296" s="299"/>
      <c r="X296" s="299"/>
      <c r="Y296" s="309"/>
    </row>
    <row r="297" spans="3:25" s="304" customFormat="1">
      <c r="C297" s="305"/>
      <c r="K297" s="271"/>
      <c r="L297" s="271"/>
      <c r="N297" s="308"/>
      <c r="O297" s="308"/>
      <c r="P297" s="308"/>
      <c r="Q297" s="299"/>
      <c r="R297" s="299"/>
      <c r="S297" s="299"/>
      <c r="T297" s="299"/>
      <c r="U297" s="299"/>
      <c r="V297" s="299"/>
      <c r="W297" s="299"/>
      <c r="X297" s="299"/>
      <c r="Y297" s="309"/>
    </row>
    <row r="298" spans="3:25" s="304" customFormat="1">
      <c r="C298" s="305"/>
      <c r="K298" s="271"/>
      <c r="L298" s="271"/>
      <c r="N298" s="308"/>
      <c r="O298" s="308"/>
      <c r="P298" s="308"/>
      <c r="Q298" s="299"/>
      <c r="R298" s="299"/>
      <c r="S298" s="299"/>
      <c r="T298" s="299"/>
      <c r="U298" s="299"/>
      <c r="V298" s="299"/>
      <c r="W298" s="299"/>
      <c r="X298" s="299"/>
      <c r="Y298" s="309"/>
    </row>
    <row r="299" spans="3:25" s="304" customFormat="1">
      <c r="C299" s="305"/>
      <c r="K299" s="271"/>
      <c r="L299" s="271"/>
      <c r="N299" s="308"/>
      <c r="O299" s="308"/>
      <c r="P299" s="308"/>
      <c r="Q299" s="299"/>
      <c r="R299" s="299"/>
      <c r="S299" s="299"/>
      <c r="T299" s="299"/>
      <c r="U299" s="299"/>
      <c r="V299" s="299"/>
      <c r="W299" s="299"/>
      <c r="X299" s="299"/>
      <c r="Y299" s="309"/>
    </row>
    <row r="300" spans="3:25" s="304" customFormat="1">
      <c r="C300" s="305"/>
      <c r="K300" s="271"/>
      <c r="L300" s="271"/>
      <c r="N300" s="308"/>
      <c r="O300" s="308"/>
      <c r="P300" s="308"/>
      <c r="Q300" s="299"/>
      <c r="R300" s="299"/>
      <c r="S300" s="299"/>
      <c r="T300" s="299"/>
      <c r="U300" s="299"/>
      <c r="V300" s="299"/>
      <c r="W300" s="299"/>
      <c r="X300" s="299"/>
      <c r="Y300" s="309"/>
    </row>
    <row r="301" spans="3:25" s="304" customFormat="1">
      <c r="C301" s="305"/>
      <c r="K301" s="271"/>
      <c r="L301" s="271"/>
      <c r="N301" s="308"/>
      <c r="O301" s="308"/>
      <c r="P301" s="308"/>
      <c r="Q301" s="299"/>
      <c r="R301" s="299"/>
      <c r="S301" s="299"/>
      <c r="T301" s="299"/>
      <c r="U301" s="299"/>
      <c r="V301" s="299"/>
      <c r="W301" s="299"/>
      <c r="X301" s="299"/>
      <c r="Y301" s="309"/>
    </row>
    <row r="302" spans="3:25" s="304" customFormat="1">
      <c r="C302" s="305"/>
      <c r="K302" s="271"/>
      <c r="L302" s="271"/>
      <c r="N302" s="308"/>
      <c r="O302" s="308"/>
      <c r="P302" s="308"/>
      <c r="Q302" s="299"/>
      <c r="R302" s="299"/>
      <c r="S302" s="299"/>
      <c r="T302" s="299"/>
      <c r="U302" s="299"/>
      <c r="V302" s="299"/>
      <c r="W302" s="299"/>
      <c r="X302" s="299"/>
      <c r="Y302" s="309"/>
    </row>
    <row r="303" spans="3:25" s="304" customFormat="1">
      <c r="C303" s="305"/>
      <c r="K303" s="271"/>
      <c r="L303" s="271"/>
      <c r="N303" s="308"/>
      <c r="O303" s="308"/>
      <c r="P303" s="308"/>
      <c r="Q303" s="299"/>
      <c r="R303" s="299"/>
      <c r="S303" s="299"/>
      <c r="T303" s="299"/>
      <c r="U303" s="299"/>
      <c r="V303" s="299"/>
      <c r="W303" s="299"/>
      <c r="X303" s="299"/>
      <c r="Y303" s="309"/>
    </row>
    <row r="304" spans="3:25" s="304" customFormat="1">
      <c r="C304" s="305"/>
      <c r="K304" s="271"/>
      <c r="L304" s="271"/>
      <c r="N304" s="308"/>
      <c r="O304" s="308"/>
      <c r="P304" s="308"/>
      <c r="Q304" s="299"/>
      <c r="R304" s="299"/>
      <c r="S304" s="299"/>
      <c r="T304" s="299"/>
      <c r="U304" s="299"/>
      <c r="V304" s="299"/>
      <c r="W304" s="299"/>
      <c r="X304" s="299"/>
      <c r="Y304" s="309"/>
    </row>
    <row r="305" spans="3:25" s="304" customFormat="1">
      <c r="C305" s="305"/>
      <c r="K305" s="271"/>
      <c r="L305" s="271"/>
      <c r="N305" s="308"/>
      <c r="O305" s="308"/>
      <c r="P305" s="308"/>
      <c r="Q305" s="299"/>
      <c r="R305" s="299"/>
      <c r="S305" s="299"/>
      <c r="T305" s="299"/>
      <c r="U305" s="299"/>
      <c r="V305" s="299"/>
      <c r="W305" s="299"/>
      <c r="X305" s="299"/>
      <c r="Y305" s="309"/>
    </row>
    <row r="306" spans="3:25" s="304" customFormat="1">
      <c r="C306" s="305"/>
      <c r="K306" s="271"/>
      <c r="L306" s="271"/>
      <c r="N306" s="308"/>
      <c r="O306" s="308"/>
      <c r="P306" s="308"/>
      <c r="Q306" s="299"/>
      <c r="R306" s="299"/>
      <c r="S306" s="299"/>
      <c r="T306" s="299"/>
      <c r="U306" s="299"/>
      <c r="V306" s="299"/>
      <c r="W306" s="299"/>
      <c r="X306" s="299"/>
      <c r="Y306" s="309"/>
    </row>
    <row r="307" spans="3:25" s="304" customFormat="1">
      <c r="C307" s="305"/>
      <c r="K307" s="271"/>
      <c r="L307" s="271"/>
      <c r="N307" s="308"/>
      <c r="O307" s="308"/>
      <c r="P307" s="308"/>
      <c r="Q307" s="299"/>
      <c r="R307" s="299"/>
      <c r="S307" s="299"/>
      <c r="T307" s="299"/>
      <c r="U307" s="299"/>
      <c r="V307" s="299"/>
      <c r="W307" s="299"/>
      <c r="X307" s="299"/>
      <c r="Y307" s="309"/>
    </row>
    <row r="308" spans="3:25" s="304" customFormat="1">
      <c r="C308" s="305"/>
      <c r="K308" s="271"/>
      <c r="L308" s="271"/>
      <c r="N308" s="308"/>
      <c r="O308" s="308"/>
      <c r="P308" s="308"/>
      <c r="Q308" s="299"/>
      <c r="R308" s="299"/>
      <c r="S308" s="299"/>
      <c r="T308" s="299"/>
      <c r="U308" s="299"/>
      <c r="V308" s="299"/>
      <c r="W308" s="299"/>
      <c r="X308" s="299"/>
      <c r="Y308" s="309"/>
    </row>
    <row r="309" spans="3:25" s="304" customFormat="1">
      <c r="C309" s="305"/>
      <c r="K309" s="271"/>
      <c r="L309" s="271"/>
      <c r="N309" s="308"/>
      <c r="O309" s="308"/>
      <c r="P309" s="308"/>
      <c r="Q309" s="299"/>
      <c r="R309" s="299"/>
      <c r="S309" s="299"/>
      <c r="T309" s="299"/>
      <c r="U309" s="299"/>
      <c r="V309" s="299"/>
      <c r="W309" s="299"/>
      <c r="X309" s="299"/>
      <c r="Y309" s="309"/>
    </row>
    <row r="310" spans="3:25" s="304" customFormat="1">
      <c r="C310" s="305"/>
      <c r="K310" s="271"/>
      <c r="L310" s="271"/>
      <c r="N310" s="308"/>
      <c r="O310" s="308"/>
      <c r="P310" s="308"/>
      <c r="Q310" s="299"/>
      <c r="R310" s="299"/>
      <c r="S310" s="299"/>
      <c r="T310" s="299"/>
      <c r="U310" s="299"/>
      <c r="V310" s="299"/>
      <c r="W310" s="299"/>
      <c r="X310" s="299"/>
      <c r="Y310" s="309"/>
    </row>
    <row r="311" spans="3:25" s="304" customFormat="1">
      <c r="C311" s="305"/>
      <c r="K311" s="271"/>
      <c r="L311" s="271"/>
      <c r="N311" s="308"/>
      <c r="O311" s="308"/>
      <c r="P311" s="308"/>
      <c r="Q311" s="299"/>
      <c r="R311" s="299"/>
      <c r="S311" s="299"/>
      <c r="T311" s="299"/>
      <c r="U311" s="299"/>
      <c r="V311" s="299"/>
      <c r="W311" s="299"/>
      <c r="X311" s="299"/>
      <c r="Y311" s="309"/>
    </row>
    <row r="312" spans="3:25" s="304" customFormat="1">
      <c r="C312" s="305"/>
      <c r="K312" s="271"/>
      <c r="L312" s="271"/>
      <c r="N312" s="308"/>
      <c r="O312" s="308"/>
      <c r="P312" s="308"/>
      <c r="Q312" s="299"/>
      <c r="R312" s="299"/>
      <c r="S312" s="299"/>
      <c r="T312" s="299"/>
      <c r="U312" s="299"/>
      <c r="V312" s="299"/>
      <c r="W312" s="299"/>
      <c r="X312" s="299"/>
      <c r="Y312" s="309"/>
    </row>
    <row r="313" spans="3:25" s="304" customFormat="1">
      <c r="C313" s="305"/>
      <c r="K313" s="271"/>
      <c r="L313" s="271"/>
      <c r="N313" s="308"/>
      <c r="O313" s="308"/>
      <c r="P313" s="308"/>
      <c r="Q313" s="299"/>
      <c r="R313" s="299"/>
      <c r="S313" s="299"/>
      <c r="T313" s="299"/>
      <c r="U313" s="299"/>
      <c r="V313" s="299"/>
      <c r="W313" s="299"/>
      <c r="X313" s="299"/>
      <c r="Y313" s="309"/>
    </row>
    <row r="314" spans="3:25" s="304" customFormat="1">
      <c r="C314" s="305"/>
      <c r="K314" s="271"/>
      <c r="L314" s="271"/>
      <c r="N314" s="308"/>
      <c r="O314" s="308"/>
      <c r="P314" s="308"/>
      <c r="Q314" s="299"/>
      <c r="R314" s="299"/>
      <c r="S314" s="299"/>
      <c r="T314" s="299"/>
      <c r="U314" s="299"/>
      <c r="V314" s="299"/>
      <c r="W314" s="299"/>
      <c r="X314" s="299"/>
      <c r="Y314" s="309"/>
    </row>
  </sheetData>
  <autoFilter ref="A1:Y75" xr:uid="{2E9ACF7D-622E-4E01-B17B-7F05FD7DB9E2}"/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ccdf8477-5183-4317-8e8b-f69ff0053fb7}" enabled="1" method="Standard" siteId="{1ba468b9-1414-4675-be4f-53c478ad47b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Benchmarking Ratio's Comparison</vt:lpstr>
      <vt:lpstr>All Schools Data view only</vt:lpstr>
      <vt:lpstr>CFR20252026_BenchMarkDataReport</vt:lpstr>
      <vt:lpstr>CFR20242025_BenchMarkDataReport</vt:lpstr>
      <vt:lpstr>PP</vt:lpstr>
      <vt:lpstr>FEE9m-2 Spr 25 - 26</vt:lpstr>
      <vt:lpstr>FEE2 Spring 25 - 26</vt:lpstr>
      <vt:lpstr>FEE 34 Spring 25 - 26</vt:lpstr>
      <vt:lpstr>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James, Claudette</dc:creator>
  <cp:lastModifiedBy>Phelan, Daniel (LBB)</cp:lastModifiedBy>
  <cp:lastPrinted>2017-09-08T10:08:57Z</cp:lastPrinted>
  <dcterms:created xsi:type="dcterms:W3CDTF">2010-07-19T14:31:41Z</dcterms:created>
  <dcterms:modified xsi:type="dcterms:W3CDTF">2026-10-20T09:02:07Z</dcterms:modified>
</cp:coreProperties>
</file>