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480" yWindow="255" windowWidth="18195" windowHeight="11640" tabRatio="765" activeTab="0"/>
  </bookViews>
  <sheets>
    <sheet name="Summary" sheetId="1" r:id="rId1"/>
    <sheet name="Statement" sheetId="2" r:id="rId2"/>
    <sheet name="Data Sheet" sheetId="3" r:id="rId3"/>
    <sheet name="School List" sheetId="4" state="hidden" r:id="rId4"/>
    <sheet name="Instructions" sheetId="5" state="hidden" r:id="rId5"/>
  </sheets>
  <externalReferences>
    <externalReference r:id="rId8"/>
    <externalReference r:id="rId9"/>
    <externalReference r:id="rId10"/>
  </externalReferences>
  <definedNames>
    <definedName name="_xlnm._FilterDatabase" localSheetId="3" hidden="1">'School List'!$A$4:$D$129</definedName>
    <definedName name="C" localSheetId="2">#REF!</definedName>
    <definedName name="C">#REF!</definedName>
    <definedName name="H" localSheetId="2">#REF!</definedName>
    <definedName name="H">#REF!</definedName>
    <definedName name="J" localSheetId="2">#REF!</definedName>
    <definedName name="J">#REF!</definedName>
    <definedName name="_xlnm.Print_Area" localSheetId="2">'Data Sheet'!$A$2:$AB$57</definedName>
    <definedName name="_xlnm.Print_Area" localSheetId="1">'Statement'!$A$1:$O$44</definedName>
    <definedName name="R" localSheetId="2">#REF!</definedName>
    <definedName name="R">#REF!</definedName>
    <definedName name="Z_87C2371A_F454_4435_A434_8D04B7156B69_.wvu.Cols" localSheetId="2" hidden="1">'Data Sheet'!#REF!</definedName>
    <definedName name="Z_87C2371A_F454_4435_A434_8D04B7156B69_.wvu.PrintArea" localSheetId="2" hidden="1">'Data Sheet'!$A$2:$AB$57</definedName>
    <definedName name="Z_91A0D0AE_6036_4882_A7A5_E8BDED21EE4A_.wvu.Cols" localSheetId="2" hidden="1">'Data Sheet'!#REF!</definedName>
    <definedName name="Z_91A0D0AE_6036_4882_A7A5_E8BDED21EE4A_.wvu.PrintArea" localSheetId="2" hidden="1">'Data Sheet'!$A$2:$AB$57</definedName>
  </definedNames>
  <calcPr fullCalcOnLoad="1"/>
</workbook>
</file>

<file path=xl/comments3.xml><?xml version="1.0" encoding="utf-8"?>
<comments xmlns="http://schemas.openxmlformats.org/spreadsheetml/2006/main">
  <authors>
    <author>Support</author>
  </authors>
  <commentList>
    <comment ref="N141" authorId="0">
      <text>
        <r>
          <rPr>
            <sz val="9"/>
            <rFont val="Tahoma"/>
            <family val="2"/>
          </rPr>
          <t>04/01 - 14/01 = 8 days
plus
30/01 - 31/03</t>
        </r>
      </text>
    </comment>
    <comment ref="N142" authorId="0">
      <text>
        <r>
          <rPr>
            <sz val="9"/>
            <rFont val="Tahoma"/>
            <family val="2"/>
          </rPr>
          <t>04/01 - 14/01 = 8 days
plus
30/01 - 31/03</t>
        </r>
      </text>
    </comment>
  </commentList>
</comments>
</file>

<file path=xl/sharedStrings.xml><?xml version="1.0" encoding="utf-8"?>
<sst xmlns="http://schemas.openxmlformats.org/spreadsheetml/2006/main" count="2414" uniqueCount="334">
  <si>
    <t>School</t>
  </si>
  <si>
    <t>Costloc</t>
  </si>
  <si>
    <t>Information</t>
  </si>
  <si>
    <t>Term</t>
  </si>
  <si>
    <t>Jobtitle</t>
  </si>
  <si>
    <t>Fte</t>
  </si>
  <si>
    <t>Cont</t>
  </si>
  <si>
    <t>DateFrom</t>
  </si>
  <si>
    <t>DateTo</t>
  </si>
  <si>
    <t>Rateperday</t>
  </si>
  <si>
    <t>FTERate</t>
  </si>
  <si>
    <t>Daysschoolpays</t>
  </si>
  <si>
    <t>DaysMTS</t>
  </si>
  <si>
    <t>DaysLTS</t>
  </si>
  <si>
    <t>DaysTotal</t>
  </si>
  <si>
    <t>Type</t>
  </si>
  <si>
    <t>TotalClaim</t>
  </si>
  <si>
    <t>TotalFTENOD</t>
  </si>
  <si>
    <t>TotalDays</t>
  </si>
  <si>
    <t>SchoolType</t>
  </si>
  <si>
    <t>SubCode</t>
  </si>
  <si>
    <t>GL Code</t>
  </si>
  <si>
    <t>Akiva</t>
  </si>
  <si>
    <t>Autumn</t>
  </si>
  <si>
    <t>Teacher-Mat</t>
  </si>
  <si>
    <t>No</t>
  </si>
  <si>
    <t>MTS Pool</t>
  </si>
  <si>
    <t>Teacher</t>
  </si>
  <si>
    <t>MTS</t>
  </si>
  <si>
    <t>LTS Pool</t>
  </si>
  <si>
    <t>Yes</t>
  </si>
  <si>
    <t>LTS</t>
  </si>
  <si>
    <t>All Saints NW2</t>
  </si>
  <si>
    <t>Barnfield</t>
  </si>
  <si>
    <t>Mat leave now fully paid</t>
  </si>
  <si>
    <t>Barnfield CC</t>
  </si>
  <si>
    <t>Beis Yaakov</t>
  </si>
  <si>
    <t>CC-Outreach/Manager</t>
  </si>
  <si>
    <t>Bell Lane</t>
  </si>
  <si>
    <t>Broadfields Primary</t>
  </si>
  <si>
    <t>10134A</t>
  </si>
  <si>
    <t>Mat leave fully paid</t>
  </si>
  <si>
    <t>CC-Outrch/Man-Mat</t>
  </si>
  <si>
    <t>Brookhill Nursery</t>
  </si>
  <si>
    <t>CC-worker-Mat</t>
  </si>
  <si>
    <t>Brookland Infants</t>
  </si>
  <si>
    <t>Admin</t>
  </si>
  <si>
    <t>Brookland Junior</t>
  </si>
  <si>
    <t>Brunswick Park</t>
  </si>
  <si>
    <t>Childs Hill CC</t>
  </si>
  <si>
    <t>Christchurch JMI</t>
  </si>
  <si>
    <t>Christs College</t>
  </si>
  <si>
    <t>10151A</t>
  </si>
  <si>
    <t>Church Hill</t>
  </si>
  <si>
    <t>Colindale</t>
  </si>
  <si>
    <t>Coppetts Wood</t>
  </si>
  <si>
    <t>Copthall</t>
  </si>
  <si>
    <t>10152A</t>
  </si>
  <si>
    <t>Courtland</t>
  </si>
  <si>
    <t>Cromer Road</t>
  </si>
  <si>
    <t>Danegrove</t>
  </si>
  <si>
    <t>Deansbrook Infants</t>
  </si>
  <si>
    <t>Dollis Infants</t>
  </si>
  <si>
    <t>Lsa</t>
  </si>
  <si>
    <t>Dollis Junior</t>
  </si>
  <si>
    <t>Lsa-Mat</t>
  </si>
  <si>
    <t>Edgware Infants</t>
  </si>
  <si>
    <t>Fairway</t>
  </si>
  <si>
    <t>Foulds</t>
  </si>
  <si>
    <t>Garden Suburb Infants</t>
  </si>
  <si>
    <t>Grasvenor Avenue</t>
  </si>
  <si>
    <t>10070A</t>
  </si>
  <si>
    <t>Hampden Way Nursery</t>
  </si>
  <si>
    <t>Hasmonean Primary</t>
  </si>
  <si>
    <t>Hendon</t>
  </si>
  <si>
    <t>10150A</t>
  </si>
  <si>
    <t>Henrietta Barnett</t>
  </si>
  <si>
    <t>10147A</t>
  </si>
  <si>
    <t>Hollickwood</t>
  </si>
  <si>
    <t>Holy Trinity</t>
  </si>
  <si>
    <t>Hyde</t>
  </si>
  <si>
    <t>10122A</t>
  </si>
  <si>
    <t>Mts</t>
  </si>
  <si>
    <t>JCoSS</t>
  </si>
  <si>
    <t>Manorside</t>
  </si>
  <si>
    <t>Mapledown</t>
  </si>
  <si>
    <t>Martin Primary</t>
  </si>
  <si>
    <t>Matilda Marks Kennedy</t>
  </si>
  <si>
    <t>Menorah Foundation</t>
  </si>
  <si>
    <t>Menorah Primary</t>
  </si>
  <si>
    <t>NN</t>
  </si>
  <si>
    <t>Moss Hall Infants</t>
  </si>
  <si>
    <t>Moss Hall Junior</t>
  </si>
  <si>
    <t>Moss Hall Nursery</t>
  </si>
  <si>
    <t>Oakleigh</t>
  </si>
  <si>
    <t>CC-worker</t>
  </si>
  <si>
    <t>Osidge</t>
  </si>
  <si>
    <t>Our Lady of Lourdes</t>
  </si>
  <si>
    <t>Cle</t>
  </si>
  <si>
    <t>Pardes House</t>
  </si>
  <si>
    <t>Parkfield</t>
  </si>
  <si>
    <t>10120A</t>
  </si>
  <si>
    <t>Queen Elizabeth girls</t>
  </si>
  <si>
    <t>10154A</t>
  </si>
  <si>
    <t>Queenswell Junior</t>
  </si>
  <si>
    <t>Rosh Pinah</t>
  </si>
  <si>
    <t>St Andrews</t>
  </si>
  <si>
    <t>St John's N11</t>
  </si>
  <si>
    <t>St John's N20</t>
  </si>
  <si>
    <t>Summerside</t>
  </si>
  <si>
    <t>Sunnyfields</t>
  </si>
  <si>
    <t>The Totteridge Academy</t>
  </si>
  <si>
    <t>10141A</t>
  </si>
  <si>
    <t>Tudor</t>
  </si>
  <si>
    <t>Underhill Junior</t>
  </si>
  <si>
    <t>Whitings Hill</t>
  </si>
  <si>
    <t>Woodcroft</t>
  </si>
  <si>
    <t>Woodridge</t>
  </si>
  <si>
    <t>Admin-Mat</t>
  </si>
  <si>
    <t>Cat</t>
  </si>
  <si>
    <t>NN-Mat</t>
  </si>
  <si>
    <t>Summer</t>
  </si>
  <si>
    <t>Mts-Mat</t>
  </si>
  <si>
    <t>CTs</t>
  </si>
  <si>
    <t>Total</t>
  </si>
  <si>
    <t>All Saints N20</t>
  </si>
  <si>
    <t>Annunciation Infant</t>
  </si>
  <si>
    <t>Annunciation Junior</t>
  </si>
  <si>
    <t>Chalgrove</t>
  </si>
  <si>
    <t>Childs Hill</t>
  </si>
  <si>
    <t>Garden Suburb Junior</t>
  </si>
  <si>
    <t>Monken Hadley</t>
  </si>
  <si>
    <t>Trent</t>
  </si>
  <si>
    <t>Underhill Infants</t>
  </si>
  <si>
    <t>Northway</t>
  </si>
  <si>
    <t>Bell Lane CC</t>
  </si>
  <si>
    <t>Coppetts Wood CC</t>
  </si>
  <si>
    <t>Fairway CC</t>
  </si>
  <si>
    <t>Hampden Way CC</t>
  </si>
  <si>
    <t>Underhill CC</t>
  </si>
  <si>
    <t>Cat-Mat</t>
  </si>
  <si>
    <t>Cle-Mat</t>
  </si>
  <si>
    <t>Ashmole</t>
  </si>
  <si>
    <t>10136A</t>
  </si>
  <si>
    <t>CTs-Mat</t>
  </si>
  <si>
    <t>Bishops Douglass</t>
  </si>
  <si>
    <t>Blessed Dominic</t>
  </si>
  <si>
    <t>Tech</t>
  </si>
  <si>
    <t>Tech-Mat</t>
  </si>
  <si>
    <t>Claremont Primary</t>
  </si>
  <si>
    <t>Compton</t>
  </si>
  <si>
    <t>10138A</t>
  </si>
  <si>
    <t>Deansbrook Junior</t>
  </si>
  <si>
    <t>10058A</t>
  </si>
  <si>
    <t>East Barnet</t>
  </si>
  <si>
    <t>10153A</t>
  </si>
  <si>
    <t>Edgware Junior</t>
  </si>
  <si>
    <t>Finchley Catholic</t>
  </si>
  <si>
    <t>Mat - June</t>
  </si>
  <si>
    <t>Friern Barnet</t>
  </si>
  <si>
    <t>Frith Manor</t>
  </si>
  <si>
    <t>Goldbeaters</t>
  </si>
  <si>
    <t>Hasmonean High</t>
  </si>
  <si>
    <t>Holly Park</t>
  </si>
  <si>
    <t>Hyde  CC</t>
  </si>
  <si>
    <t>Independent Jewish</t>
  </si>
  <si>
    <t>10106A</t>
  </si>
  <si>
    <t>Livingstone</t>
  </si>
  <si>
    <t>Mill Hill High</t>
  </si>
  <si>
    <t>Monkfrith</t>
  </si>
  <si>
    <t>Northside</t>
  </si>
  <si>
    <t>Oak Lodge</t>
  </si>
  <si>
    <t>Orion</t>
  </si>
  <si>
    <t>Spring</t>
  </si>
  <si>
    <t>Parkfield CC</t>
  </si>
  <si>
    <t>QE Boys</t>
  </si>
  <si>
    <t>10149A</t>
  </si>
  <si>
    <t>Queenswell Infants</t>
  </si>
  <si>
    <t>Sacred Heart</t>
  </si>
  <si>
    <t>St Agnes'</t>
  </si>
  <si>
    <t>St Catherine's</t>
  </si>
  <si>
    <t>St James' Catholic High</t>
  </si>
  <si>
    <t>St Joseph's Juniors</t>
  </si>
  <si>
    <t>St Margarets CC</t>
  </si>
  <si>
    <t>St Margarets Nursery</t>
  </si>
  <si>
    <t>St Mary's &amp; St John's</t>
  </si>
  <si>
    <t>St Mary's EB</t>
  </si>
  <si>
    <t>St Mary's High</t>
  </si>
  <si>
    <t>St Mary's N3</t>
  </si>
  <si>
    <t>St Michaels Cath Grammer</t>
  </si>
  <si>
    <t>St Paul's N11</t>
  </si>
  <si>
    <t>St Paul's NW7</t>
  </si>
  <si>
    <t>St Theresas</t>
  </si>
  <si>
    <t>St Vincents</t>
  </si>
  <si>
    <t>Wessex Garden Primary</t>
  </si>
  <si>
    <t>Whitefield</t>
  </si>
  <si>
    <t>0</t>
  </si>
  <si>
    <t>I10</t>
  </si>
  <si>
    <t>I11</t>
  </si>
  <si>
    <t>Schools Look UpTables</t>
  </si>
  <si>
    <t xml:space="preserve">Schools </t>
  </si>
  <si>
    <t>Cost Centre</t>
  </si>
  <si>
    <t>Sacks Morasha</t>
  </si>
  <si>
    <t>Childrens Centre</t>
  </si>
  <si>
    <t>Academy</t>
  </si>
  <si>
    <t xml:space="preserve">Claim for Medium and Long Term Sickness &amp; Maternity </t>
  </si>
  <si>
    <t>Type:</t>
  </si>
  <si>
    <t>Cost Centre:</t>
  </si>
  <si>
    <t>Name of School:</t>
  </si>
  <si>
    <t>Please Choose School from List</t>
  </si>
  <si>
    <t>Term Dates:</t>
  </si>
  <si>
    <t>Half Term:</t>
  </si>
  <si>
    <t>Maximum No. of Claim Days:</t>
  </si>
  <si>
    <t>Designation</t>
  </si>
  <si>
    <t>FTE</t>
  </si>
  <si>
    <t>Days</t>
  </si>
  <si>
    <t>Claimed</t>
  </si>
  <si>
    <t>Rate</t>
  </si>
  <si>
    <t>per Day</t>
  </si>
  <si>
    <t>Comments</t>
  </si>
  <si>
    <t>Total Paid to School</t>
  </si>
  <si>
    <t>Contacts:</t>
  </si>
  <si>
    <t>Tel 020 8359 7228</t>
  </si>
  <si>
    <t>faz.saeed@barnet.gov.uk</t>
  </si>
  <si>
    <t>Tel 020 8359 7223</t>
  </si>
  <si>
    <t>nicole.gibson@barnet.gov.uk</t>
  </si>
  <si>
    <t>Name</t>
  </si>
  <si>
    <t>Mat</t>
  </si>
  <si>
    <t>Tel 020 8359 7227</t>
  </si>
  <si>
    <t>Absence Type</t>
  </si>
  <si>
    <t>Income Code</t>
  </si>
  <si>
    <t xml:space="preserve">Continuation of claim </t>
  </si>
  <si>
    <t>Days Claimed</t>
  </si>
  <si>
    <t>Days school pays</t>
  </si>
  <si>
    <t>Days Pd from MTS pool</t>
  </si>
  <si>
    <t>Days Pd from LTS pool</t>
  </si>
  <si>
    <t>Rate per day</t>
  </si>
  <si>
    <t>FTE rate per day</t>
  </si>
  <si>
    <t>Total paid</t>
  </si>
  <si>
    <t>Income code</t>
  </si>
  <si>
    <t>Nursery</t>
  </si>
  <si>
    <t>Medium and Long Term Sickness &amp; Maternity - Instructions</t>
  </si>
  <si>
    <t>Click to update information for school</t>
  </si>
  <si>
    <t>Click on delete when the warning box comes up - this should populate the information for your school</t>
  </si>
  <si>
    <t>The totals for I10 &amp; I11 are shown separately</t>
  </si>
  <si>
    <t>Click on Back to front sheet if you need to check another school</t>
  </si>
  <si>
    <t>If you need further details please see contacts below:</t>
  </si>
  <si>
    <t>Beit Shvidler</t>
  </si>
  <si>
    <t>St Joseph's Primary</t>
  </si>
  <si>
    <t>gary.topp@barnet.gov.uk</t>
  </si>
  <si>
    <t>10144A</t>
  </si>
  <si>
    <t>Edgware Primary</t>
  </si>
  <si>
    <t>Underhill School</t>
  </si>
  <si>
    <t>I17</t>
  </si>
  <si>
    <t>High</t>
  </si>
  <si>
    <t>Lourdes</t>
  </si>
  <si>
    <t>St</t>
  </si>
  <si>
    <t>John's</t>
  </si>
  <si>
    <t>Grammer</t>
  </si>
  <si>
    <t>10146A</t>
  </si>
  <si>
    <t>Pavilion</t>
  </si>
  <si>
    <t>Queen Elizabeth Girls</t>
  </si>
  <si>
    <t xml:space="preserve">Underhill </t>
  </si>
  <si>
    <t>Sum Aug</t>
  </si>
  <si>
    <t>MAT</t>
  </si>
  <si>
    <t>Tel 020 8359 7132</t>
  </si>
  <si>
    <t>claudette.james@barnet.gov.uk</t>
  </si>
  <si>
    <t>10140A</t>
  </si>
  <si>
    <t>Claremont Academy</t>
  </si>
  <si>
    <t>10953A</t>
  </si>
  <si>
    <t>Northgate</t>
  </si>
  <si>
    <t>Underhill</t>
  </si>
  <si>
    <t>Menorah High</t>
  </si>
  <si>
    <t xml:space="preserve">Menorah High </t>
  </si>
  <si>
    <t>PRU</t>
  </si>
  <si>
    <t>20 days c/f to next term</t>
  </si>
  <si>
    <t>Tel 020 8359 2773</t>
  </si>
  <si>
    <t>priscilla.williams@barnet.gov.uk</t>
  </si>
  <si>
    <t>15 days c/f to next term</t>
  </si>
  <si>
    <t>35 days c/f to next term</t>
  </si>
  <si>
    <t>40 days c/f to next term</t>
  </si>
  <si>
    <t>LTS Pool - 50% fm 23/09</t>
  </si>
  <si>
    <t>19 days c/f to next term</t>
  </si>
  <si>
    <t>Spring Term 2017/2018</t>
  </si>
  <si>
    <t>12th February - 16th February 2018</t>
  </si>
  <si>
    <t>1st January 2018 - 31st March 2018</t>
  </si>
  <si>
    <t>Claim for Medium and Long Term Sickness &amp; Maternity - Spring Term 2018</t>
  </si>
  <si>
    <t>LTS Pool - phased return 22/02 - 02/03</t>
  </si>
  <si>
    <t>LTS Pool - phased return 05/03 - 13/03</t>
  </si>
  <si>
    <t>LTS Pool - phased return 14/03 - 16/03</t>
  </si>
  <si>
    <t>LTS Pool - phased return 19/03 - 30/03</t>
  </si>
  <si>
    <t>LTS Pool - phased return 19/02 - 16/03</t>
  </si>
  <si>
    <t>LTS Pool - phased return 28/02 - 02/03</t>
  </si>
  <si>
    <t xml:space="preserve">LTS Pool - phased return 05/03 - 09/03 </t>
  </si>
  <si>
    <t xml:space="preserve">LTS Pool - phased return 12/03 - 16/03 </t>
  </si>
  <si>
    <t xml:space="preserve">LTS Pool - phased return 19/03 - 23/03 </t>
  </si>
  <si>
    <t xml:space="preserve">LTS Pool - phased return 26/03 - 29/03 </t>
  </si>
  <si>
    <t>LTS Pool - 50% fm 04/03/18</t>
  </si>
  <si>
    <t>LTS Pool - 0% fm 06/03/18</t>
  </si>
  <si>
    <t>32 days c/f to next term</t>
  </si>
  <si>
    <t>LTS Pool - phased return 19/02 - 02/03</t>
  </si>
  <si>
    <t xml:space="preserve">LTS Pool - phased return 05/03 - 16/03 </t>
  </si>
  <si>
    <t>Adj to Summer Term Maternity Claim</t>
  </si>
  <si>
    <t>LTS Pool - 50% fm 01/01</t>
  </si>
  <si>
    <t>30 days c/f to next term</t>
  </si>
  <si>
    <t>LTS Pool - phased return 15/03 - 28/03</t>
  </si>
  <si>
    <t>47 days c/f to next term</t>
  </si>
  <si>
    <t>MTS Pool - phased return 03/01 - 31/03</t>
  </si>
  <si>
    <t>LTS Pool - phased return 03/01 - 31/03</t>
  </si>
  <si>
    <t>10 days c/f to next term</t>
  </si>
  <si>
    <t>45 days c/f to next term</t>
  </si>
  <si>
    <t>50 days c/f to next term</t>
  </si>
  <si>
    <t>MTS Pool - phased return 26/02</t>
  </si>
  <si>
    <t>LTS Pool - phased return 27/02 - 23/03</t>
  </si>
  <si>
    <t>38 days c/f to next term</t>
  </si>
  <si>
    <t>LTS Pool - 50% fm 18/02</t>
  </si>
  <si>
    <t>MTS Pool - phased return 12/03 - 16/03</t>
  </si>
  <si>
    <t>18 days c/f to next term</t>
  </si>
  <si>
    <t>LTS Pool - phased return 22/01 - 26/01</t>
  </si>
  <si>
    <t>LTS Pool - phased return 29/01 - 02/02</t>
  </si>
  <si>
    <t>LTS Pool - phased return 05/02 - 09/02</t>
  </si>
  <si>
    <t>LTS Pool - phased return 19/02 - 23/02</t>
  </si>
  <si>
    <t>LTS Pool - phased return 26/02 - 02/03</t>
  </si>
  <si>
    <t xml:space="preserve">LTS Pool - phased return 19/03 - 29/03 </t>
  </si>
  <si>
    <t>MTS Pool - phased return 08/03 - 12/03</t>
  </si>
  <si>
    <t>MTS Pool - phased return 13/03 - 16/03</t>
  </si>
  <si>
    <t>MTS Pool - phased return 19/03 - 23/03</t>
  </si>
  <si>
    <t>MTS Pool - phased return 26/03 - 30/03</t>
  </si>
  <si>
    <t>54 days c/f to next term</t>
  </si>
  <si>
    <t>Spr Jan</t>
  </si>
  <si>
    <t>Spr Feb</t>
  </si>
  <si>
    <t>Spr Mar</t>
  </si>
  <si>
    <t>Spr Apr</t>
  </si>
  <si>
    <t>Spr Total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</si>
</sst>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&quot;£&quot;#,##0.00"/>
    <numFmt numFmtId="166" formatCode="dd/mm/yy;@"/>
    <numFmt numFmtId="167" formatCode="_-* #,##0\ _P_t_s_-;\-* #,##0\ _P_t_s_-;_-* &quot;-&quot;\ _P_t_s_-;_-@_-"/>
    <numFmt numFmtId="168" formatCode="_-* #,##0.00\ _P_t_s_-;\-* #,##0.00\ _P_t_s_-;_-* &quot;-&quot;??\ _P_t_s_-;_-@_-"/>
    <numFmt numFmtId="169" formatCode="_-* #,##0\ &quot;Pts&quot;_-;\-* #,##0\ &quot;Pts&quot;_-;_-* &quot;-&quot;\ &quot;Pts&quot;_-;_-@_-"/>
    <numFmt numFmtId="170" formatCode="_-* #,##0.00\ &quot;Pts&quot;_-;\-* #,##0.00\ &quot;Pts&quot;_-;_-* &quot;-&quot;??\ &quot;Pts&quot;_-;_-@_-"/>
    <numFmt numFmtId="171" formatCode="yyyyd&quot;DM&quot;mmm"/>
    <numFmt numFmtId="172" formatCode="0.00_)"/>
    <numFmt numFmtId="173" formatCode="[$-809]dd\ mmmm\ yyyy"/>
    <numFmt numFmtId="174" formatCode="[$-809]dd\ mmmm\ yyyy;@"/>
    <numFmt numFmtId="175" formatCode="d/m/yy;@"/>
    <numFmt numFmtId="176" formatCode="0.0"/>
    <numFmt numFmtId="177" formatCode="mmm\-yyyy"/>
    <numFmt numFmtId="178" formatCode="#,##0.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b/>
      <sz val="12"/>
      <color indexed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9"/>
      <name val="Arial"/>
      <family val="2"/>
    </font>
    <font>
      <b/>
      <u val="single"/>
      <sz val="14"/>
      <color indexed="3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20"/>
      <color indexed="56"/>
      <name val="Times New Roman"/>
      <family val="0"/>
    </font>
    <font>
      <sz val="20"/>
      <color indexed="21"/>
      <name val="Times New Roman"/>
      <family val="0"/>
    </font>
    <font>
      <b/>
      <sz val="12"/>
      <color indexed="9"/>
      <name val="Calibri"/>
      <family val="0"/>
    </font>
    <font>
      <b/>
      <sz val="10.5"/>
      <color indexed="9"/>
      <name val="Calibri"/>
      <family val="0"/>
    </font>
    <font>
      <b/>
      <sz val="10.5"/>
      <color indexed="56"/>
      <name val="Calibri"/>
      <family val="0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0"/>
      <color theme="0"/>
      <name val="Arial"/>
      <family val="2"/>
    </font>
    <font>
      <b/>
      <u val="single"/>
      <sz val="14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 style="thin"/>
    </border>
  </borders>
  <cellStyleXfs count="80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6" fillId="0" borderId="0">
      <alignment horizontal="center" wrapText="1"/>
      <protection locked="0"/>
    </xf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5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5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38" fontId="7" fillId="30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31" borderId="1" applyNumberFormat="0" applyAlignment="0" applyProtection="0"/>
    <xf numFmtId="10" fontId="7" fillId="32" borderId="8" applyNumberFormat="0" applyBorder="0" applyAlignment="0" applyProtection="0"/>
    <xf numFmtId="0" fontId="62" fillId="0" borderId="9" applyNumberFormat="0" applyFill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3" fillId="33" borderId="0" applyNumberFormat="0" applyBorder="0" applyAlignment="0" applyProtection="0"/>
    <xf numFmtId="172" fontId="9" fillId="0" borderId="0">
      <alignment/>
      <protection/>
    </xf>
    <xf numFmtId="0" fontId="0" fillId="0" borderId="0">
      <alignment/>
      <protection/>
    </xf>
    <xf numFmtId="1" fontId="4" fillId="34" borderId="0">
      <alignment/>
      <protection/>
    </xf>
    <xf numFmtId="0" fontId="50" fillId="35" borderId="10" applyNumberFormat="0" applyFont="0" applyAlignment="0" applyProtection="0"/>
    <xf numFmtId="0" fontId="64" fillId="27" borderId="11" applyNumberFormat="0" applyAlignment="0" applyProtection="0"/>
    <xf numFmtId="9" fontId="5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2" applyNumberFormat="0" applyFill="0" applyAlignment="0" applyProtection="0"/>
    <xf numFmtId="0" fontId="67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1" fontId="5" fillId="0" borderId="13" xfId="73" applyNumberFormat="1" applyFont="1" applyFill="1" applyBorder="1">
      <alignment/>
      <protection/>
    </xf>
    <xf numFmtId="1" fontId="5" fillId="0" borderId="13" xfId="73" applyNumberFormat="1" applyFont="1" applyFill="1" applyBorder="1" applyAlignment="1">
      <alignment horizontal="center"/>
      <protection/>
    </xf>
    <xf numFmtId="1" fontId="5" fillId="0" borderId="14" xfId="73" applyNumberFormat="1" applyFont="1" applyFill="1" applyBorder="1">
      <alignment/>
      <protection/>
    </xf>
    <xf numFmtId="1" fontId="5" fillId="0" borderId="14" xfId="73" applyNumberFormat="1" applyFont="1" applyFill="1" applyBorder="1" applyAlignment="1">
      <alignment horizontal="center"/>
      <protection/>
    </xf>
    <xf numFmtId="1" fontId="5" fillId="0" borderId="15" xfId="73" applyNumberFormat="1" applyFont="1" applyFill="1" applyBorder="1">
      <alignment/>
      <protection/>
    </xf>
    <xf numFmtId="1" fontId="5" fillId="0" borderId="15" xfId="73" applyNumberFormat="1" applyFont="1" applyFill="1" applyBorder="1" applyAlignment="1">
      <alignment horizontal="center"/>
      <protection/>
    </xf>
    <xf numFmtId="1" fontId="5" fillId="34" borderId="14" xfId="73" applyNumberFormat="1" applyFont="1" applyFill="1" applyBorder="1">
      <alignment/>
      <protection/>
    </xf>
    <xf numFmtId="0" fontId="1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8" fillId="35" borderId="16" xfId="0" applyFont="1" applyFill="1" applyBorder="1" applyAlignment="1">
      <alignment/>
    </xf>
    <xf numFmtId="0" fontId="68" fillId="35" borderId="17" xfId="0" applyFont="1" applyFill="1" applyBorder="1" applyAlignment="1">
      <alignment/>
    </xf>
    <xf numFmtId="0" fontId="68" fillId="35" borderId="18" xfId="0" applyFont="1" applyFill="1" applyBorder="1" applyAlignment="1">
      <alignment/>
    </xf>
    <xf numFmtId="0" fontId="68" fillId="35" borderId="19" xfId="0" applyFont="1" applyFill="1" applyBorder="1" applyAlignment="1">
      <alignment/>
    </xf>
    <xf numFmtId="0" fontId="68" fillId="36" borderId="0" xfId="0" applyFont="1" applyFill="1" applyBorder="1" applyAlignment="1">
      <alignment/>
    </xf>
    <xf numFmtId="0" fontId="68" fillId="35" borderId="20" xfId="0" applyFont="1" applyFill="1" applyBorder="1" applyAlignment="1">
      <alignment/>
    </xf>
    <xf numFmtId="0" fontId="68" fillId="35" borderId="21" xfId="0" applyFont="1" applyFill="1" applyBorder="1" applyAlignment="1">
      <alignment/>
    </xf>
    <xf numFmtId="0" fontId="11" fillId="0" borderId="0" xfId="0" applyFont="1" applyAlignment="1">
      <alignment/>
    </xf>
    <xf numFmtId="0" fontId="68" fillId="35" borderId="0" xfId="0" applyFont="1" applyFill="1" applyBorder="1" applyAlignment="1">
      <alignment/>
    </xf>
    <xf numFmtId="0" fontId="69" fillId="36" borderId="0" xfId="0" applyFont="1" applyFill="1" applyBorder="1" applyAlignment="1">
      <alignment/>
    </xf>
    <xf numFmtId="0" fontId="16" fillId="37" borderId="0" xfId="58" applyFont="1" applyFill="1" applyBorder="1" applyAlignment="1" applyProtection="1">
      <alignment/>
      <protection/>
    </xf>
    <xf numFmtId="166" fontId="68" fillId="36" borderId="0" xfId="0" applyNumberFormat="1" applyFont="1" applyFill="1" applyBorder="1" applyAlignment="1">
      <alignment/>
    </xf>
    <xf numFmtId="0" fontId="69" fillId="36" borderId="0" xfId="0" applyFont="1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8" fillId="35" borderId="26" xfId="0" applyFont="1" applyFill="1" applyBorder="1" applyAlignment="1">
      <alignment/>
    </xf>
    <xf numFmtId="0" fontId="14" fillId="37" borderId="20" xfId="0" applyFont="1" applyFill="1" applyBorder="1" applyAlignment="1">
      <alignment/>
    </xf>
    <xf numFmtId="0" fontId="68" fillId="36" borderId="18" xfId="0" applyFont="1" applyFill="1" applyBorder="1" applyAlignment="1">
      <alignment/>
    </xf>
    <xf numFmtId="0" fontId="68" fillId="36" borderId="19" xfId="0" applyFont="1" applyFill="1" applyBorder="1" applyAlignment="1">
      <alignment/>
    </xf>
    <xf numFmtId="0" fontId="68" fillId="36" borderId="20" xfId="0" applyFont="1" applyFill="1" applyBorder="1" applyAlignment="1">
      <alignment/>
    </xf>
    <xf numFmtId="0" fontId="68" fillId="36" borderId="21" xfId="0" applyFont="1" applyFill="1" applyBorder="1" applyAlignment="1">
      <alignment/>
    </xf>
    <xf numFmtId="0" fontId="70" fillId="37" borderId="18" xfId="0" applyFont="1" applyFill="1" applyBorder="1" applyAlignment="1">
      <alignment/>
    </xf>
    <xf numFmtId="0" fontId="17" fillId="37" borderId="0" xfId="0" applyFont="1" applyFill="1" applyBorder="1" applyAlignment="1">
      <alignment/>
    </xf>
    <xf numFmtId="0" fontId="14" fillId="37" borderId="16" xfId="0" applyFont="1" applyFill="1" applyBorder="1" applyAlignment="1">
      <alignment/>
    </xf>
    <xf numFmtId="0" fontId="14" fillId="37" borderId="26" xfId="0" applyFont="1" applyFill="1" applyBorder="1" applyAlignment="1">
      <alignment/>
    </xf>
    <xf numFmtId="0" fontId="14" fillId="37" borderId="17" xfId="0" applyFont="1" applyFill="1" applyBorder="1" applyAlignment="1">
      <alignment/>
    </xf>
    <xf numFmtId="0" fontId="16" fillId="37" borderId="19" xfId="58" applyFont="1" applyFill="1" applyBorder="1" applyAlignment="1" applyProtection="1">
      <alignment/>
      <protection/>
    </xf>
    <xf numFmtId="0" fontId="70" fillId="37" borderId="27" xfId="0" applyFont="1" applyFill="1" applyBorder="1" applyAlignment="1">
      <alignment/>
    </xf>
    <xf numFmtId="0" fontId="16" fillId="37" borderId="20" xfId="58" applyFont="1" applyFill="1" applyBorder="1" applyAlignment="1" applyProtection="1">
      <alignment/>
      <protection/>
    </xf>
    <xf numFmtId="0" fontId="14" fillId="37" borderId="21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72" applyFont="1">
      <alignment/>
      <protection/>
    </xf>
    <xf numFmtId="0" fontId="3" fillId="38" borderId="28" xfId="72" applyFont="1" applyFill="1" applyBorder="1" applyAlignment="1">
      <alignment horizontal="center" vertical="center" wrapText="1"/>
      <protection/>
    </xf>
    <xf numFmtId="0" fontId="2" fillId="0" borderId="8" xfId="72" applyFont="1" applyBorder="1">
      <alignment/>
      <protection/>
    </xf>
    <xf numFmtId="0" fontId="2" fillId="0" borderId="8" xfId="72" applyFont="1" applyFill="1" applyBorder="1">
      <alignment/>
      <protection/>
    </xf>
    <xf numFmtId="165" fontId="2" fillId="0" borderId="8" xfId="72" applyNumberFormat="1" applyFont="1" applyBorder="1">
      <alignment/>
      <protection/>
    </xf>
    <xf numFmtId="165" fontId="2" fillId="0" borderId="8" xfId="72" applyNumberFormat="1" applyFont="1" applyBorder="1" applyAlignment="1">
      <alignment horizontal="right"/>
      <protection/>
    </xf>
    <xf numFmtId="1" fontId="2" fillId="0" borderId="8" xfId="72" applyNumberFormat="1" applyFont="1" applyBorder="1" applyAlignment="1">
      <alignment horizontal="right"/>
      <protection/>
    </xf>
    <xf numFmtId="1" fontId="2" fillId="0" borderId="8" xfId="72" applyNumberFormat="1" applyFont="1" applyBorder="1">
      <alignment/>
      <protection/>
    </xf>
    <xf numFmtId="4" fontId="2" fillId="38" borderId="8" xfId="72" applyNumberFormat="1" applyFont="1" applyFill="1" applyBorder="1">
      <alignment/>
      <protection/>
    </xf>
    <xf numFmtId="0" fontId="2" fillId="0" borderId="8" xfId="72" applyFont="1" applyBorder="1" applyAlignment="1">
      <alignment horizontal="center"/>
      <protection/>
    </xf>
    <xf numFmtId="0" fontId="0" fillId="0" borderId="0" xfId="72">
      <alignment/>
      <protection/>
    </xf>
    <xf numFmtId="0" fontId="2" fillId="0" borderId="0" xfId="72" applyFont="1" applyFill="1">
      <alignment/>
      <protection/>
    </xf>
    <xf numFmtId="1" fontId="2" fillId="0" borderId="0" xfId="72" applyNumberFormat="1" applyFont="1">
      <alignment/>
      <protection/>
    </xf>
    <xf numFmtId="165" fontId="2" fillId="0" borderId="0" xfId="72" applyNumberFormat="1" applyFont="1">
      <alignment/>
      <protection/>
    </xf>
    <xf numFmtId="1" fontId="2" fillId="0" borderId="0" xfId="72" applyNumberFormat="1" applyFont="1" applyAlignment="1">
      <alignment horizontal="right"/>
      <protection/>
    </xf>
    <xf numFmtId="4" fontId="2" fillId="0" borderId="0" xfId="72" applyNumberFormat="1" applyFont="1">
      <alignment/>
      <protection/>
    </xf>
    <xf numFmtId="0" fontId="2" fillId="0" borderId="0" xfId="72" applyFont="1" applyAlignment="1">
      <alignment horizontal="right"/>
      <protection/>
    </xf>
    <xf numFmtId="0" fontId="71" fillId="39" borderId="29" xfId="0" applyFont="1" applyFill="1" applyBorder="1" applyAlignment="1">
      <alignment horizontal="center"/>
    </xf>
    <xf numFmtId="0" fontId="71" fillId="39" borderId="30" xfId="0" applyFont="1" applyFill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44" fontId="8" fillId="37" borderId="26" xfId="45" applyFont="1" applyFill="1" applyBorder="1" applyAlignment="1">
      <alignment/>
    </xf>
    <xf numFmtId="43" fontId="12" fillId="37" borderId="17" xfId="43" applyFont="1" applyFill="1" applyBorder="1" applyAlignment="1">
      <alignment horizontal="center"/>
    </xf>
    <xf numFmtId="44" fontId="12" fillId="0" borderId="8" xfId="45" applyFont="1" applyBorder="1" applyAlignment="1">
      <alignment horizontal="left"/>
    </xf>
    <xf numFmtId="0" fontId="71" fillId="39" borderId="8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2" fillId="0" borderId="32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72" fillId="0" borderId="33" xfId="0" applyFont="1" applyBorder="1" applyAlignment="1">
      <alignment/>
    </xf>
    <xf numFmtId="0" fontId="72" fillId="0" borderId="34" xfId="0" applyFont="1" applyBorder="1" applyAlignment="1">
      <alignment/>
    </xf>
    <xf numFmtId="0" fontId="0" fillId="0" borderId="35" xfId="0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71" fillId="39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8" xfId="0" applyNumberFormat="1" applyFont="1" applyFill="1" applyBorder="1" applyAlignment="1">
      <alignment/>
    </xf>
    <xf numFmtId="166" fontId="2" fillId="40" borderId="8" xfId="0" applyNumberFormat="1" applyFont="1" applyFill="1" applyBorder="1" applyAlignment="1" quotePrefix="1">
      <alignment horizontal="right"/>
    </xf>
    <xf numFmtId="0" fontId="2" fillId="41" borderId="8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0" fontId="2" fillId="0" borderId="38" xfId="0" applyFont="1" applyBorder="1" applyAlignment="1">
      <alignment/>
    </xf>
    <xf numFmtId="0" fontId="0" fillId="0" borderId="0" xfId="0" applyNumberFormat="1" applyAlignment="1">
      <alignment/>
    </xf>
    <xf numFmtId="2" fontId="2" fillId="0" borderId="8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64" fontId="3" fillId="40" borderId="28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42" borderId="28" xfId="0" applyFont="1" applyFill="1" applyBorder="1" applyAlignment="1">
      <alignment horizontal="center" vertical="center" wrapText="1"/>
    </xf>
    <xf numFmtId="0" fontId="2" fillId="42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73" fillId="0" borderId="0" xfId="0" applyFont="1" applyAlignment="1">
      <alignment/>
    </xf>
    <xf numFmtId="0" fontId="2" fillId="0" borderId="8" xfId="0" applyFont="1" applyBorder="1" applyAlignment="1" applyProtection="1">
      <alignment/>
      <protection locked="0"/>
    </xf>
    <xf numFmtId="0" fontId="2" fillId="0" borderId="8" xfId="0" applyFont="1" applyFill="1" applyBorder="1" applyAlignment="1" applyProtection="1">
      <alignment/>
      <protection locked="0"/>
    </xf>
    <xf numFmtId="2" fontId="2" fillId="0" borderId="37" xfId="0" applyNumberFormat="1" applyFont="1" applyBorder="1" applyAlignment="1">
      <alignment/>
    </xf>
    <xf numFmtId="2" fontId="2" fillId="0" borderId="37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166" fontId="2" fillId="40" borderId="8" xfId="0" applyNumberFormat="1" applyFont="1" applyFill="1" applyBorder="1" applyAlignment="1">
      <alignment horizontal="right"/>
    </xf>
    <xf numFmtId="0" fontId="74" fillId="0" borderId="0" xfId="0" applyFont="1" applyAlignment="1">
      <alignment/>
    </xf>
    <xf numFmtId="0" fontId="12" fillId="0" borderId="8" xfId="0" applyFont="1" applyBorder="1" applyAlignment="1">
      <alignment horizontal="left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Border="1" applyAlignment="1">
      <alignment/>
    </xf>
    <xf numFmtId="165" fontId="2" fillId="0" borderId="30" xfId="72" applyNumberFormat="1" applyFont="1" applyBorder="1">
      <alignment/>
      <protection/>
    </xf>
    <xf numFmtId="165" fontId="2" fillId="0" borderId="30" xfId="72" applyNumberFormat="1" applyFont="1" applyBorder="1" applyAlignment="1">
      <alignment horizontal="right"/>
      <protection/>
    </xf>
    <xf numFmtId="1" fontId="2" fillId="0" borderId="30" xfId="72" applyNumberFormat="1" applyFont="1" applyBorder="1" applyAlignment="1">
      <alignment horizontal="right"/>
      <protection/>
    </xf>
    <xf numFmtId="1" fontId="2" fillId="0" borderId="30" xfId="72" applyNumberFormat="1" applyFont="1" applyBorder="1">
      <alignment/>
      <protection/>
    </xf>
    <xf numFmtId="4" fontId="2" fillId="38" borderId="30" xfId="72" applyNumberFormat="1" applyFont="1" applyFill="1" applyBorder="1">
      <alignment/>
      <protection/>
    </xf>
    <xf numFmtId="0" fontId="2" fillId="0" borderId="30" xfId="72" applyFont="1" applyBorder="1" applyAlignment="1">
      <alignment horizontal="center"/>
      <protection/>
    </xf>
    <xf numFmtId="0" fontId="2" fillId="0" borderId="30" xfId="72" applyFont="1" applyBorder="1">
      <alignment/>
      <protection/>
    </xf>
    <xf numFmtId="0" fontId="2" fillId="43" borderId="8" xfId="0" applyFont="1" applyFill="1" applyBorder="1" applyAlignment="1">
      <alignment/>
    </xf>
    <xf numFmtId="0" fontId="3" fillId="0" borderId="28" xfId="72" applyFont="1" applyFill="1" applyBorder="1" applyAlignment="1">
      <alignment vertical="center"/>
      <protection/>
    </xf>
    <xf numFmtId="0" fontId="3" fillId="0" borderId="28" xfId="72" applyFont="1" applyFill="1" applyBorder="1" applyAlignment="1">
      <alignment horizontal="center" vertical="center"/>
      <protection/>
    </xf>
    <xf numFmtId="0" fontId="3" fillId="0" borderId="28" xfId="72" applyFont="1" applyFill="1" applyBorder="1" applyAlignment="1">
      <alignment horizontal="center" vertical="center" wrapText="1"/>
      <protection/>
    </xf>
    <xf numFmtId="0" fontId="3" fillId="0" borderId="28" xfId="72" applyFont="1" applyFill="1" applyBorder="1" applyAlignment="1">
      <alignment horizontal="right" vertical="center" wrapText="1"/>
      <protection/>
    </xf>
    <xf numFmtId="4" fontId="2" fillId="0" borderId="8" xfId="72" applyNumberFormat="1" applyFont="1" applyBorder="1">
      <alignment/>
      <protection/>
    </xf>
    <xf numFmtId="1" fontId="2" fillId="0" borderId="0" xfId="72" applyNumberFormat="1" applyFont="1" applyBorder="1">
      <alignment/>
      <protection/>
    </xf>
    <xf numFmtId="0" fontId="2" fillId="41" borderId="0" xfId="0" applyFont="1" applyFill="1" applyBorder="1" applyAlignment="1">
      <alignment/>
    </xf>
    <xf numFmtId="0" fontId="2" fillId="0" borderId="8" xfId="72" applyNumberFormat="1" applyFont="1" applyBorder="1" applyAlignment="1">
      <alignment horizontal="right"/>
      <protection/>
    </xf>
    <xf numFmtId="0" fontId="2" fillId="0" borderId="30" xfId="72" applyNumberFormat="1" applyFont="1" applyBorder="1" applyAlignment="1">
      <alignment horizontal="right"/>
      <protection/>
    </xf>
    <xf numFmtId="0" fontId="69" fillId="44" borderId="39" xfId="0" applyFont="1" applyFill="1" applyBorder="1" applyAlignment="1">
      <alignment horizontal="center"/>
    </xf>
    <xf numFmtId="0" fontId="69" fillId="44" borderId="3" xfId="0" applyFont="1" applyFill="1" applyBorder="1" applyAlignment="1">
      <alignment horizontal="center"/>
    </xf>
    <xf numFmtId="0" fontId="69" fillId="44" borderId="40" xfId="0" applyFont="1" applyFill="1" applyBorder="1" applyAlignment="1">
      <alignment horizontal="center"/>
    </xf>
    <xf numFmtId="0" fontId="13" fillId="37" borderId="16" xfId="0" applyFont="1" applyFill="1" applyBorder="1" applyAlignment="1" applyProtection="1">
      <alignment horizontal="center" vertical="center" wrapText="1"/>
      <protection locked="0"/>
    </xf>
    <xf numFmtId="0" fontId="13" fillId="37" borderId="26" xfId="0" applyFont="1" applyFill="1" applyBorder="1" applyAlignment="1" applyProtection="1">
      <alignment horizontal="center" vertical="center" wrapText="1"/>
      <protection locked="0"/>
    </xf>
    <xf numFmtId="0" fontId="13" fillId="37" borderId="27" xfId="0" applyFont="1" applyFill="1" applyBorder="1" applyAlignment="1" applyProtection="1">
      <alignment horizontal="center" vertical="center" wrapText="1"/>
      <protection locked="0"/>
    </xf>
    <xf numFmtId="0" fontId="13" fillId="37" borderId="20" xfId="0" applyFont="1" applyFill="1" applyBorder="1" applyAlignment="1" applyProtection="1">
      <alignment horizontal="center" vertical="center" wrapText="1"/>
      <protection locked="0"/>
    </xf>
    <xf numFmtId="0" fontId="13" fillId="37" borderId="17" xfId="0" applyFont="1" applyFill="1" applyBorder="1" applyAlignment="1" applyProtection="1">
      <alignment horizontal="center" vertical="center" wrapText="1"/>
      <protection locked="0"/>
    </xf>
    <xf numFmtId="0" fontId="13" fillId="37" borderId="21" xfId="0" applyFont="1" applyFill="1" applyBorder="1" applyAlignment="1" applyProtection="1">
      <alignment horizontal="center" vertical="center" wrapText="1"/>
      <protection locked="0"/>
    </xf>
    <xf numFmtId="22" fontId="13" fillId="45" borderId="39" xfId="0" applyNumberFormat="1" applyFont="1" applyFill="1" applyBorder="1" applyAlignment="1">
      <alignment horizontal="center"/>
    </xf>
    <xf numFmtId="22" fontId="13" fillId="45" borderId="3" xfId="0" applyNumberFormat="1" applyFont="1" applyFill="1" applyBorder="1" applyAlignment="1">
      <alignment horizontal="center"/>
    </xf>
    <xf numFmtId="22" fontId="13" fillId="45" borderId="40" xfId="0" applyNumberFormat="1" applyFont="1" applyFill="1" applyBorder="1" applyAlignment="1">
      <alignment horizontal="center"/>
    </xf>
    <xf numFmtId="0" fontId="71" fillId="37" borderId="37" xfId="0" applyFont="1" applyFill="1" applyBorder="1" applyAlignment="1">
      <alignment horizontal="center" wrapText="1"/>
    </xf>
    <xf numFmtId="0" fontId="0" fillId="37" borderId="29" xfId="0" applyFill="1" applyBorder="1" applyAlignment="1">
      <alignment horizontal="center" wrapText="1"/>
    </xf>
    <xf numFmtId="0" fontId="0" fillId="37" borderId="30" xfId="0" applyFill="1" applyBorder="1" applyAlignment="1">
      <alignment horizontal="center" wrapText="1"/>
    </xf>
    <xf numFmtId="0" fontId="71" fillId="39" borderId="37" xfId="0" applyFont="1" applyFill="1" applyBorder="1" applyAlignment="1">
      <alignment horizontal="center" wrapText="1"/>
    </xf>
    <xf numFmtId="0" fontId="71" fillId="39" borderId="29" xfId="0" applyFont="1" applyFill="1" applyBorder="1" applyAlignment="1">
      <alignment horizontal="center" wrapText="1"/>
    </xf>
    <xf numFmtId="0" fontId="71" fillId="39" borderId="30" xfId="0" applyFont="1" applyFill="1" applyBorder="1" applyAlignment="1">
      <alignment horizontal="center" wrapText="1"/>
    </xf>
    <xf numFmtId="0" fontId="71" fillId="39" borderId="37" xfId="0" applyFont="1" applyFill="1" applyBorder="1" applyAlignment="1">
      <alignment horizontal="center"/>
    </xf>
    <xf numFmtId="0" fontId="71" fillId="39" borderId="29" xfId="0" applyFont="1" applyFill="1" applyBorder="1" applyAlignment="1">
      <alignment horizontal="center"/>
    </xf>
    <xf numFmtId="0" fontId="71" fillId="39" borderId="30" xfId="0" applyFont="1" applyFill="1" applyBorder="1" applyAlignment="1">
      <alignment horizontal="center"/>
    </xf>
    <xf numFmtId="0" fontId="18" fillId="37" borderId="16" xfId="0" applyFont="1" applyFill="1" applyBorder="1" applyAlignment="1">
      <alignment horizontal="center" vertical="center" wrapText="1"/>
    </xf>
    <xf numFmtId="0" fontId="18" fillId="37" borderId="26" xfId="0" applyFont="1" applyFill="1" applyBorder="1" applyAlignment="1">
      <alignment horizontal="center" vertical="center" wrapText="1"/>
    </xf>
    <xf numFmtId="0" fontId="18" fillId="37" borderId="17" xfId="0" applyFont="1" applyFill="1" applyBorder="1" applyAlignment="1">
      <alignment horizontal="center" vertical="center" wrapText="1"/>
    </xf>
    <xf numFmtId="0" fontId="18" fillId="37" borderId="18" xfId="0" applyFont="1" applyFill="1" applyBorder="1" applyAlignment="1">
      <alignment horizontal="center" vertical="center" wrapText="1"/>
    </xf>
    <xf numFmtId="0" fontId="18" fillId="37" borderId="0" xfId="0" applyFont="1" applyFill="1" applyBorder="1" applyAlignment="1">
      <alignment horizontal="center" vertical="center" wrapText="1"/>
    </xf>
    <xf numFmtId="0" fontId="18" fillId="37" borderId="19" xfId="0" applyFont="1" applyFill="1" applyBorder="1" applyAlignment="1">
      <alignment horizontal="center" vertical="center" wrapText="1"/>
    </xf>
    <xf numFmtId="0" fontId="18" fillId="37" borderId="27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7" borderId="21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3" fillId="0" borderId="41" xfId="0" applyFont="1" applyFill="1" applyBorder="1" applyAlignment="1">
      <alignment horizontal="center" vertical="center" wrapText="1"/>
    </xf>
    <xf numFmtId="0" fontId="2" fillId="38" borderId="8" xfId="0" applyFont="1" applyFill="1" applyBorder="1" applyAlignment="1">
      <alignment/>
    </xf>
    <xf numFmtId="0" fontId="3" fillId="38" borderId="28" xfId="0" applyFont="1" applyFill="1" applyBorder="1" applyAlignment="1">
      <alignment horizontal="center" vertical="center" wrapText="1"/>
    </xf>
    <xf numFmtId="165" fontId="3" fillId="0" borderId="28" xfId="72" applyNumberFormat="1" applyFont="1" applyFill="1" applyBorder="1" applyAlignment="1">
      <alignment horizontal="center" vertical="center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gs.style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Grey" xfId="51"/>
    <cellStyle name="Header1" xfId="52"/>
    <cellStyle name="Header2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nput [yellow]" xfId="60"/>
    <cellStyle name="Linked Cell" xfId="61"/>
    <cellStyle name="Millares [0]_results" xfId="62"/>
    <cellStyle name="Millares_results" xfId="63"/>
    <cellStyle name="Milliers [0]_!!!GO" xfId="64"/>
    <cellStyle name="Milliers_!!!GO" xfId="65"/>
    <cellStyle name="Moneda [0]_results" xfId="66"/>
    <cellStyle name="Moneda_results" xfId="67"/>
    <cellStyle name="Monétaire [0]_!!!GO" xfId="68"/>
    <cellStyle name="Monétaire_!!!GO" xfId="69"/>
    <cellStyle name="Neutral" xfId="70"/>
    <cellStyle name="Normal - Style1" xfId="71"/>
    <cellStyle name="Normal 2" xfId="72"/>
    <cellStyle name="Normal_Buy Back 2004 2005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4</xdr:col>
      <xdr:colOff>857250</xdr:colOff>
      <xdr:row>5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74295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333375</xdr:colOff>
      <xdr:row>1</xdr:row>
      <xdr:rowOff>9525</xdr:rowOff>
    </xdr:from>
    <xdr:to>
      <xdr:col>11</xdr:col>
      <xdr:colOff>238125</xdr:colOff>
      <xdr:row>5</xdr:row>
      <xdr:rowOff>180975</xdr:rowOff>
    </xdr:to>
    <xdr:sp>
      <xdr:nvSpPr>
        <xdr:cNvPr id="2" name="WordArt 2"/>
        <xdr:cNvSpPr>
          <a:spLocks/>
        </xdr:cNvSpPr>
      </xdr:nvSpPr>
      <xdr:spPr>
        <a:xfrm>
          <a:off x="6877050" y="257175"/>
          <a:ext cx="11239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2000" b="0" i="0" u="none" baseline="0">
              <a:solidFill>
                <a:srgbClr val="003366"/>
              </a:solidFill>
            </a:rPr>
            <a:t>  Schools</a:t>
          </a:r>
          <a:r>
            <a:rPr lang="en-US" cap="none" sz="2000" b="0" i="0" u="none" baseline="0">
              <a:solidFill>
                <a:srgbClr val="008080"/>
              </a:solidFill>
            </a:rPr>
            <a:t>  
</a:t>
          </a:r>
          <a:r>
            <a:rPr lang="en-US" cap="none" sz="2000" b="0" i="0" u="none" baseline="0">
              <a:solidFill>
                <a:srgbClr val="008080"/>
              </a:solidFill>
            </a:rPr>
            <a:t> 
</a:t>
          </a:r>
          <a:r>
            <a:rPr lang="en-US" cap="none" sz="2000" b="0" i="0" u="none" baseline="0">
              <a:solidFill>
                <a:srgbClr val="003366"/>
              </a:solidFill>
            </a:rPr>
            <a:t>Accountancy</a:t>
          </a:r>
        </a:p>
      </xdr:txBody>
    </xdr:sp>
    <xdr:clientData/>
  </xdr:twoCellAnchor>
  <xdr:twoCellAnchor editAs="oneCell">
    <xdr:from>
      <xdr:col>9</xdr:col>
      <xdr:colOff>571500</xdr:colOff>
      <xdr:row>1</xdr:row>
      <xdr:rowOff>171450</xdr:rowOff>
    </xdr:from>
    <xdr:to>
      <xdr:col>11</xdr:col>
      <xdr:colOff>66675</xdr:colOff>
      <xdr:row>5</xdr:row>
      <xdr:rowOff>9525</xdr:rowOff>
    </xdr:to>
    <xdr:pic>
      <xdr:nvPicPr>
        <xdr:cNvPr id="3" name="Picture 13" descr="C:\Users\faz.saeed\AppData\Local\Microsoft\Windows\Temporary Internet Files\Content.IE5\GE5HFKXB\MC900431509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419100"/>
          <a:ext cx="714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571500</xdr:colOff>
      <xdr:row>22</xdr:row>
      <xdr:rowOff>19050</xdr:rowOff>
    </xdr:from>
    <xdr:to>
      <xdr:col>10</xdr:col>
      <xdr:colOff>304800</xdr:colOff>
      <xdr:row>24</xdr:row>
      <xdr:rowOff>19050</xdr:rowOff>
    </xdr:to>
    <xdr:sp macro="[0]!Statement">
      <xdr:nvSpPr>
        <xdr:cNvPr id="4" name="Rounded Rectangle 5"/>
        <xdr:cNvSpPr>
          <a:spLocks/>
        </xdr:cNvSpPr>
      </xdr:nvSpPr>
      <xdr:spPr>
        <a:xfrm>
          <a:off x="6505575" y="5305425"/>
          <a:ext cx="952500" cy="485775"/>
        </a:xfrm>
        <a:prstGeom prst="roundRect">
          <a:avLst/>
        </a:prstGeom>
        <a:solidFill>
          <a:srgbClr val="00B0F0">
            <a:alpha val="87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Go to Statement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9525</xdr:rowOff>
    </xdr:from>
    <xdr:to>
      <xdr:col>14</xdr:col>
      <xdr:colOff>152400</xdr:colOff>
      <xdr:row>3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9525"/>
          <a:ext cx="2371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352425</xdr:colOff>
      <xdr:row>4</xdr:row>
      <xdr:rowOff>0</xdr:rowOff>
    </xdr:from>
    <xdr:to>
      <xdr:col>13</xdr:col>
      <xdr:colOff>695325</xdr:colOff>
      <xdr:row>7</xdr:row>
      <xdr:rowOff>57150</xdr:rowOff>
    </xdr:to>
    <xdr:sp macro="[0]!LTS1">
      <xdr:nvSpPr>
        <xdr:cNvPr id="2" name="Rounded Rectangle 1"/>
        <xdr:cNvSpPr>
          <a:spLocks/>
        </xdr:cNvSpPr>
      </xdr:nvSpPr>
      <xdr:spPr>
        <a:xfrm>
          <a:off x="8401050" y="952500"/>
          <a:ext cx="952500" cy="552450"/>
        </a:xfrm>
        <a:prstGeom prst="roundRect">
          <a:avLst/>
        </a:prstGeom>
        <a:solidFill>
          <a:srgbClr val="00B0F0">
            <a:alpha val="87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Click to update
</a:t>
          </a:r>
        </a:p>
      </xdr:txBody>
    </xdr:sp>
    <xdr:clientData/>
  </xdr:twoCellAnchor>
  <xdr:twoCellAnchor editAs="oneCell">
    <xdr:from>
      <xdr:col>13</xdr:col>
      <xdr:colOff>1971675</xdr:colOff>
      <xdr:row>3</xdr:row>
      <xdr:rowOff>295275</xdr:rowOff>
    </xdr:from>
    <xdr:to>
      <xdr:col>14</xdr:col>
      <xdr:colOff>466725</xdr:colOff>
      <xdr:row>7</xdr:row>
      <xdr:rowOff>228600</xdr:rowOff>
    </xdr:to>
    <xdr:pic>
      <xdr:nvPicPr>
        <xdr:cNvPr id="3" name="Picture 13" descr="C:\Users\faz.saeed\AppData\Local\Microsoft\Windows\Temporary Internet Files\Content.IE5\GE5HFKXB\MC900431509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9900" y="866775"/>
          <a:ext cx="714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1771650</xdr:colOff>
      <xdr:row>3</xdr:row>
      <xdr:rowOff>104775</xdr:rowOff>
    </xdr:from>
    <xdr:to>
      <xdr:col>14</xdr:col>
      <xdr:colOff>609600</xdr:colOff>
      <xdr:row>8</xdr:row>
      <xdr:rowOff>38100</xdr:rowOff>
    </xdr:to>
    <xdr:sp>
      <xdr:nvSpPr>
        <xdr:cNvPr id="4" name="WordArt 2"/>
        <xdr:cNvSpPr>
          <a:spLocks noChangeAspect="1"/>
        </xdr:cNvSpPr>
      </xdr:nvSpPr>
      <xdr:spPr>
        <a:xfrm>
          <a:off x="10429875" y="676275"/>
          <a:ext cx="10572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2000" b="0" i="0" u="none" baseline="0">
              <a:solidFill>
                <a:srgbClr val="003366"/>
              </a:solidFill>
            </a:rPr>
            <a:t>  Schools</a:t>
          </a:r>
          <a:r>
            <a:rPr lang="en-US" cap="none" sz="2000" b="0" i="0" u="none" baseline="0">
              <a:solidFill>
                <a:srgbClr val="008080"/>
              </a:solidFill>
            </a:rPr>
            <a:t>  
</a:t>
          </a:r>
          <a:r>
            <a:rPr lang="en-US" cap="none" sz="2000" b="0" i="0" u="none" baseline="0">
              <a:solidFill>
                <a:srgbClr val="008080"/>
              </a:solidFill>
            </a:rPr>
            <a:t> 
</a:t>
          </a:r>
          <a:r>
            <a:rPr lang="en-US" cap="none" sz="2000" b="0" i="0" u="none" baseline="0">
              <a:solidFill>
                <a:srgbClr val="003366"/>
              </a:solidFill>
            </a:rPr>
            <a:t>Accountancy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114300</xdr:colOff>
      <xdr:row>2</xdr:row>
      <xdr:rowOff>180975</xdr:rowOff>
    </xdr:to>
    <xdr:sp macro="[0]!frontsheet">
      <xdr:nvSpPr>
        <xdr:cNvPr id="5" name="Rounded Rectangle 13"/>
        <xdr:cNvSpPr>
          <a:spLocks/>
        </xdr:cNvSpPr>
      </xdr:nvSpPr>
      <xdr:spPr>
        <a:xfrm>
          <a:off x="200025" y="0"/>
          <a:ext cx="895350" cy="514350"/>
        </a:xfrm>
        <a:prstGeom prst="roundRect">
          <a:avLst/>
        </a:prstGeom>
        <a:solidFill>
          <a:srgbClr val="00B0F0">
            <a:alpha val="87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Back</a:t>
          </a:r>
          <a:r>
            <a:rPr lang="en-US" cap="none" sz="1050" b="1" i="0" u="none" baseline="0">
              <a:solidFill>
                <a:srgbClr val="FFFFFF"/>
              </a:solidFill>
            </a:rPr>
            <a:t> to front sheet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28575</xdr:colOff>
      <xdr:row>2</xdr:row>
      <xdr:rowOff>180975</xdr:rowOff>
    </xdr:to>
    <xdr:sp macro="[0]!instructions">
      <xdr:nvSpPr>
        <xdr:cNvPr id="6" name="Rounded Rectangle 6"/>
        <xdr:cNvSpPr>
          <a:spLocks/>
        </xdr:cNvSpPr>
      </xdr:nvSpPr>
      <xdr:spPr>
        <a:xfrm>
          <a:off x="2171700" y="0"/>
          <a:ext cx="895350" cy="514350"/>
        </a:xfrm>
        <a:prstGeom prst="roundRect">
          <a:avLst/>
        </a:prstGeom>
        <a:solidFill>
          <a:srgbClr val="DCE6F2">
            <a:alpha val="87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3366"/>
              </a:solidFill>
            </a:rPr>
            <a:t>Instructions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7</xdr:row>
      <xdr:rowOff>9525</xdr:rowOff>
    </xdr:from>
    <xdr:to>
      <xdr:col>8</xdr:col>
      <xdr:colOff>152400</xdr:colOff>
      <xdr:row>14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7894" t="45123" r="27491" b="43254"/>
        <a:stretch>
          <a:fillRect/>
        </a:stretch>
      </xdr:blipFill>
      <xdr:spPr>
        <a:xfrm>
          <a:off x="962025" y="1266825"/>
          <a:ext cx="54387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8</xdr:col>
      <xdr:colOff>257175</xdr:colOff>
      <xdr:row>2</xdr:row>
      <xdr:rowOff>95250</xdr:rowOff>
    </xdr:to>
    <xdr:sp macro="[0]!backtostatement">
      <xdr:nvSpPr>
        <xdr:cNvPr id="2" name="Rounded Rectangle 4"/>
        <xdr:cNvSpPr>
          <a:spLocks/>
        </xdr:cNvSpPr>
      </xdr:nvSpPr>
      <xdr:spPr>
        <a:xfrm>
          <a:off x="5553075" y="0"/>
          <a:ext cx="952500" cy="485775"/>
        </a:xfrm>
        <a:prstGeom prst="roundRect">
          <a:avLst/>
        </a:prstGeom>
        <a:solidFill>
          <a:srgbClr val="00B0F0">
            <a:alpha val="87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Go back to Statement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s%20accountancy\LTS%20Scheme\2013-2014\2013-2014%20Med%20-%20LTS%20-%20Mat%20Data%20She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s%20accountancy\LTS%20Scheme\2013-2014\2013-2014%20Med%20-%20LTS%20-%20Mat%20Data%20Sheet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s%20accountancy\LTS%20Scheme\2017-2018\2017-2018%20Med%20-%20LTS%20-%20Mat%20Data%20She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Tables"/>
      <sheetName val="VAT"/>
      <sheetName val="Buy-Back 2013-14"/>
      <sheetName val="Lookups"/>
      <sheetName val="Workings"/>
      <sheetName val="Long standing claims"/>
      <sheetName val="Phased Returns "/>
      <sheetName val="Summer Data Sheet 2013-14"/>
      <sheetName val="Autumn Data Sheet 2013-14"/>
      <sheetName val="Spring Data Sheet 2013-14"/>
      <sheetName val="MTS YTD Summary"/>
      <sheetName val="LTS-MAT YTD Summary"/>
      <sheetName val="Outturn 13-14"/>
      <sheetName val="Med Rebate-Clawback Correction "/>
      <sheetName val="LTS Rebate-Clawback Correction "/>
      <sheetName val="Analysis"/>
      <sheetName val="Mat bacs - Sum"/>
      <sheetName val="MTS bacs - Sum"/>
      <sheetName val="LTS bacs - Sum"/>
      <sheetName val="Mat bacs - Aut"/>
      <sheetName val="MTS bacs - Aut"/>
      <sheetName val="LTS bacs - Aut"/>
      <sheetName val="Mat bacs - Spr "/>
      <sheetName val="MTS bacs - Spr"/>
      <sheetName val="LTS bacs - Spr"/>
      <sheetName val="PIVOT for Spring Term Jnls"/>
      <sheetName val="LTS Jnl Spr"/>
      <sheetName val="MTS Jnl Spr "/>
      <sheetName val="MAT Jnl Spr "/>
      <sheetName val="Cst Cntrs - Vndrs"/>
      <sheetName val="Summer Term Claim 2011-12"/>
      <sheetName val="Autumn Term Claim 2011-12"/>
      <sheetName val="Spring Term Claim Form 2011-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Tables"/>
      <sheetName val="VAT"/>
      <sheetName val="Buy-Back 2013-14"/>
      <sheetName val="Lookups"/>
      <sheetName val="Workings"/>
      <sheetName val="Long standing claims"/>
      <sheetName val="Phased Returns "/>
      <sheetName val="Summer Data Sheet 2013-14"/>
      <sheetName val="Autumn Data Sheet 2013-14"/>
      <sheetName val="Spring Data Sheet 2013-14"/>
      <sheetName val="MTS YTD Summary"/>
      <sheetName val="LTS-MAT YTD Summary"/>
      <sheetName val="Outturn 13-14"/>
      <sheetName val="Med Rebate-Clawback Correction "/>
      <sheetName val="LTS Rebate-Clawback Correction "/>
      <sheetName val="Analysis"/>
      <sheetName val="Mat bacs - Sum"/>
      <sheetName val="MTS bacs - Sum"/>
      <sheetName val="LTS bacs - Sum"/>
      <sheetName val="Mat bacs - Aut"/>
      <sheetName val="MTS bacs - Aut"/>
      <sheetName val="LTS bacs - Aut"/>
      <sheetName val="Mat bacs - Spr "/>
      <sheetName val="MTS bacs - Spr"/>
      <sheetName val="LTS bacs - Spr"/>
      <sheetName val="PIVOT for Spring Term Jnls"/>
      <sheetName val="LTS Jnl Spr"/>
      <sheetName val="MTS Jnl Spr "/>
      <sheetName val="MAT Jnl Spr "/>
      <sheetName val="Cst Cntrs - Vndrs"/>
      <sheetName val="Summer Term Claim 2011-12"/>
      <sheetName val="Autumn Term Claim 2011-12"/>
      <sheetName val="Spring Term Claim Form 201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Tables"/>
      <sheetName val="Lookups"/>
      <sheetName val="Buy-Back 2017-18"/>
      <sheetName val="Workings"/>
      <sheetName val="Long standing claims"/>
      <sheetName val="MTS YTD Summary"/>
      <sheetName val="LTS-MAT YTD Summary"/>
      <sheetName val="Outturn 17-18"/>
      <sheetName val="Analysis"/>
      <sheetName val="Summer Data Sheet 17-18"/>
      <sheetName val="MTS bacs - Sum"/>
      <sheetName val="LTS bacs - Sum"/>
      <sheetName val="Mat bacs - Sum"/>
      <sheetName val="Autumn Data Sheet 17-18"/>
      <sheetName val="MTS bacs - Aut"/>
      <sheetName val="LTS bacs - Aut"/>
      <sheetName val="Mat bacs - Aut"/>
      <sheetName val="Spring Data Sheet 17-18"/>
      <sheetName val="MTS bacs - Spr"/>
      <sheetName val="LTS bacs - Spr"/>
      <sheetName val="Mat bacs - Spr "/>
      <sheetName val="PIVOT for Spring Term Jnls"/>
      <sheetName val="MTS Jnl Spr"/>
      <sheetName val="LTS Jnl Spr"/>
      <sheetName val="MAT Jnl Spr"/>
      <sheetName val="Med Clawback Correction "/>
      <sheetName val="LTS Clawback Correction "/>
      <sheetName val="MTS clawback jnl"/>
      <sheetName val="LTS-MAT clawback jnl"/>
      <sheetName val="Cst Cntrs - Vndrs"/>
      <sheetName val="Summer Term Claim 2011-12"/>
      <sheetName val="Autumn Term Claim 2011-12"/>
      <sheetName val="Spring Term Claim Form 2011-12"/>
    </sheetNames>
    <sheetDataSet>
      <sheetData sheetId="10">
        <row r="366">
          <cell r="C366" t="str">
            <v>Akiva</v>
          </cell>
          <cell r="D366">
            <v>11094</v>
          </cell>
        </row>
        <row r="367">
          <cell r="C367" t="str">
            <v>All Saints N20</v>
          </cell>
          <cell r="D367">
            <v>10042</v>
          </cell>
        </row>
        <row r="368">
          <cell r="C368" t="str">
            <v>All Saints NW2</v>
          </cell>
          <cell r="D368">
            <v>10040</v>
          </cell>
        </row>
        <row r="369">
          <cell r="C369" t="str">
            <v>Annunciation Infant</v>
          </cell>
          <cell r="D369">
            <v>10043</v>
          </cell>
        </row>
        <row r="370">
          <cell r="C370" t="str">
            <v>Annunciation Junior</v>
          </cell>
          <cell r="D370">
            <v>10117</v>
          </cell>
        </row>
        <row r="371">
          <cell r="C371" t="str">
            <v>Ashmole</v>
          </cell>
          <cell r="D371" t="str">
            <v>10136A</v>
          </cell>
        </row>
        <row r="372">
          <cell r="C372" t="str">
            <v>Barnfield</v>
          </cell>
          <cell r="D372">
            <v>10044</v>
          </cell>
        </row>
        <row r="373">
          <cell r="C373" t="str">
            <v>Barnfield CC</v>
          </cell>
          <cell r="D373">
            <v>10044</v>
          </cell>
        </row>
        <row r="374">
          <cell r="C374" t="str">
            <v>Beis Yaakov</v>
          </cell>
          <cell r="D374">
            <v>10128</v>
          </cell>
        </row>
        <row r="375">
          <cell r="C375" t="str">
            <v>Beit Shvidler</v>
          </cell>
          <cell r="D375">
            <v>11278</v>
          </cell>
        </row>
        <row r="376">
          <cell r="C376" t="str">
            <v>Bell Lane</v>
          </cell>
          <cell r="D376">
            <v>10045</v>
          </cell>
        </row>
        <row r="377">
          <cell r="C377" t="str">
            <v>Bell Lane CC</v>
          </cell>
          <cell r="D377">
            <v>10045</v>
          </cell>
        </row>
        <row r="378">
          <cell r="C378" t="str">
            <v>Bishops Douglass</v>
          </cell>
          <cell r="D378">
            <v>10137</v>
          </cell>
        </row>
        <row r="379">
          <cell r="C379" t="str">
            <v>Blessed Dominic</v>
          </cell>
          <cell r="D379">
            <v>10115</v>
          </cell>
        </row>
        <row r="380">
          <cell r="C380" t="str">
            <v>Broadfields Primary</v>
          </cell>
          <cell r="D380" t="str">
            <v>10134A</v>
          </cell>
        </row>
        <row r="381">
          <cell r="C381" t="str">
            <v>Brookhill Nursery</v>
          </cell>
          <cell r="D381">
            <v>10130</v>
          </cell>
        </row>
        <row r="382">
          <cell r="C382" t="str">
            <v>Brookland Infants</v>
          </cell>
          <cell r="D382">
            <v>10047</v>
          </cell>
        </row>
        <row r="383">
          <cell r="C383" t="str">
            <v>Brookland Junior</v>
          </cell>
          <cell r="D383">
            <v>10046</v>
          </cell>
        </row>
        <row r="384">
          <cell r="C384" t="str">
            <v>Brunswick Park</v>
          </cell>
          <cell r="D384">
            <v>10048</v>
          </cell>
        </row>
        <row r="385">
          <cell r="C385" t="str">
            <v>Chalgrove</v>
          </cell>
          <cell r="D385">
            <v>10118</v>
          </cell>
        </row>
        <row r="386">
          <cell r="C386" t="str">
            <v>Childs Hill</v>
          </cell>
          <cell r="D386">
            <v>10049</v>
          </cell>
        </row>
        <row r="387">
          <cell r="C387" t="str">
            <v>Childs Hill CC</v>
          </cell>
          <cell r="D387">
            <v>10049</v>
          </cell>
        </row>
        <row r="388">
          <cell r="C388" t="str">
            <v>Christchurch JMI</v>
          </cell>
          <cell r="D388">
            <v>10050</v>
          </cell>
        </row>
        <row r="389">
          <cell r="C389" t="str">
            <v>Christs College</v>
          </cell>
          <cell r="D389" t="str">
            <v>10151A</v>
          </cell>
        </row>
        <row r="390">
          <cell r="C390" t="str">
            <v>Church Hill</v>
          </cell>
          <cell r="D390">
            <v>10051</v>
          </cell>
        </row>
        <row r="391">
          <cell r="C391" t="str">
            <v>Claremont Primary</v>
          </cell>
          <cell r="D391" t="str">
            <v>10953A</v>
          </cell>
        </row>
        <row r="392">
          <cell r="C392" t="str">
            <v>Colindale</v>
          </cell>
          <cell r="D392">
            <v>10054</v>
          </cell>
        </row>
        <row r="393">
          <cell r="C393" t="str">
            <v>Compton</v>
          </cell>
          <cell r="D393" t="str">
            <v>10138A</v>
          </cell>
        </row>
        <row r="394">
          <cell r="C394" t="str">
            <v>Coppetts Wood</v>
          </cell>
          <cell r="D394">
            <v>10055</v>
          </cell>
        </row>
        <row r="395">
          <cell r="C395" t="str">
            <v>Coppetts Wood CC</v>
          </cell>
          <cell r="D395">
            <v>10055</v>
          </cell>
        </row>
        <row r="396">
          <cell r="C396" t="str">
            <v>Copthall</v>
          </cell>
          <cell r="D396" t="str">
            <v>10152A</v>
          </cell>
        </row>
        <row r="397">
          <cell r="C397" t="str">
            <v>Courtland</v>
          </cell>
          <cell r="D397">
            <v>10056</v>
          </cell>
        </row>
        <row r="398">
          <cell r="C398" t="str">
            <v>Cromer Road</v>
          </cell>
          <cell r="D398">
            <v>10057</v>
          </cell>
        </row>
        <row r="399">
          <cell r="C399" t="str">
            <v>Danegrove</v>
          </cell>
          <cell r="D399">
            <v>10083</v>
          </cell>
        </row>
        <row r="400">
          <cell r="C400" t="str">
            <v>Deansbrook Infants</v>
          </cell>
          <cell r="D400">
            <v>10059</v>
          </cell>
        </row>
        <row r="401">
          <cell r="C401" t="str">
            <v>Deansbrook Junior</v>
          </cell>
          <cell r="D401" t="str">
            <v>10058A</v>
          </cell>
        </row>
        <row r="402">
          <cell r="C402" t="str">
            <v>Dollis Infants</v>
          </cell>
          <cell r="D402">
            <v>10061</v>
          </cell>
        </row>
        <row r="403">
          <cell r="C403" t="str">
            <v>Dollis Junior</v>
          </cell>
          <cell r="D403">
            <v>10060</v>
          </cell>
        </row>
        <row r="404">
          <cell r="C404" t="str">
            <v>East Barnet</v>
          </cell>
          <cell r="D404" t="str">
            <v>10153A</v>
          </cell>
        </row>
        <row r="405">
          <cell r="C405" t="str">
            <v>Edgware Primary</v>
          </cell>
          <cell r="D405">
            <v>10063</v>
          </cell>
        </row>
        <row r="406">
          <cell r="C406" t="str">
            <v>Fairway</v>
          </cell>
          <cell r="D406">
            <v>10064</v>
          </cell>
        </row>
        <row r="407">
          <cell r="C407" t="str">
            <v>Fairway CC</v>
          </cell>
          <cell r="D407">
            <v>10064</v>
          </cell>
        </row>
        <row r="408">
          <cell r="C408" t="str">
            <v>Finchley Catholic</v>
          </cell>
          <cell r="D408">
            <v>10145</v>
          </cell>
        </row>
        <row r="409">
          <cell r="C409" t="str">
            <v>Foulds</v>
          </cell>
          <cell r="D409">
            <v>10065</v>
          </cell>
        </row>
        <row r="410">
          <cell r="C410" t="str">
            <v>Friern Barnet</v>
          </cell>
          <cell r="D410">
            <v>10139</v>
          </cell>
        </row>
        <row r="411">
          <cell r="C411" t="str">
            <v>Frith Manor</v>
          </cell>
          <cell r="D411">
            <v>10066</v>
          </cell>
        </row>
        <row r="412">
          <cell r="C412" t="str">
            <v>Garden Suburb Infants</v>
          </cell>
          <cell r="D412">
            <v>10068</v>
          </cell>
        </row>
        <row r="413">
          <cell r="C413" t="str">
            <v>Garden Suburb Junior</v>
          </cell>
          <cell r="D413">
            <v>10067</v>
          </cell>
        </row>
        <row r="414">
          <cell r="C414" t="str">
            <v>Goldbeaters</v>
          </cell>
          <cell r="D414">
            <v>10069</v>
          </cell>
        </row>
        <row r="415">
          <cell r="C415" t="str">
            <v>Grasvenor Avenue</v>
          </cell>
          <cell r="D415" t="str">
            <v>10070A</v>
          </cell>
        </row>
        <row r="416">
          <cell r="C416" t="str">
            <v>Hampden Way CC</v>
          </cell>
          <cell r="D416">
            <v>10131</v>
          </cell>
        </row>
        <row r="417">
          <cell r="C417" t="str">
            <v>Hampden Way Nursery</v>
          </cell>
          <cell r="D417">
            <v>10131</v>
          </cell>
        </row>
        <row r="418">
          <cell r="C418" t="str">
            <v>Hasmonean High</v>
          </cell>
          <cell r="D418" t="str">
            <v>10146A</v>
          </cell>
        </row>
        <row r="419">
          <cell r="C419" t="str">
            <v>Hasmonean Primary</v>
          </cell>
          <cell r="D419">
            <v>10121</v>
          </cell>
        </row>
        <row r="420">
          <cell r="C420" t="str">
            <v>Hendon</v>
          </cell>
          <cell r="D420" t="str">
            <v>10150A</v>
          </cell>
        </row>
        <row r="421">
          <cell r="C421" t="str">
            <v>Henrietta Barnett</v>
          </cell>
          <cell r="D421" t="str">
            <v>10147A</v>
          </cell>
        </row>
        <row r="422">
          <cell r="C422" t="str">
            <v>Hollickwood</v>
          </cell>
          <cell r="D422">
            <v>10071</v>
          </cell>
        </row>
        <row r="423">
          <cell r="C423" t="str">
            <v>Holly Park</v>
          </cell>
          <cell r="D423">
            <v>10072</v>
          </cell>
        </row>
        <row r="424">
          <cell r="C424" t="str">
            <v>Holy Trinity</v>
          </cell>
          <cell r="D424">
            <v>10073</v>
          </cell>
        </row>
        <row r="425">
          <cell r="C425" t="str">
            <v>Hyde</v>
          </cell>
          <cell r="D425" t="str">
            <v>10122A</v>
          </cell>
        </row>
        <row r="426">
          <cell r="C426" t="str">
            <v>Independent Jewish</v>
          </cell>
          <cell r="D426" t="str">
            <v>10106A</v>
          </cell>
        </row>
        <row r="427">
          <cell r="C427" t="str">
            <v>JCoSS</v>
          </cell>
          <cell r="D427">
            <v>11174</v>
          </cell>
        </row>
        <row r="428">
          <cell r="C428" t="str">
            <v>Livingstone</v>
          </cell>
          <cell r="D428">
            <v>10074</v>
          </cell>
        </row>
        <row r="429">
          <cell r="C429" t="str">
            <v>Manorside</v>
          </cell>
          <cell r="D429">
            <v>10075</v>
          </cell>
        </row>
        <row r="430">
          <cell r="C430" t="str">
            <v>Mapledown</v>
          </cell>
          <cell r="D430">
            <v>10159</v>
          </cell>
        </row>
        <row r="431">
          <cell r="C431" t="str">
            <v>Martin Primary</v>
          </cell>
          <cell r="D431">
            <v>11093</v>
          </cell>
        </row>
        <row r="432">
          <cell r="C432" t="str">
            <v>Matilda Marks Kennedy</v>
          </cell>
          <cell r="D432">
            <v>10125</v>
          </cell>
        </row>
        <row r="433">
          <cell r="C433" t="str">
            <v>Menorah Foundation</v>
          </cell>
          <cell r="D433">
            <v>10126</v>
          </cell>
        </row>
        <row r="434">
          <cell r="C434" t="str">
            <v>Menorah High</v>
          </cell>
          <cell r="D434">
            <v>11513</v>
          </cell>
        </row>
        <row r="435">
          <cell r="C435" t="str">
            <v>Menorah Primary</v>
          </cell>
          <cell r="D435">
            <v>10114</v>
          </cell>
        </row>
        <row r="436">
          <cell r="C436" t="str">
            <v>Mill Hill High</v>
          </cell>
          <cell r="D436">
            <v>10140</v>
          </cell>
        </row>
        <row r="437">
          <cell r="C437" t="str">
            <v>Monken Hadley</v>
          </cell>
          <cell r="D437">
            <v>10078</v>
          </cell>
        </row>
        <row r="438">
          <cell r="C438" t="str">
            <v>Monkfrith</v>
          </cell>
          <cell r="D438">
            <v>10079</v>
          </cell>
        </row>
        <row r="439">
          <cell r="C439" t="str">
            <v>Moss Hall Infants</v>
          </cell>
          <cell r="D439">
            <v>10081</v>
          </cell>
        </row>
        <row r="440">
          <cell r="C440" t="str">
            <v>Moss Hall Junior</v>
          </cell>
          <cell r="D440">
            <v>10080</v>
          </cell>
        </row>
        <row r="441">
          <cell r="C441" t="str">
            <v>Moss Hall Nursery</v>
          </cell>
          <cell r="D441">
            <v>10132</v>
          </cell>
        </row>
        <row r="442">
          <cell r="C442" t="str">
            <v>Northgate</v>
          </cell>
          <cell r="D442">
            <v>10185</v>
          </cell>
        </row>
        <row r="443">
          <cell r="C443" t="str">
            <v>Northside</v>
          </cell>
          <cell r="D443">
            <v>10082</v>
          </cell>
        </row>
        <row r="444">
          <cell r="C444" t="str">
            <v>Northway</v>
          </cell>
          <cell r="D444">
            <v>10157</v>
          </cell>
        </row>
        <row r="445">
          <cell r="C445" t="str">
            <v>Oak Lodge</v>
          </cell>
          <cell r="D445">
            <v>10156</v>
          </cell>
        </row>
        <row r="446">
          <cell r="C446" t="str">
            <v>Oakleigh</v>
          </cell>
          <cell r="D446">
            <v>10158</v>
          </cell>
        </row>
        <row r="447">
          <cell r="C447" t="str">
            <v>Orion</v>
          </cell>
          <cell r="D447">
            <v>10127</v>
          </cell>
        </row>
        <row r="448">
          <cell r="C448" t="str">
            <v>Osidge</v>
          </cell>
          <cell r="D448">
            <v>10084</v>
          </cell>
        </row>
        <row r="449">
          <cell r="C449" t="str">
            <v>Our Lady of Lourdes</v>
          </cell>
          <cell r="D449">
            <v>10085</v>
          </cell>
        </row>
        <row r="450">
          <cell r="C450" t="str">
            <v>Pardes House</v>
          </cell>
          <cell r="D450">
            <v>10129</v>
          </cell>
        </row>
        <row r="451">
          <cell r="C451" t="str">
            <v>Parkfield</v>
          </cell>
          <cell r="D451" t="str">
            <v>10120A</v>
          </cell>
        </row>
        <row r="452">
          <cell r="C452" t="str">
            <v>Pavilion</v>
          </cell>
          <cell r="D452">
            <v>10188</v>
          </cell>
        </row>
        <row r="453">
          <cell r="C453" t="str">
            <v>QE Boys</v>
          </cell>
          <cell r="D453" t="str">
            <v>10149A</v>
          </cell>
        </row>
        <row r="454">
          <cell r="C454" t="str">
            <v>Queen Elizabeth Girls</v>
          </cell>
          <cell r="D454" t="str">
            <v>10154A</v>
          </cell>
        </row>
        <row r="455">
          <cell r="C455" t="str">
            <v>Queenswell Infants</v>
          </cell>
          <cell r="D455">
            <v>10119</v>
          </cell>
        </row>
        <row r="456">
          <cell r="C456" t="str">
            <v>Queenswell Junior</v>
          </cell>
          <cell r="D456">
            <v>10086</v>
          </cell>
        </row>
        <row r="457">
          <cell r="C457" t="str">
            <v>The Totteridge Academy</v>
          </cell>
          <cell r="D457" t="str">
            <v>10141A</v>
          </cell>
        </row>
        <row r="458">
          <cell r="C458" t="str">
            <v>Rosh Pinah</v>
          </cell>
          <cell r="D458">
            <v>10112</v>
          </cell>
        </row>
        <row r="459">
          <cell r="C459" t="str">
            <v>Sacred Heart</v>
          </cell>
          <cell r="D459">
            <v>10110</v>
          </cell>
        </row>
        <row r="460">
          <cell r="C460" t="str">
            <v>St Agnes'</v>
          </cell>
          <cell r="D460">
            <v>10087</v>
          </cell>
        </row>
        <row r="461">
          <cell r="C461" t="str">
            <v>St Andrews</v>
          </cell>
          <cell r="D461">
            <v>10099</v>
          </cell>
        </row>
        <row r="462">
          <cell r="C462" t="str">
            <v>St Catherine's</v>
          </cell>
          <cell r="D462">
            <v>10088</v>
          </cell>
        </row>
        <row r="463">
          <cell r="C463" t="str">
            <v>St James' Catholic High</v>
          </cell>
          <cell r="D463">
            <v>10142</v>
          </cell>
        </row>
        <row r="464">
          <cell r="C464" t="str">
            <v>St John's N11</v>
          </cell>
          <cell r="D464">
            <v>10089</v>
          </cell>
        </row>
        <row r="465">
          <cell r="C465" t="str">
            <v>St John's N20</v>
          </cell>
          <cell r="D465">
            <v>10116</v>
          </cell>
        </row>
        <row r="466">
          <cell r="C466" t="str">
            <v>St Joseph's Primary</v>
          </cell>
          <cell r="D466">
            <v>10107</v>
          </cell>
        </row>
        <row r="467">
          <cell r="C467" t="str">
            <v>St Margarets CC</v>
          </cell>
          <cell r="D467">
            <v>10133</v>
          </cell>
        </row>
        <row r="468">
          <cell r="C468" t="str">
            <v>St Margarets Nursery</v>
          </cell>
          <cell r="D468">
            <v>10133</v>
          </cell>
        </row>
        <row r="469">
          <cell r="C469" t="str">
            <v>St Mary's &amp; St John's</v>
          </cell>
          <cell r="D469">
            <v>10698</v>
          </cell>
        </row>
        <row r="470">
          <cell r="C470" t="str">
            <v>St Mary's EB</v>
          </cell>
          <cell r="D470">
            <v>10093</v>
          </cell>
        </row>
        <row r="471">
          <cell r="C471" t="str">
            <v>St Mary's High</v>
          </cell>
          <cell r="D471">
            <v>10143</v>
          </cell>
        </row>
        <row r="472">
          <cell r="C472" t="str">
            <v>St Mary's N3</v>
          </cell>
          <cell r="D472">
            <v>10092</v>
          </cell>
        </row>
        <row r="473">
          <cell r="C473" t="str">
            <v>St Michaels Cath Grammer</v>
          </cell>
          <cell r="D473">
            <v>10148</v>
          </cell>
        </row>
        <row r="474">
          <cell r="C474" t="str">
            <v>St Paul's N11</v>
          </cell>
          <cell r="D474">
            <v>10094</v>
          </cell>
        </row>
        <row r="475">
          <cell r="C475" t="str">
            <v>St Paul's NW7</v>
          </cell>
          <cell r="D475">
            <v>10095</v>
          </cell>
        </row>
        <row r="476">
          <cell r="C476" t="str">
            <v>St Theresas</v>
          </cell>
          <cell r="D476">
            <v>10108</v>
          </cell>
        </row>
        <row r="477">
          <cell r="C477" t="str">
            <v>St Vincents</v>
          </cell>
          <cell r="D477">
            <v>10096</v>
          </cell>
        </row>
        <row r="478">
          <cell r="C478" t="str">
            <v>Summerside</v>
          </cell>
          <cell r="D478" t="str">
            <v>10098A</v>
          </cell>
        </row>
        <row r="479">
          <cell r="C479" t="str">
            <v>Sunnyfields</v>
          </cell>
          <cell r="D479">
            <v>10097</v>
          </cell>
        </row>
        <row r="480">
          <cell r="C480" t="str">
            <v>Trent</v>
          </cell>
          <cell r="D480">
            <v>10100</v>
          </cell>
        </row>
        <row r="481">
          <cell r="C481" t="str">
            <v>Tudor</v>
          </cell>
          <cell r="D481">
            <v>10101</v>
          </cell>
        </row>
        <row r="482">
          <cell r="C482" t="str">
            <v>Underhill CC</v>
          </cell>
          <cell r="D482">
            <v>10103</v>
          </cell>
        </row>
        <row r="483">
          <cell r="C483" t="str">
            <v>Underhill</v>
          </cell>
          <cell r="D483">
            <v>10103</v>
          </cell>
        </row>
        <row r="484">
          <cell r="C484" t="str">
            <v>Wessex Garden Primary</v>
          </cell>
          <cell r="D484">
            <v>10124</v>
          </cell>
        </row>
        <row r="485">
          <cell r="C485" t="str">
            <v>Whitefield</v>
          </cell>
          <cell r="D485">
            <v>10144</v>
          </cell>
        </row>
        <row r="486">
          <cell r="C486" t="str">
            <v>Whitings Hill</v>
          </cell>
          <cell r="D486">
            <v>10105</v>
          </cell>
        </row>
        <row r="487">
          <cell r="C487" t="str">
            <v>Woodcroft</v>
          </cell>
          <cell r="D487">
            <v>10123</v>
          </cell>
        </row>
        <row r="488">
          <cell r="C488" t="str">
            <v>Woodridge</v>
          </cell>
          <cell r="D488">
            <v>10109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cole.gibson@barnet.gov.uk" TargetMode="External" /><Relationship Id="rId2" Type="http://schemas.openxmlformats.org/officeDocument/2006/relationships/hyperlink" Target="mailto:priscilla.williams@barnet.gov.uk" TargetMode="External" /><Relationship Id="rId3" Type="http://schemas.openxmlformats.org/officeDocument/2006/relationships/hyperlink" Target="mailto:claudette.james@barnet.gov.uk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faz.saeed@barnet.gov.uk" TargetMode="External" /><Relationship Id="rId2" Type="http://schemas.openxmlformats.org/officeDocument/2006/relationships/hyperlink" Target="mailto:nicole.gibson@barnet.gov.uk" TargetMode="External" /><Relationship Id="rId3" Type="http://schemas.openxmlformats.org/officeDocument/2006/relationships/hyperlink" Target="mailto:gary.topp@barnet.gov.uk" TargetMode="External" /><Relationship Id="rId4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26"/>
  <sheetViews>
    <sheetView showGridLines="0" tabSelected="1" zoomScalePageLayoutView="0" workbookViewId="0" topLeftCell="A1">
      <selection activeCell="D8" sqref="D8:E9"/>
    </sheetView>
  </sheetViews>
  <sheetFormatPr defaultColWidth="9.140625" defaultRowHeight="12.75"/>
  <cols>
    <col min="1" max="2" width="9.140625" style="0" customWidth="1"/>
    <col min="4" max="4" width="10.140625" style="0" bestFit="1" customWidth="1"/>
    <col min="5" max="5" width="17.57421875" style="0" customWidth="1"/>
    <col min="6" max="6" width="15.421875" style="0" bestFit="1" customWidth="1"/>
    <col min="7" max="7" width="9.28125" style="0" bestFit="1" customWidth="1"/>
  </cols>
  <sheetData>
    <row r="1" spans="2:12" ht="19.5" thickBot="1">
      <c r="B1" s="14"/>
      <c r="C1" s="31"/>
      <c r="D1" s="31"/>
      <c r="E1" s="31"/>
      <c r="F1" s="31"/>
      <c r="G1" s="31"/>
      <c r="H1" s="31"/>
      <c r="I1" s="31"/>
      <c r="J1" s="31"/>
      <c r="K1" s="31"/>
      <c r="L1" s="15"/>
    </row>
    <row r="2" spans="1:12" ht="19.5" thickBot="1">
      <c r="A2" s="21"/>
      <c r="B2" s="16"/>
      <c r="C2" s="137" t="s">
        <v>205</v>
      </c>
      <c r="D2" s="138"/>
      <c r="E2" s="138"/>
      <c r="F2" s="138"/>
      <c r="G2" s="138"/>
      <c r="H2" s="138"/>
      <c r="I2" s="138"/>
      <c r="J2" s="138"/>
      <c r="K2" s="139"/>
      <c r="L2" s="17"/>
    </row>
    <row r="3" spans="2:14" ht="19.5" thickBot="1">
      <c r="B3" s="16"/>
      <c r="C3" s="33"/>
      <c r="D3" s="18"/>
      <c r="E3" s="18"/>
      <c r="F3" s="137" t="s">
        <v>283</v>
      </c>
      <c r="G3" s="138"/>
      <c r="H3" s="139"/>
      <c r="I3" s="18"/>
      <c r="J3" s="18"/>
      <c r="K3" s="34"/>
      <c r="L3" s="17"/>
      <c r="N3" s="116"/>
    </row>
    <row r="4" spans="1:14" ht="18.75">
      <c r="A4" s="21"/>
      <c r="B4" s="16"/>
      <c r="C4" s="33"/>
      <c r="D4" s="18"/>
      <c r="E4" s="18"/>
      <c r="F4" s="18"/>
      <c r="G4" s="18"/>
      <c r="H4" s="18"/>
      <c r="I4" s="18"/>
      <c r="J4" s="18"/>
      <c r="K4" s="34"/>
      <c r="L4" s="17"/>
      <c r="N4" s="106"/>
    </row>
    <row r="5" spans="2:12" ht="18.75">
      <c r="B5" s="16"/>
      <c r="C5" s="33"/>
      <c r="D5" s="18"/>
      <c r="E5" s="18"/>
      <c r="F5" s="18"/>
      <c r="G5" s="18"/>
      <c r="H5" s="18"/>
      <c r="I5" s="18"/>
      <c r="J5" s="18"/>
      <c r="K5" s="34"/>
      <c r="L5" s="17"/>
    </row>
    <row r="6" spans="1:12" ht="18.75">
      <c r="A6" s="21"/>
      <c r="B6" s="16"/>
      <c r="C6" s="33"/>
      <c r="D6" s="18"/>
      <c r="E6" s="18"/>
      <c r="F6" s="18"/>
      <c r="G6" s="18"/>
      <c r="H6" s="18"/>
      <c r="I6" s="18"/>
      <c r="J6" s="18"/>
      <c r="K6" s="34"/>
      <c r="L6" s="17"/>
    </row>
    <row r="7" spans="1:12" ht="19.5" thickBot="1">
      <c r="A7" s="21"/>
      <c r="B7" s="16"/>
      <c r="C7" s="33"/>
      <c r="D7" s="18"/>
      <c r="E7" s="18"/>
      <c r="F7" s="18"/>
      <c r="G7" s="18"/>
      <c r="H7" s="18"/>
      <c r="I7" s="18"/>
      <c r="J7" s="18"/>
      <c r="K7" s="34"/>
      <c r="L7" s="17"/>
    </row>
    <row r="8" spans="2:12" ht="18.75" customHeight="1">
      <c r="B8" s="16"/>
      <c r="C8" s="33"/>
      <c r="D8" s="140" t="s">
        <v>209</v>
      </c>
      <c r="E8" s="141"/>
      <c r="F8" s="18"/>
      <c r="G8" s="18"/>
      <c r="H8" s="140" t="e">
        <f>VLOOKUP(D8,D98:E223,2,0)</f>
        <v>#N/A</v>
      </c>
      <c r="I8" s="141"/>
      <c r="J8" s="144"/>
      <c r="K8" s="34"/>
      <c r="L8" s="17"/>
    </row>
    <row r="9" spans="1:12" ht="19.5" thickBot="1">
      <c r="A9" s="21"/>
      <c r="B9" s="16"/>
      <c r="C9" s="33"/>
      <c r="D9" s="142"/>
      <c r="E9" s="143"/>
      <c r="F9" s="18"/>
      <c r="G9" s="18"/>
      <c r="H9" s="142"/>
      <c r="I9" s="143"/>
      <c r="J9" s="145"/>
      <c r="K9" s="34"/>
      <c r="L9" s="17"/>
    </row>
    <row r="10" spans="2:12" ht="18.75">
      <c r="B10" s="16"/>
      <c r="C10" s="33"/>
      <c r="D10" s="18"/>
      <c r="E10" s="18"/>
      <c r="F10" s="18"/>
      <c r="G10" s="18"/>
      <c r="H10" s="18"/>
      <c r="I10" s="18"/>
      <c r="J10" s="18"/>
      <c r="K10" s="34"/>
      <c r="L10" s="17"/>
    </row>
    <row r="11" spans="1:12" ht="18.75">
      <c r="A11" s="21"/>
      <c r="B11" s="16"/>
      <c r="C11" s="33"/>
      <c r="D11" s="18"/>
      <c r="E11" s="18"/>
      <c r="F11" s="18"/>
      <c r="G11" s="18"/>
      <c r="H11" s="18"/>
      <c r="I11" s="18"/>
      <c r="J11" s="18"/>
      <c r="K11" s="34"/>
      <c r="L11" s="17"/>
    </row>
    <row r="12" spans="1:12" ht="18.75">
      <c r="A12" s="21"/>
      <c r="B12" s="16"/>
      <c r="C12" s="33"/>
      <c r="D12" s="18"/>
      <c r="E12" s="23" t="s">
        <v>210</v>
      </c>
      <c r="F12" s="18" t="s">
        <v>285</v>
      </c>
      <c r="G12" s="18"/>
      <c r="H12" s="18"/>
      <c r="I12" s="18"/>
      <c r="J12" s="18"/>
      <c r="K12" s="34"/>
      <c r="L12" s="17"/>
    </row>
    <row r="13" spans="1:12" ht="18.75">
      <c r="A13" s="21"/>
      <c r="B13" s="16"/>
      <c r="C13" s="33"/>
      <c r="D13" s="18"/>
      <c r="E13" s="23" t="s">
        <v>211</v>
      </c>
      <c r="F13" s="18" t="s">
        <v>284</v>
      </c>
      <c r="G13" s="18"/>
      <c r="H13" s="18"/>
      <c r="I13" s="18"/>
      <c r="J13" s="18"/>
      <c r="K13" s="34"/>
      <c r="L13" s="17"/>
    </row>
    <row r="14" spans="1:12" ht="18.75">
      <c r="A14" s="21"/>
      <c r="B14" s="16"/>
      <c r="C14" s="33"/>
      <c r="D14" s="18"/>
      <c r="E14" s="23"/>
      <c r="F14" s="18"/>
      <c r="G14" s="18"/>
      <c r="H14" s="18"/>
      <c r="I14" s="18"/>
      <c r="J14" s="18"/>
      <c r="K14" s="34"/>
      <c r="L14" s="17"/>
    </row>
    <row r="15" spans="1:12" ht="18.75">
      <c r="A15" s="21"/>
      <c r="B15" s="16"/>
      <c r="C15" s="33"/>
      <c r="D15" s="18"/>
      <c r="E15" s="23"/>
      <c r="F15" s="18"/>
      <c r="G15" s="18"/>
      <c r="H15" s="18"/>
      <c r="I15" s="18"/>
      <c r="J15" s="18"/>
      <c r="K15" s="34"/>
      <c r="L15" s="17"/>
    </row>
    <row r="16" spans="1:12" ht="18.75">
      <c r="A16" s="21"/>
      <c r="B16" s="16"/>
      <c r="C16" s="33"/>
      <c r="D16" s="18"/>
      <c r="E16" s="23" t="s">
        <v>212</v>
      </c>
      <c r="F16" s="18"/>
      <c r="G16" s="18"/>
      <c r="H16" s="18"/>
      <c r="I16" s="18"/>
      <c r="J16" s="18"/>
      <c r="K16" s="34"/>
      <c r="L16" s="17"/>
    </row>
    <row r="17" spans="1:12" ht="18.75">
      <c r="A17" s="21"/>
      <c r="B17" s="16"/>
      <c r="C17" s="33"/>
      <c r="D17" s="18"/>
      <c r="E17" s="18"/>
      <c r="F17" s="18"/>
      <c r="G17" s="18"/>
      <c r="H17" s="18"/>
      <c r="I17" s="18"/>
      <c r="J17" s="18"/>
      <c r="K17" s="34"/>
      <c r="L17" s="17"/>
    </row>
    <row r="18" spans="1:12" ht="18.75">
      <c r="A18" s="21"/>
      <c r="B18" s="16"/>
      <c r="C18" s="33"/>
      <c r="D18" s="18"/>
      <c r="E18" s="25">
        <v>43101</v>
      </c>
      <c r="F18" s="25">
        <v>43131</v>
      </c>
      <c r="G18" s="18">
        <v>22</v>
      </c>
      <c r="H18" s="18"/>
      <c r="I18" s="18"/>
      <c r="J18" s="18"/>
      <c r="K18" s="34"/>
      <c r="L18" s="17"/>
    </row>
    <row r="19" spans="1:12" ht="18.75">
      <c r="A19" s="21"/>
      <c r="B19" s="16"/>
      <c r="C19" s="33"/>
      <c r="D19" s="18"/>
      <c r="E19" s="25">
        <v>43132</v>
      </c>
      <c r="F19" s="25">
        <v>43159</v>
      </c>
      <c r="G19" s="18">
        <v>15</v>
      </c>
      <c r="H19" s="18"/>
      <c r="I19" s="18"/>
      <c r="J19" s="18"/>
      <c r="K19" s="34"/>
      <c r="L19" s="17"/>
    </row>
    <row r="20" spans="1:12" ht="18.75">
      <c r="A20" s="21"/>
      <c r="B20" s="16"/>
      <c r="C20" s="33"/>
      <c r="D20" s="18"/>
      <c r="E20" s="25">
        <v>43160</v>
      </c>
      <c r="F20" s="25">
        <v>43190</v>
      </c>
      <c r="G20" s="18">
        <v>21</v>
      </c>
      <c r="H20" s="18"/>
      <c r="I20" s="18"/>
      <c r="J20" s="18"/>
      <c r="K20" s="34"/>
      <c r="L20" s="17"/>
    </row>
    <row r="21" spans="1:12" ht="18.75">
      <c r="A21" s="21"/>
      <c r="B21" s="16"/>
      <c r="C21" s="33"/>
      <c r="D21" s="18"/>
      <c r="E21" s="25"/>
      <c r="F21" s="25"/>
      <c r="G21" s="18"/>
      <c r="H21" s="18"/>
      <c r="I21" s="18"/>
      <c r="J21" s="18"/>
      <c r="K21" s="34"/>
      <c r="L21" s="17"/>
    </row>
    <row r="22" spans="1:12" ht="18.75">
      <c r="A22" s="21"/>
      <c r="B22" s="16"/>
      <c r="C22" s="33"/>
      <c r="D22" s="18"/>
      <c r="E22" s="18"/>
      <c r="F22" s="26" t="s">
        <v>124</v>
      </c>
      <c r="G22" s="23">
        <f>SUM(G18:G21)</f>
        <v>58</v>
      </c>
      <c r="H22" s="18"/>
      <c r="I22" s="18"/>
      <c r="J22" s="18"/>
      <c r="K22" s="34"/>
      <c r="L22" s="17"/>
    </row>
    <row r="23" spans="1:12" ht="19.5" thickBot="1">
      <c r="A23" s="21"/>
      <c r="B23" s="16"/>
      <c r="C23" s="33"/>
      <c r="D23" s="18"/>
      <c r="E23" s="18"/>
      <c r="F23" s="18"/>
      <c r="G23" s="18"/>
      <c r="H23" s="18"/>
      <c r="I23" s="18"/>
      <c r="J23" s="18"/>
      <c r="K23" s="34"/>
      <c r="L23" s="17"/>
    </row>
    <row r="24" spans="1:12" ht="18.75">
      <c r="A24" s="21"/>
      <c r="B24" s="39" t="s">
        <v>221</v>
      </c>
      <c r="C24" s="40"/>
      <c r="D24" s="40"/>
      <c r="E24" s="40"/>
      <c r="F24" s="41"/>
      <c r="G24" s="18"/>
      <c r="H24" s="18"/>
      <c r="I24" s="18"/>
      <c r="J24" s="18"/>
      <c r="K24" s="34"/>
      <c r="L24" s="17"/>
    </row>
    <row r="25" spans="1:12" ht="19.5" thickBot="1">
      <c r="A25" s="21"/>
      <c r="B25" s="37" t="s">
        <v>224</v>
      </c>
      <c r="C25" s="38"/>
      <c r="D25" s="38"/>
      <c r="E25" s="24" t="s">
        <v>225</v>
      </c>
      <c r="F25" s="42"/>
      <c r="G25" s="35"/>
      <c r="H25" s="35"/>
      <c r="I25" s="35"/>
      <c r="J25" s="35"/>
      <c r="K25" s="36"/>
      <c r="L25" s="17"/>
    </row>
    <row r="26" spans="1:12" ht="19.5" thickBot="1">
      <c r="A26" s="21"/>
      <c r="B26" s="37" t="s">
        <v>276</v>
      </c>
      <c r="C26" s="38"/>
      <c r="D26" s="38"/>
      <c r="E26" s="24" t="s">
        <v>277</v>
      </c>
      <c r="F26" s="42"/>
      <c r="G26" s="22"/>
      <c r="H26" s="22"/>
      <c r="I26" s="22"/>
      <c r="J26" s="22"/>
      <c r="K26" s="22"/>
      <c r="L26" s="17"/>
    </row>
    <row r="27" spans="1:12" ht="19.5" thickBot="1">
      <c r="A27" s="21"/>
      <c r="B27" s="43" t="s">
        <v>265</v>
      </c>
      <c r="C27" s="32"/>
      <c r="D27" s="32"/>
      <c r="E27" s="44" t="s">
        <v>266</v>
      </c>
      <c r="F27" s="45"/>
      <c r="G27" s="19"/>
      <c r="H27" s="146">
        <f ca="1">NOW()</f>
        <v>43181.60895659722</v>
      </c>
      <c r="I27" s="147"/>
      <c r="J27" s="147"/>
      <c r="K27" s="148"/>
      <c r="L27" s="20"/>
    </row>
    <row r="95" spans="4:5" ht="15.75">
      <c r="D95" s="9" t="s">
        <v>199</v>
      </c>
      <c r="E95" s="10"/>
    </row>
    <row r="96" spans="4:6" ht="16.5" thickBot="1">
      <c r="D96" s="11" t="s">
        <v>200</v>
      </c>
      <c r="E96" s="12" t="s">
        <v>201</v>
      </c>
      <c r="F96" s="12" t="s">
        <v>15</v>
      </c>
    </row>
    <row r="97" spans="4:5" ht="15" thickBot="1">
      <c r="D97" s="2" t="s">
        <v>209</v>
      </c>
      <c r="E97" s="3"/>
    </row>
    <row r="98" spans="3:6" ht="14.25">
      <c r="C98">
        <v>1</v>
      </c>
      <c r="D98" s="2" t="s">
        <v>22</v>
      </c>
      <c r="E98" s="3">
        <v>11094</v>
      </c>
      <c r="F98" t="s">
        <v>0</v>
      </c>
    </row>
    <row r="99" spans="3:6" ht="14.25">
      <c r="C99">
        <v>2</v>
      </c>
      <c r="D99" s="4" t="s">
        <v>125</v>
      </c>
      <c r="E99" s="5">
        <v>10042</v>
      </c>
      <c r="F99" t="s">
        <v>0</v>
      </c>
    </row>
    <row r="100" spans="3:6" ht="14.25">
      <c r="C100">
        <v>3</v>
      </c>
      <c r="D100" s="6" t="s">
        <v>32</v>
      </c>
      <c r="E100" s="7">
        <v>10040</v>
      </c>
      <c r="F100" t="s">
        <v>0</v>
      </c>
    </row>
    <row r="101" spans="3:6" ht="14.25">
      <c r="C101">
        <v>4</v>
      </c>
      <c r="D101" s="6" t="s">
        <v>126</v>
      </c>
      <c r="E101" s="7">
        <v>10043</v>
      </c>
      <c r="F101" t="s">
        <v>0</v>
      </c>
    </row>
    <row r="102" spans="3:6" ht="14.25">
      <c r="C102">
        <v>5</v>
      </c>
      <c r="D102" s="6" t="s">
        <v>127</v>
      </c>
      <c r="E102" s="7">
        <v>10117</v>
      </c>
      <c r="F102" t="s">
        <v>0</v>
      </c>
    </row>
    <row r="103" spans="3:6" ht="14.25">
      <c r="C103">
        <v>6</v>
      </c>
      <c r="D103" s="6" t="s">
        <v>142</v>
      </c>
      <c r="E103" s="7" t="s">
        <v>143</v>
      </c>
      <c r="F103" t="s">
        <v>204</v>
      </c>
    </row>
    <row r="104" spans="3:6" ht="14.25">
      <c r="C104">
        <v>7</v>
      </c>
      <c r="D104" s="6" t="s">
        <v>33</v>
      </c>
      <c r="E104" s="7">
        <v>10044</v>
      </c>
      <c r="F104" t="s">
        <v>0</v>
      </c>
    </row>
    <row r="105" spans="3:6" ht="14.25">
      <c r="C105">
        <v>8</v>
      </c>
      <c r="D105" s="6" t="s">
        <v>35</v>
      </c>
      <c r="E105" s="7">
        <v>10044</v>
      </c>
      <c r="F105" t="s">
        <v>203</v>
      </c>
    </row>
    <row r="106" spans="3:6" ht="14.25">
      <c r="C106">
        <v>9</v>
      </c>
      <c r="D106" s="6" t="s">
        <v>36</v>
      </c>
      <c r="E106" s="7">
        <v>10128</v>
      </c>
      <c r="F106" t="s">
        <v>0</v>
      </c>
    </row>
    <row r="107" spans="3:6" ht="14.25">
      <c r="C107">
        <v>10</v>
      </c>
      <c r="D107" s="6" t="s">
        <v>247</v>
      </c>
      <c r="E107" s="7">
        <v>11278</v>
      </c>
      <c r="F107" t="s">
        <v>0</v>
      </c>
    </row>
    <row r="108" spans="3:6" ht="14.25">
      <c r="C108">
        <v>11</v>
      </c>
      <c r="D108" s="6" t="s">
        <v>38</v>
      </c>
      <c r="E108" s="7">
        <v>10045</v>
      </c>
      <c r="F108" t="s">
        <v>0</v>
      </c>
    </row>
    <row r="109" spans="3:6" ht="14.25">
      <c r="C109">
        <v>12</v>
      </c>
      <c r="D109" s="6" t="s">
        <v>135</v>
      </c>
      <c r="E109" s="7">
        <v>10045</v>
      </c>
      <c r="F109" t="s">
        <v>203</v>
      </c>
    </row>
    <row r="110" spans="3:6" ht="14.25">
      <c r="C110">
        <v>13</v>
      </c>
      <c r="D110" s="6" t="s">
        <v>145</v>
      </c>
      <c r="E110" s="7">
        <v>10137</v>
      </c>
      <c r="F110" t="s">
        <v>0</v>
      </c>
    </row>
    <row r="111" spans="3:6" ht="14.25">
      <c r="C111">
        <v>14</v>
      </c>
      <c r="D111" s="6" t="s">
        <v>146</v>
      </c>
      <c r="E111" s="7">
        <v>10115</v>
      </c>
      <c r="F111" t="s">
        <v>0</v>
      </c>
    </row>
    <row r="112" spans="3:6" ht="14.25">
      <c r="C112">
        <v>15</v>
      </c>
      <c r="D112" s="6" t="s">
        <v>39</v>
      </c>
      <c r="E112" s="7" t="s">
        <v>40</v>
      </c>
      <c r="F112" t="s">
        <v>204</v>
      </c>
    </row>
    <row r="113" spans="3:6" ht="14.25">
      <c r="C113">
        <v>16</v>
      </c>
      <c r="D113" s="6" t="s">
        <v>43</v>
      </c>
      <c r="E113" s="7">
        <v>10130</v>
      </c>
      <c r="F113" s="46" t="s">
        <v>240</v>
      </c>
    </row>
    <row r="114" spans="3:6" ht="14.25">
      <c r="C114">
        <v>17</v>
      </c>
      <c r="D114" s="6" t="s">
        <v>45</v>
      </c>
      <c r="E114" s="7">
        <v>10047</v>
      </c>
      <c r="F114" t="s">
        <v>0</v>
      </c>
    </row>
    <row r="115" spans="3:6" ht="14.25">
      <c r="C115">
        <v>18</v>
      </c>
      <c r="D115" s="6" t="s">
        <v>47</v>
      </c>
      <c r="E115" s="7">
        <v>10046</v>
      </c>
      <c r="F115" t="s">
        <v>0</v>
      </c>
    </row>
    <row r="116" spans="3:6" ht="14.25">
      <c r="C116">
        <v>19</v>
      </c>
      <c r="D116" s="6" t="s">
        <v>48</v>
      </c>
      <c r="E116" s="7">
        <v>10048</v>
      </c>
      <c r="F116" t="s">
        <v>0</v>
      </c>
    </row>
    <row r="117" spans="3:6" ht="14.25">
      <c r="C117">
        <v>20</v>
      </c>
      <c r="D117" s="6" t="s">
        <v>128</v>
      </c>
      <c r="E117" s="7">
        <v>10118</v>
      </c>
      <c r="F117" t="s">
        <v>0</v>
      </c>
    </row>
    <row r="118" spans="3:6" ht="14.25">
      <c r="C118">
        <v>21</v>
      </c>
      <c r="D118" s="6" t="s">
        <v>129</v>
      </c>
      <c r="E118" s="7">
        <v>10049</v>
      </c>
      <c r="F118" t="s">
        <v>0</v>
      </c>
    </row>
    <row r="119" spans="3:6" ht="14.25">
      <c r="C119">
        <v>22</v>
      </c>
      <c r="D119" s="6" t="s">
        <v>49</v>
      </c>
      <c r="E119" s="7">
        <v>10049</v>
      </c>
      <c r="F119" t="s">
        <v>203</v>
      </c>
    </row>
    <row r="120" spans="3:6" ht="14.25">
      <c r="C120">
        <v>23</v>
      </c>
      <c r="D120" s="6" t="s">
        <v>50</v>
      </c>
      <c r="E120" s="7">
        <v>10050</v>
      </c>
      <c r="F120" t="s">
        <v>0</v>
      </c>
    </row>
    <row r="121" spans="3:6" ht="14.25">
      <c r="C121">
        <v>24</v>
      </c>
      <c r="D121" s="6" t="s">
        <v>51</v>
      </c>
      <c r="E121" s="7" t="s">
        <v>52</v>
      </c>
      <c r="F121" t="s">
        <v>204</v>
      </c>
    </row>
    <row r="122" spans="3:6" ht="14.25">
      <c r="C122">
        <v>25</v>
      </c>
      <c r="D122" s="6" t="s">
        <v>53</v>
      </c>
      <c r="E122" s="7">
        <v>10051</v>
      </c>
      <c r="F122" t="s">
        <v>0</v>
      </c>
    </row>
    <row r="123" spans="3:6" ht="14.25">
      <c r="C123">
        <v>26</v>
      </c>
      <c r="D123" s="6" t="s">
        <v>268</v>
      </c>
      <c r="E123" s="7" t="s">
        <v>269</v>
      </c>
      <c r="F123" s="46" t="s">
        <v>204</v>
      </c>
    </row>
    <row r="124" spans="3:6" ht="14.25">
      <c r="C124">
        <v>27</v>
      </c>
      <c r="D124" s="6" t="s">
        <v>54</v>
      </c>
      <c r="E124" s="7">
        <v>10054</v>
      </c>
      <c r="F124" t="s">
        <v>0</v>
      </c>
    </row>
    <row r="125" spans="3:6" ht="14.25">
      <c r="C125">
        <v>28</v>
      </c>
      <c r="D125" s="6" t="s">
        <v>150</v>
      </c>
      <c r="E125" s="7" t="s">
        <v>151</v>
      </c>
      <c r="F125" t="s">
        <v>204</v>
      </c>
    </row>
    <row r="126" spans="3:6" ht="14.25">
      <c r="C126">
        <v>29</v>
      </c>
      <c r="D126" s="6" t="s">
        <v>55</v>
      </c>
      <c r="E126" s="7">
        <v>10055</v>
      </c>
      <c r="F126" t="s">
        <v>0</v>
      </c>
    </row>
    <row r="127" spans="3:6" ht="14.25">
      <c r="C127">
        <v>30</v>
      </c>
      <c r="D127" s="6" t="s">
        <v>136</v>
      </c>
      <c r="E127" s="7">
        <v>10055</v>
      </c>
      <c r="F127" t="s">
        <v>203</v>
      </c>
    </row>
    <row r="128" spans="3:6" ht="14.25">
      <c r="C128">
        <v>31</v>
      </c>
      <c r="D128" s="6" t="s">
        <v>56</v>
      </c>
      <c r="E128" s="7" t="s">
        <v>57</v>
      </c>
      <c r="F128" t="s">
        <v>204</v>
      </c>
    </row>
    <row r="129" spans="3:6" ht="14.25">
      <c r="C129">
        <v>32</v>
      </c>
      <c r="D129" s="6" t="s">
        <v>58</v>
      </c>
      <c r="E129" s="7">
        <v>10056</v>
      </c>
      <c r="F129" t="s">
        <v>0</v>
      </c>
    </row>
    <row r="130" spans="3:6" ht="14.25">
      <c r="C130">
        <v>33</v>
      </c>
      <c r="D130" s="6" t="s">
        <v>59</v>
      </c>
      <c r="E130" s="7">
        <v>10057</v>
      </c>
      <c r="F130" t="s">
        <v>0</v>
      </c>
    </row>
    <row r="131" spans="3:6" ht="14.25">
      <c r="C131">
        <v>34</v>
      </c>
      <c r="D131" s="6" t="s">
        <v>60</v>
      </c>
      <c r="E131" s="7">
        <v>10083</v>
      </c>
      <c r="F131" t="s">
        <v>0</v>
      </c>
    </row>
    <row r="132" spans="3:6" ht="14.25">
      <c r="C132">
        <v>35</v>
      </c>
      <c r="D132" s="6" t="s">
        <v>61</v>
      </c>
      <c r="E132" s="7">
        <v>10059</v>
      </c>
      <c r="F132" t="s">
        <v>0</v>
      </c>
    </row>
    <row r="133" spans="3:6" ht="14.25">
      <c r="C133">
        <v>36</v>
      </c>
      <c r="D133" s="6" t="s">
        <v>152</v>
      </c>
      <c r="E133" s="7" t="s">
        <v>153</v>
      </c>
      <c r="F133" t="s">
        <v>204</v>
      </c>
    </row>
    <row r="134" spans="3:6" ht="14.25">
      <c r="C134">
        <v>37</v>
      </c>
      <c r="D134" s="6" t="s">
        <v>62</v>
      </c>
      <c r="E134" s="7">
        <v>10061</v>
      </c>
      <c r="F134" t="s">
        <v>0</v>
      </c>
    </row>
    <row r="135" spans="3:6" ht="14.25">
      <c r="C135">
        <v>38</v>
      </c>
      <c r="D135" s="6" t="s">
        <v>64</v>
      </c>
      <c r="E135" s="7">
        <v>10060</v>
      </c>
      <c r="F135" t="s">
        <v>0</v>
      </c>
    </row>
    <row r="136" spans="3:6" ht="14.25">
      <c r="C136">
        <v>39</v>
      </c>
      <c r="D136" s="6" t="s">
        <v>154</v>
      </c>
      <c r="E136" s="7" t="s">
        <v>155</v>
      </c>
      <c r="F136" t="s">
        <v>204</v>
      </c>
    </row>
    <row r="137" spans="3:6" ht="14.25">
      <c r="C137">
        <v>40</v>
      </c>
      <c r="D137" s="6" t="s">
        <v>251</v>
      </c>
      <c r="E137" s="7">
        <v>10063</v>
      </c>
      <c r="F137" t="s">
        <v>0</v>
      </c>
    </row>
    <row r="138" spans="3:6" ht="14.25">
      <c r="C138">
        <v>41</v>
      </c>
      <c r="D138" s="6" t="s">
        <v>67</v>
      </c>
      <c r="E138" s="7">
        <v>10064</v>
      </c>
      <c r="F138" t="s">
        <v>0</v>
      </c>
    </row>
    <row r="139" spans="3:6" ht="14.25">
      <c r="C139">
        <v>42</v>
      </c>
      <c r="D139" s="6" t="s">
        <v>137</v>
      </c>
      <c r="E139" s="7">
        <v>10064</v>
      </c>
      <c r="F139" t="s">
        <v>203</v>
      </c>
    </row>
    <row r="140" spans="3:6" ht="14.25">
      <c r="C140">
        <v>43</v>
      </c>
      <c r="D140" s="6" t="s">
        <v>157</v>
      </c>
      <c r="E140" s="7">
        <v>10145</v>
      </c>
      <c r="F140" t="s">
        <v>0</v>
      </c>
    </row>
    <row r="141" spans="3:6" ht="14.25">
      <c r="C141">
        <v>44</v>
      </c>
      <c r="D141" s="6" t="s">
        <v>68</v>
      </c>
      <c r="E141" s="7">
        <v>10065</v>
      </c>
      <c r="F141" t="s">
        <v>0</v>
      </c>
    </row>
    <row r="142" spans="3:6" ht="14.25">
      <c r="C142">
        <v>45</v>
      </c>
      <c r="D142" s="6" t="s">
        <v>159</v>
      </c>
      <c r="E142" s="7">
        <v>10139</v>
      </c>
      <c r="F142" t="s">
        <v>0</v>
      </c>
    </row>
    <row r="143" spans="3:6" ht="14.25">
      <c r="C143">
        <v>46</v>
      </c>
      <c r="D143" s="6" t="s">
        <v>160</v>
      </c>
      <c r="E143" s="7">
        <v>10066</v>
      </c>
      <c r="F143" t="s">
        <v>0</v>
      </c>
    </row>
    <row r="144" spans="3:6" ht="14.25">
      <c r="C144">
        <v>47</v>
      </c>
      <c r="D144" s="6" t="s">
        <v>69</v>
      </c>
      <c r="E144" s="7">
        <v>10068</v>
      </c>
      <c r="F144" t="s">
        <v>0</v>
      </c>
    </row>
    <row r="145" spans="3:6" ht="14.25">
      <c r="C145">
        <v>48</v>
      </c>
      <c r="D145" s="6" t="s">
        <v>130</v>
      </c>
      <c r="E145" s="7">
        <v>10067</v>
      </c>
      <c r="F145" t="s">
        <v>0</v>
      </c>
    </row>
    <row r="146" spans="3:6" ht="14.25">
      <c r="C146">
        <v>49</v>
      </c>
      <c r="D146" s="6" t="s">
        <v>161</v>
      </c>
      <c r="E146" s="7">
        <v>10069</v>
      </c>
      <c r="F146" t="s">
        <v>0</v>
      </c>
    </row>
    <row r="147" spans="3:6" ht="14.25">
      <c r="C147">
        <v>50</v>
      </c>
      <c r="D147" s="6" t="s">
        <v>70</v>
      </c>
      <c r="E147" s="7" t="s">
        <v>71</v>
      </c>
      <c r="F147" t="s">
        <v>204</v>
      </c>
    </row>
    <row r="148" spans="3:6" ht="14.25">
      <c r="C148">
        <v>51</v>
      </c>
      <c r="D148" s="6" t="s">
        <v>138</v>
      </c>
      <c r="E148" s="7">
        <v>10131</v>
      </c>
      <c r="F148" t="s">
        <v>203</v>
      </c>
    </row>
    <row r="149" spans="3:6" ht="14.25">
      <c r="C149">
        <v>52</v>
      </c>
      <c r="D149" s="6" t="s">
        <v>72</v>
      </c>
      <c r="E149" s="7">
        <v>10131</v>
      </c>
      <c r="F149" t="s">
        <v>0</v>
      </c>
    </row>
    <row r="150" spans="3:6" ht="14.25">
      <c r="C150">
        <v>53</v>
      </c>
      <c r="D150" s="6" t="s">
        <v>162</v>
      </c>
      <c r="E150" s="7">
        <v>10146</v>
      </c>
      <c r="F150" t="s">
        <v>0</v>
      </c>
    </row>
    <row r="151" spans="3:6" ht="14.25">
      <c r="C151">
        <v>54</v>
      </c>
      <c r="D151" s="6" t="s">
        <v>73</v>
      </c>
      <c r="E151" s="7">
        <v>10121</v>
      </c>
      <c r="F151" t="s">
        <v>0</v>
      </c>
    </row>
    <row r="152" spans="3:6" ht="14.25">
      <c r="C152">
        <v>55</v>
      </c>
      <c r="D152" s="6" t="s">
        <v>74</v>
      </c>
      <c r="E152" s="7" t="s">
        <v>75</v>
      </c>
      <c r="F152" t="s">
        <v>204</v>
      </c>
    </row>
    <row r="153" spans="3:6" ht="14.25">
      <c r="C153">
        <v>56</v>
      </c>
      <c r="D153" s="6" t="s">
        <v>76</v>
      </c>
      <c r="E153" s="7" t="s">
        <v>77</v>
      </c>
      <c r="F153" t="s">
        <v>204</v>
      </c>
    </row>
    <row r="154" spans="3:6" ht="14.25">
      <c r="C154">
        <v>57</v>
      </c>
      <c r="D154" s="6" t="s">
        <v>78</v>
      </c>
      <c r="E154" s="7">
        <v>10071</v>
      </c>
      <c r="F154" t="s">
        <v>0</v>
      </c>
    </row>
    <row r="155" spans="3:6" ht="14.25">
      <c r="C155">
        <v>58</v>
      </c>
      <c r="D155" s="6" t="s">
        <v>163</v>
      </c>
      <c r="E155" s="7">
        <v>10072</v>
      </c>
      <c r="F155" t="s">
        <v>0</v>
      </c>
    </row>
    <row r="156" spans="3:6" ht="14.25">
      <c r="C156">
        <v>59</v>
      </c>
      <c r="D156" s="6" t="s">
        <v>79</v>
      </c>
      <c r="E156" s="7">
        <v>10073</v>
      </c>
      <c r="F156" t="s">
        <v>0</v>
      </c>
    </row>
    <row r="157" spans="3:6" ht="14.25">
      <c r="C157">
        <v>60</v>
      </c>
      <c r="D157" s="6" t="s">
        <v>80</v>
      </c>
      <c r="E157" s="7" t="s">
        <v>81</v>
      </c>
      <c r="F157" t="s">
        <v>204</v>
      </c>
    </row>
    <row r="158" spans="3:6" ht="14.25">
      <c r="C158">
        <v>61</v>
      </c>
      <c r="D158" s="6" t="s">
        <v>164</v>
      </c>
      <c r="E158" s="7">
        <v>10122</v>
      </c>
      <c r="F158" t="s">
        <v>203</v>
      </c>
    </row>
    <row r="159" spans="3:6" ht="14.25">
      <c r="C159">
        <v>62</v>
      </c>
      <c r="D159" s="6" t="s">
        <v>165</v>
      </c>
      <c r="E159" s="7" t="s">
        <v>166</v>
      </c>
      <c r="F159" t="s">
        <v>204</v>
      </c>
    </row>
    <row r="160" spans="3:6" ht="14.25">
      <c r="C160">
        <v>63</v>
      </c>
      <c r="D160" s="6" t="s">
        <v>83</v>
      </c>
      <c r="E160" s="7">
        <v>11174</v>
      </c>
      <c r="F160" t="s">
        <v>0</v>
      </c>
    </row>
    <row r="161" spans="3:6" ht="14.25">
      <c r="C161">
        <v>64</v>
      </c>
      <c r="D161" s="6" t="s">
        <v>167</v>
      </c>
      <c r="E161" s="7">
        <v>10074</v>
      </c>
      <c r="F161" t="s">
        <v>0</v>
      </c>
    </row>
    <row r="162" spans="3:6" ht="14.25">
      <c r="C162">
        <v>65</v>
      </c>
      <c r="D162" s="6" t="s">
        <v>84</v>
      </c>
      <c r="E162" s="7">
        <v>10075</v>
      </c>
      <c r="F162" t="s">
        <v>0</v>
      </c>
    </row>
    <row r="163" spans="3:6" ht="14.25">
      <c r="C163">
        <v>66</v>
      </c>
      <c r="D163" s="6" t="s">
        <v>85</v>
      </c>
      <c r="E163" s="7">
        <v>10159</v>
      </c>
      <c r="F163" t="s">
        <v>0</v>
      </c>
    </row>
    <row r="164" spans="3:6" ht="14.25">
      <c r="C164">
        <v>67</v>
      </c>
      <c r="D164" s="6" t="s">
        <v>86</v>
      </c>
      <c r="E164" s="7">
        <v>11093</v>
      </c>
      <c r="F164" t="s">
        <v>0</v>
      </c>
    </row>
    <row r="165" spans="3:6" ht="14.25">
      <c r="C165">
        <v>68</v>
      </c>
      <c r="D165" s="6" t="s">
        <v>87</v>
      </c>
      <c r="E165" s="7">
        <v>10125</v>
      </c>
      <c r="F165" t="s">
        <v>0</v>
      </c>
    </row>
    <row r="166" spans="3:6" ht="14.25">
      <c r="C166">
        <v>69</v>
      </c>
      <c r="D166" s="6" t="s">
        <v>88</v>
      </c>
      <c r="E166" s="7">
        <v>10126</v>
      </c>
      <c r="F166" t="s">
        <v>0</v>
      </c>
    </row>
    <row r="167" spans="3:6" ht="14.25">
      <c r="C167">
        <v>70</v>
      </c>
      <c r="D167" s="6" t="s">
        <v>272</v>
      </c>
      <c r="E167" s="7">
        <v>11513</v>
      </c>
      <c r="F167" t="s">
        <v>0</v>
      </c>
    </row>
    <row r="168" spans="3:6" ht="14.25">
      <c r="C168">
        <v>71</v>
      </c>
      <c r="D168" s="6" t="s">
        <v>89</v>
      </c>
      <c r="E168" s="7">
        <v>10114</v>
      </c>
      <c r="F168" t="s">
        <v>0</v>
      </c>
    </row>
    <row r="169" spans="3:6" ht="14.25">
      <c r="C169">
        <v>72</v>
      </c>
      <c r="D169" s="6" t="s">
        <v>168</v>
      </c>
      <c r="E169" s="7" t="s">
        <v>267</v>
      </c>
      <c r="F169" t="s">
        <v>0</v>
      </c>
    </row>
    <row r="170" spans="3:6" ht="14.25">
      <c r="C170">
        <v>73</v>
      </c>
      <c r="D170" s="6" t="s">
        <v>131</v>
      </c>
      <c r="E170" s="7">
        <v>10078</v>
      </c>
      <c r="F170" t="s">
        <v>0</v>
      </c>
    </row>
    <row r="171" spans="3:6" ht="14.25">
      <c r="C171">
        <v>74</v>
      </c>
      <c r="D171" s="6" t="s">
        <v>169</v>
      </c>
      <c r="E171" s="7">
        <v>10079</v>
      </c>
      <c r="F171" t="s">
        <v>0</v>
      </c>
    </row>
    <row r="172" spans="3:6" ht="14.25">
      <c r="C172">
        <v>75</v>
      </c>
      <c r="D172" s="6" t="s">
        <v>91</v>
      </c>
      <c r="E172" s="7">
        <v>10081</v>
      </c>
      <c r="F172" t="s">
        <v>0</v>
      </c>
    </row>
    <row r="173" spans="3:6" ht="14.25">
      <c r="C173">
        <v>76</v>
      </c>
      <c r="D173" s="6" t="s">
        <v>92</v>
      </c>
      <c r="E173" s="7">
        <v>10080</v>
      </c>
      <c r="F173" t="s">
        <v>0</v>
      </c>
    </row>
    <row r="174" spans="3:6" ht="14.25">
      <c r="C174">
        <v>77</v>
      </c>
      <c r="D174" s="6" t="s">
        <v>93</v>
      </c>
      <c r="E174" s="7">
        <v>10132</v>
      </c>
      <c r="F174" t="s">
        <v>0</v>
      </c>
    </row>
    <row r="175" spans="3:6" ht="14.25">
      <c r="C175">
        <v>78</v>
      </c>
      <c r="D175" s="6" t="s">
        <v>270</v>
      </c>
      <c r="E175" s="7">
        <v>10185</v>
      </c>
      <c r="F175" t="s">
        <v>274</v>
      </c>
    </row>
    <row r="176" spans="3:6" ht="14.25">
      <c r="C176">
        <v>79</v>
      </c>
      <c r="D176" s="6" t="s">
        <v>170</v>
      </c>
      <c r="E176" s="7">
        <v>10082</v>
      </c>
      <c r="F176" t="s">
        <v>0</v>
      </c>
    </row>
    <row r="177" spans="3:6" ht="14.25">
      <c r="C177">
        <v>80</v>
      </c>
      <c r="D177" s="6" t="s">
        <v>134</v>
      </c>
      <c r="E177" s="7">
        <v>10157</v>
      </c>
      <c r="F177" t="s">
        <v>0</v>
      </c>
    </row>
    <row r="178" spans="3:6" ht="14.25">
      <c r="C178">
        <v>81</v>
      </c>
      <c r="D178" s="6" t="s">
        <v>171</v>
      </c>
      <c r="E178" s="7">
        <v>10156</v>
      </c>
      <c r="F178" t="s">
        <v>0</v>
      </c>
    </row>
    <row r="179" spans="3:6" ht="14.25">
      <c r="C179">
        <v>82</v>
      </c>
      <c r="D179" s="6" t="s">
        <v>94</v>
      </c>
      <c r="E179" s="7">
        <v>10158</v>
      </c>
      <c r="F179" t="s">
        <v>0</v>
      </c>
    </row>
    <row r="180" spans="3:6" ht="14.25">
      <c r="C180">
        <v>83</v>
      </c>
      <c r="D180" s="6" t="s">
        <v>172</v>
      </c>
      <c r="E180" s="7">
        <v>10127</v>
      </c>
      <c r="F180" t="s">
        <v>0</v>
      </c>
    </row>
    <row r="181" spans="3:6" ht="14.25">
      <c r="C181">
        <v>84</v>
      </c>
      <c r="D181" s="6" t="s">
        <v>96</v>
      </c>
      <c r="E181" s="7">
        <v>10084</v>
      </c>
      <c r="F181" t="s">
        <v>0</v>
      </c>
    </row>
    <row r="182" spans="3:6" ht="14.25">
      <c r="C182">
        <v>85</v>
      </c>
      <c r="D182" s="6" t="s">
        <v>97</v>
      </c>
      <c r="E182" s="7">
        <v>10085</v>
      </c>
      <c r="F182" t="s">
        <v>0</v>
      </c>
    </row>
    <row r="183" spans="3:6" ht="14.25">
      <c r="C183">
        <v>86</v>
      </c>
      <c r="D183" s="6" t="s">
        <v>99</v>
      </c>
      <c r="E183" s="7">
        <v>10129</v>
      </c>
      <c r="F183" t="s">
        <v>0</v>
      </c>
    </row>
    <row r="184" spans="3:6" ht="14.25">
      <c r="C184">
        <v>87</v>
      </c>
      <c r="D184" s="6" t="s">
        <v>100</v>
      </c>
      <c r="E184" s="7" t="s">
        <v>101</v>
      </c>
      <c r="F184" t="s">
        <v>204</v>
      </c>
    </row>
    <row r="185" spans="3:6" ht="14.25">
      <c r="C185">
        <v>88</v>
      </c>
      <c r="D185" s="6" t="s">
        <v>174</v>
      </c>
      <c r="E185" s="7">
        <v>10120</v>
      </c>
      <c r="F185" t="s">
        <v>203</v>
      </c>
    </row>
    <row r="186" spans="3:6" ht="14.25">
      <c r="C186">
        <v>89</v>
      </c>
      <c r="D186" s="4" t="s">
        <v>260</v>
      </c>
      <c r="E186" s="5">
        <v>10188</v>
      </c>
      <c r="F186" t="s">
        <v>274</v>
      </c>
    </row>
    <row r="187" spans="3:6" ht="14.25">
      <c r="C187">
        <v>90</v>
      </c>
      <c r="D187" s="4" t="s">
        <v>175</v>
      </c>
      <c r="E187" s="5" t="s">
        <v>176</v>
      </c>
      <c r="F187" t="s">
        <v>204</v>
      </c>
    </row>
    <row r="188" spans="3:6" ht="14.25">
      <c r="C188">
        <v>91</v>
      </c>
      <c r="D188" s="4" t="s">
        <v>261</v>
      </c>
      <c r="E188" s="5" t="s">
        <v>103</v>
      </c>
      <c r="F188" t="s">
        <v>204</v>
      </c>
    </row>
    <row r="189" spans="3:6" ht="14.25">
      <c r="C189">
        <v>92</v>
      </c>
      <c r="D189" s="4" t="s">
        <v>177</v>
      </c>
      <c r="E189" s="5">
        <v>10119</v>
      </c>
      <c r="F189" t="s">
        <v>0</v>
      </c>
    </row>
    <row r="190" spans="3:6" ht="14.25">
      <c r="C190">
        <v>93</v>
      </c>
      <c r="D190" s="4" t="s">
        <v>104</v>
      </c>
      <c r="E190" s="5">
        <v>10086</v>
      </c>
      <c r="F190" t="s">
        <v>0</v>
      </c>
    </row>
    <row r="191" spans="3:6" ht="14.25">
      <c r="C191">
        <v>94</v>
      </c>
      <c r="D191" s="8" t="s">
        <v>111</v>
      </c>
      <c r="E191" s="5" t="s">
        <v>112</v>
      </c>
      <c r="F191" t="s">
        <v>204</v>
      </c>
    </row>
    <row r="192" spans="3:6" ht="14.25">
      <c r="C192">
        <v>95</v>
      </c>
      <c r="D192" s="4" t="s">
        <v>105</v>
      </c>
      <c r="E192" s="5">
        <v>10112</v>
      </c>
      <c r="F192" t="s">
        <v>0</v>
      </c>
    </row>
    <row r="193" spans="3:6" ht="14.25">
      <c r="C193">
        <v>96</v>
      </c>
      <c r="D193" s="4" t="s">
        <v>202</v>
      </c>
      <c r="E193" s="5">
        <v>11381</v>
      </c>
      <c r="F193" t="s">
        <v>0</v>
      </c>
    </row>
    <row r="194" spans="3:6" ht="14.25">
      <c r="C194">
        <v>97</v>
      </c>
      <c r="D194" s="4" t="s">
        <v>178</v>
      </c>
      <c r="E194" s="5">
        <v>10110</v>
      </c>
      <c r="F194" t="s">
        <v>0</v>
      </c>
    </row>
    <row r="195" spans="3:6" ht="14.25">
      <c r="C195">
        <v>98</v>
      </c>
      <c r="D195" s="4" t="s">
        <v>179</v>
      </c>
      <c r="E195" s="5">
        <v>10087</v>
      </c>
      <c r="F195" t="s">
        <v>0</v>
      </c>
    </row>
    <row r="196" spans="3:6" ht="14.25">
      <c r="C196">
        <v>99</v>
      </c>
      <c r="D196" s="4" t="s">
        <v>106</v>
      </c>
      <c r="E196" s="5">
        <v>10099</v>
      </c>
      <c r="F196" t="s">
        <v>0</v>
      </c>
    </row>
    <row r="197" spans="3:6" ht="14.25">
      <c r="C197">
        <v>100</v>
      </c>
      <c r="D197" s="4" t="s">
        <v>180</v>
      </c>
      <c r="E197" s="5">
        <v>10088</v>
      </c>
      <c r="F197" t="s">
        <v>0</v>
      </c>
    </row>
    <row r="198" spans="3:6" ht="14.25">
      <c r="C198">
        <v>101</v>
      </c>
      <c r="D198" s="4" t="s">
        <v>181</v>
      </c>
      <c r="E198" s="5">
        <v>10142</v>
      </c>
      <c r="F198" t="s">
        <v>0</v>
      </c>
    </row>
    <row r="199" spans="3:6" ht="14.25">
      <c r="C199">
        <v>102</v>
      </c>
      <c r="D199" s="4" t="s">
        <v>107</v>
      </c>
      <c r="E199" s="5">
        <v>10089</v>
      </c>
      <c r="F199" t="s">
        <v>0</v>
      </c>
    </row>
    <row r="200" spans="3:6" ht="14.25">
      <c r="C200">
        <v>103</v>
      </c>
      <c r="D200" s="4" t="s">
        <v>108</v>
      </c>
      <c r="E200" s="5">
        <v>10116</v>
      </c>
      <c r="F200" t="s">
        <v>0</v>
      </c>
    </row>
    <row r="201" spans="3:6" ht="14.25">
      <c r="C201">
        <v>104</v>
      </c>
      <c r="D201" s="4" t="s">
        <v>248</v>
      </c>
      <c r="E201" s="5">
        <v>10107</v>
      </c>
      <c r="F201" t="s">
        <v>0</v>
      </c>
    </row>
    <row r="202" spans="3:6" ht="14.25">
      <c r="C202">
        <v>105</v>
      </c>
      <c r="D202" s="4" t="s">
        <v>183</v>
      </c>
      <c r="E202" s="5">
        <v>10133</v>
      </c>
      <c r="F202" t="s">
        <v>203</v>
      </c>
    </row>
    <row r="203" spans="3:6" ht="14.25">
      <c r="C203">
        <v>106</v>
      </c>
      <c r="D203" s="4" t="s">
        <v>184</v>
      </c>
      <c r="E203" s="5">
        <v>10133</v>
      </c>
      <c r="F203" t="s">
        <v>0</v>
      </c>
    </row>
    <row r="204" spans="3:6" ht="14.25">
      <c r="C204">
        <v>107</v>
      </c>
      <c r="D204" s="4" t="s">
        <v>185</v>
      </c>
      <c r="E204" s="5">
        <v>10698</v>
      </c>
      <c r="F204" t="s">
        <v>0</v>
      </c>
    </row>
    <row r="205" spans="3:6" ht="14.25">
      <c r="C205">
        <v>108</v>
      </c>
      <c r="D205" s="4" t="s">
        <v>186</v>
      </c>
      <c r="E205" s="5">
        <v>10093</v>
      </c>
      <c r="F205" t="s">
        <v>0</v>
      </c>
    </row>
    <row r="206" spans="3:6" ht="14.25">
      <c r="C206">
        <v>109</v>
      </c>
      <c r="D206" s="4" t="s">
        <v>187</v>
      </c>
      <c r="E206" s="5">
        <v>10143</v>
      </c>
      <c r="F206" t="s">
        <v>0</v>
      </c>
    </row>
    <row r="207" spans="3:6" ht="14.25">
      <c r="C207">
        <v>110</v>
      </c>
      <c r="D207" s="4" t="s">
        <v>188</v>
      </c>
      <c r="E207" s="5">
        <v>10092</v>
      </c>
      <c r="F207" t="s">
        <v>0</v>
      </c>
    </row>
    <row r="208" spans="3:6" ht="14.25">
      <c r="C208">
        <v>111</v>
      </c>
      <c r="D208" s="4" t="s">
        <v>189</v>
      </c>
      <c r="E208" s="5">
        <v>10148</v>
      </c>
      <c r="F208" t="s">
        <v>0</v>
      </c>
    </row>
    <row r="209" spans="3:6" ht="14.25">
      <c r="C209">
        <v>112</v>
      </c>
      <c r="D209" s="4" t="s">
        <v>190</v>
      </c>
      <c r="E209" s="5">
        <v>10094</v>
      </c>
      <c r="F209" t="s">
        <v>0</v>
      </c>
    </row>
    <row r="210" spans="3:6" ht="14.25">
      <c r="C210">
        <v>113</v>
      </c>
      <c r="D210" s="4" t="s">
        <v>191</v>
      </c>
      <c r="E210" s="5">
        <v>10095</v>
      </c>
      <c r="F210" t="s">
        <v>0</v>
      </c>
    </row>
    <row r="211" spans="3:6" ht="14.25">
      <c r="C211">
        <v>114</v>
      </c>
      <c r="D211" s="4" t="s">
        <v>192</v>
      </c>
      <c r="E211" s="5">
        <v>10108</v>
      </c>
      <c r="F211" t="s">
        <v>0</v>
      </c>
    </row>
    <row r="212" spans="3:6" ht="14.25">
      <c r="C212">
        <v>115</v>
      </c>
      <c r="D212" s="4" t="s">
        <v>193</v>
      </c>
      <c r="E212" s="5">
        <v>10096</v>
      </c>
      <c r="F212" t="s">
        <v>0</v>
      </c>
    </row>
    <row r="213" spans="3:6" ht="14.25">
      <c r="C213">
        <v>116</v>
      </c>
      <c r="D213" s="4" t="s">
        <v>109</v>
      </c>
      <c r="E213" s="5">
        <v>10098</v>
      </c>
      <c r="F213" t="s">
        <v>0</v>
      </c>
    </row>
    <row r="214" spans="3:6" ht="14.25">
      <c r="C214">
        <v>117</v>
      </c>
      <c r="D214" s="4" t="s">
        <v>110</v>
      </c>
      <c r="E214" s="5">
        <v>10097</v>
      </c>
      <c r="F214" t="s">
        <v>0</v>
      </c>
    </row>
    <row r="215" spans="3:6" ht="14.25">
      <c r="C215">
        <v>118</v>
      </c>
      <c r="D215" s="4" t="s">
        <v>132</v>
      </c>
      <c r="E215" s="5">
        <v>10100</v>
      </c>
      <c r="F215" t="s">
        <v>0</v>
      </c>
    </row>
    <row r="216" spans="3:6" ht="14.25">
      <c r="C216">
        <v>119</v>
      </c>
      <c r="D216" s="4" t="s">
        <v>113</v>
      </c>
      <c r="E216" s="5">
        <v>10101</v>
      </c>
      <c r="F216" t="s">
        <v>0</v>
      </c>
    </row>
    <row r="217" spans="3:6" ht="14.25">
      <c r="C217">
        <v>120</v>
      </c>
      <c r="D217" s="4" t="s">
        <v>139</v>
      </c>
      <c r="E217" s="5">
        <v>10103</v>
      </c>
      <c r="F217" t="s">
        <v>203</v>
      </c>
    </row>
    <row r="218" spans="3:6" ht="14.25">
      <c r="C218">
        <v>121</v>
      </c>
      <c r="D218" s="4" t="s">
        <v>262</v>
      </c>
      <c r="E218" s="5">
        <v>10103</v>
      </c>
      <c r="F218" t="s">
        <v>0</v>
      </c>
    </row>
    <row r="219" spans="3:6" ht="14.25">
      <c r="C219">
        <v>122</v>
      </c>
      <c r="D219" s="4" t="s">
        <v>194</v>
      </c>
      <c r="E219" s="5">
        <v>10124</v>
      </c>
      <c r="F219" t="s">
        <v>0</v>
      </c>
    </row>
    <row r="220" spans="3:6" ht="14.25">
      <c r="C220">
        <v>123</v>
      </c>
      <c r="D220" s="4" t="s">
        <v>195</v>
      </c>
      <c r="E220" s="5">
        <v>10144</v>
      </c>
      <c r="F220" t="s">
        <v>0</v>
      </c>
    </row>
    <row r="221" spans="3:6" ht="14.25">
      <c r="C221">
        <v>124</v>
      </c>
      <c r="D221" s="4" t="s">
        <v>115</v>
      </c>
      <c r="E221" s="5">
        <v>10105</v>
      </c>
      <c r="F221" t="s">
        <v>0</v>
      </c>
    </row>
    <row r="222" spans="3:6" ht="14.25">
      <c r="C222">
        <v>125</v>
      </c>
      <c r="D222" s="4" t="s">
        <v>116</v>
      </c>
      <c r="E222" s="5">
        <v>10123</v>
      </c>
      <c r="F222" t="s">
        <v>0</v>
      </c>
    </row>
    <row r="223" spans="3:6" ht="14.25">
      <c r="C223">
        <v>126</v>
      </c>
      <c r="D223" s="4" t="s">
        <v>117</v>
      </c>
      <c r="E223" s="5">
        <v>10109</v>
      </c>
      <c r="F223" t="s">
        <v>0</v>
      </c>
    </row>
    <row r="224" spans="4:5" ht="12.75">
      <c r="D224" s="13"/>
      <c r="E224" s="10"/>
    </row>
    <row r="225" spans="4:5" ht="12.75">
      <c r="D225" s="13"/>
      <c r="E225" s="10"/>
    </row>
    <row r="226" spans="4:5" ht="12.75">
      <c r="D226" s="13"/>
      <c r="E226" s="10"/>
    </row>
  </sheetData>
  <sheetProtection/>
  <mergeCells count="5">
    <mergeCell ref="C2:K2"/>
    <mergeCell ref="F3:H3"/>
    <mergeCell ref="D8:E9"/>
    <mergeCell ref="H8:J9"/>
    <mergeCell ref="H27:K27"/>
  </mergeCells>
  <dataValidations count="1">
    <dataValidation type="list" allowBlank="1" showInputMessage="1" showErrorMessage="1" sqref="D8 B8">
      <formula1>$D$97:$D$224</formula1>
    </dataValidation>
  </dataValidations>
  <hyperlinks>
    <hyperlink ref="E25" r:id="rId1" display="nicole.gibson@barnet.gov.uk"/>
    <hyperlink ref="E26" r:id="rId2" display="priscilla.williams@barnet.gov.uk"/>
    <hyperlink ref="E27" r:id="rId3" display="claudette.james@barnet.gov.uk"/>
  </hyperlinks>
  <printOptions/>
  <pageMargins left="0.11811023622047245" right="0.11811023622047245" top="0.35433070866141736" bottom="0.5511811023622047" header="0.31496062992125984" footer="0.11811023622047245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56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3.00390625" style="0" customWidth="1"/>
    <col min="2" max="2" width="11.7109375" style="70" customWidth="1"/>
    <col min="3" max="3" width="17.8515625" style="0" customWidth="1"/>
    <col min="4" max="4" width="13.00390625" style="70" customWidth="1"/>
    <col min="5" max="5" width="12.00390625" style="70" customWidth="1"/>
    <col min="6" max="8" width="9.140625" style="70" customWidth="1"/>
    <col min="9" max="9" width="8.421875" style="70" customWidth="1"/>
    <col min="10" max="10" width="7.7109375" style="0" customWidth="1"/>
    <col min="11" max="11" width="10.421875" style="0" customWidth="1"/>
    <col min="14" max="14" width="33.28125" style="0" customWidth="1"/>
    <col min="15" max="15" width="9.140625" style="70" customWidth="1"/>
  </cols>
  <sheetData>
    <row r="1" spans="2:15" s="27" customFormat="1" ht="12.75">
      <c r="B1" s="67"/>
      <c r="D1" s="67"/>
      <c r="E1" s="67"/>
      <c r="F1" s="67"/>
      <c r="G1" s="67"/>
      <c r="H1" s="67"/>
      <c r="I1" s="67"/>
      <c r="O1" s="67"/>
    </row>
    <row r="2" spans="2:15" s="27" customFormat="1" ht="13.5" thickBot="1">
      <c r="B2" s="67"/>
      <c r="D2" s="67"/>
      <c r="E2" s="67"/>
      <c r="F2" s="68"/>
      <c r="G2" s="68"/>
      <c r="H2" s="68"/>
      <c r="I2" s="68"/>
      <c r="J2" s="30"/>
      <c r="K2" s="30"/>
      <c r="O2" s="67"/>
    </row>
    <row r="3" spans="2:17" ht="18.75" thickBot="1">
      <c r="B3" s="79"/>
      <c r="C3" s="79"/>
      <c r="D3" s="79"/>
      <c r="F3" s="158" t="s">
        <v>286</v>
      </c>
      <c r="G3" s="159"/>
      <c r="H3" s="159"/>
      <c r="I3" s="159"/>
      <c r="J3" s="159"/>
      <c r="K3" s="160"/>
      <c r="L3" s="27"/>
      <c r="M3" s="27"/>
      <c r="N3" s="79"/>
      <c r="O3" s="80"/>
      <c r="P3" s="27"/>
      <c r="Q3" s="27"/>
    </row>
    <row r="4" spans="1:17" ht="30" customHeight="1">
      <c r="A4" s="1"/>
      <c r="B4" s="66" t="s">
        <v>220</v>
      </c>
      <c r="C4" s="72">
        <f>SUMIF(M15:M50,"&lt;&gt;#n/a")</f>
        <v>0</v>
      </c>
      <c r="D4" s="73"/>
      <c r="E4" s="69"/>
      <c r="F4" s="161"/>
      <c r="G4" s="162"/>
      <c r="H4" s="162"/>
      <c r="I4" s="162"/>
      <c r="J4" s="162"/>
      <c r="K4" s="163"/>
      <c r="L4" s="29"/>
      <c r="M4" s="27"/>
      <c r="N4" s="27"/>
      <c r="O4" s="67"/>
      <c r="P4" s="27"/>
      <c r="Q4" s="27"/>
    </row>
    <row r="5" spans="1:17" ht="13.5" thickBot="1">
      <c r="A5" s="27"/>
      <c r="B5" s="69"/>
      <c r="C5" s="75" t="s">
        <v>197</v>
      </c>
      <c r="D5" s="75" t="s">
        <v>198</v>
      </c>
      <c r="E5" s="81"/>
      <c r="F5" s="164"/>
      <c r="G5" s="165"/>
      <c r="H5" s="165"/>
      <c r="I5" s="165"/>
      <c r="J5" s="165"/>
      <c r="K5" s="166"/>
      <c r="L5" s="29"/>
      <c r="M5" s="27"/>
      <c r="N5" s="27"/>
      <c r="O5" s="67"/>
      <c r="P5" s="27"/>
      <c r="Q5" s="27"/>
    </row>
    <row r="6" spans="2:15" s="27" customFormat="1" ht="12.75">
      <c r="B6" s="69"/>
      <c r="C6" s="74">
        <f>SUMIF(O15:O54,C5,M15:M54)</f>
        <v>0</v>
      </c>
      <c r="D6" s="74">
        <f>SUMIF(O15:O54,D5,M15:M54)</f>
        <v>0</v>
      </c>
      <c r="E6" s="71"/>
      <c r="F6" s="67"/>
      <c r="G6" s="67"/>
      <c r="H6" s="67"/>
      <c r="I6" s="67"/>
      <c r="O6" s="67"/>
    </row>
    <row r="7" spans="2:15" s="27" customFormat="1" ht="12.75" customHeight="1" thickBot="1">
      <c r="B7" s="68"/>
      <c r="C7" s="30"/>
      <c r="D7" s="68"/>
      <c r="E7" s="67"/>
      <c r="F7" s="67"/>
      <c r="G7" s="67"/>
      <c r="H7" s="67"/>
      <c r="I7" s="67"/>
      <c r="O7" s="67"/>
    </row>
    <row r="8" spans="1:17" ht="25.5">
      <c r="A8" s="28"/>
      <c r="B8" s="77" t="s">
        <v>208</v>
      </c>
      <c r="C8" s="167" t="str">
        <f>Summary!D8</f>
        <v>Please Choose School from List</v>
      </c>
      <c r="D8" s="168"/>
      <c r="E8" s="83" t="s">
        <v>207</v>
      </c>
      <c r="F8" s="82" t="e">
        <f>+Summary!H8</f>
        <v>#N/A</v>
      </c>
      <c r="G8" s="67"/>
      <c r="H8" s="67"/>
      <c r="I8" s="67"/>
      <c r="J8" s="82" t="s">
        <v>206</v>
      </c>
      <c r="K8" s="117" t="e">
        <f>VLOOKUP(C8,'School List'!B5:D129,3,0)</f>
        <v>#N/A</v>
      </c>
      <c r="L8" s="27"/>
      <c r="M8" s="27"/>
      <c r="N8" s="27"/>
      <c r="O8" s="67"/>
      <c r="P8" s="27"/>
      <c r="Q8" s="27"/>
    </row>
    <row r="9" spans="2:15" s="27" customFormat="1" ht="13.5" thickBot="1">
      <c r="B9" s="69"/>
      <c r="C9" s="169"/>
      <c r="D9" s="170"/>
      <c r="E9" s="71"/>
      <c r="F9" s="67"/>
      <c r="G9" s="67"/>
      <c r="H9" s="67"/>
      <c r="I9" s="67"/>
      <c r="O9" s="67"/>
    </row>
    <row r="10" spans="2:15" s="27" customFormat="1" ht="8.25" customHeight="1">
      <c r="B10" s="68"/>
      <c r="C10" s="30"/>
      <c r="D10" s="68"/>
      <c r="E10" s="68"/>
      <c r="F10" s="68"/>
      <c r="G10" s="68"/>
      <c r="H10" s="68"/>
      <c r="I10" s="68"/>
      <c r="J10" s="30"/>
      <c r="K10" s="30"/>
      <c r="L10" s="30"/>
      <c r="M10" s="30"/>
      <c r="N10" s="30"/>
      <c r="O10" s="68"/>
    </row>
    <row r="11" spans="2:15" ht="12.75">
      <c r="B11" s="149"/>
      <c r="C11" s="84"/>
      <c r="D11" s="152" t="s">
        <v>231</v>
      </c>
      <c r="E11" s="152" t="s">
        <v>229</v>
      </c>
      <c r="F11" s="152" t="s">
        <v>232</v>
      </c>
      <c r="G11" s="152" t="s">
        <v>233</v>
      </c>
      <c r="H11" s="152" t="s">
        <v>234</v>
      </c>
      <c r="I11" s="152" t="s">
        <v>235</v>
      </c>
      <c r="J11" s="152" t="s">
        <v>236</v>
      </c>
      <c r="K11" s="155" t="s">
        <v>214</v>
      </c>
      <c r="L11" s="152" t="s">
        <v>237</v>
      </c>
      <c r="M11" s="152" t="s">
        <v>238</v>
      </c>
      <c r="N11" s="84"/>
      <c r="O11" s="152" t="s">
        <v>239</v>
      </c>
    </row>
    <row r="12" spans="2:15" ht="12.75">
      <c r="B12" s="150"/>
      <c r="C12" s="64"/>
      <c r="D12" s="171"/>
      <c r="E12" s="153"/>
      <c r="F12" s="153" t="s">
        <v>215</v>
      </c>
      <c r="G12" s="153"/>
      <c r="H12" s="153"/>
      <c r="I12" s="153"/>
      <c r="J12" s="153" t="s">
        <v>217</v>
      </c>
      <c r="K12" s="156"/>
      <c r="L12" s="153"/>
      <c r="M12" s="153"/>
      <c r="N12" s="64"/>
      <c r="O12" s="153"/>
    </row>
    <row r="13" spans="2:15" ht="27" customHeight="1">
      <c r="B13" s="151"/>
      <c r="C13" s="65" t="s">
        <v>213</v>
      </c>
      <c r="D13" s="172"/>
      <c r="E13" s="154"/>
      <c r="F13" s="154" t="s">
        <v>216</v>
      </c>
      <c r="G13" s="154"/>
      <c r="H13" s="154"/>
      <c r="I13" s="154"/>
      <c r="J13" s="154" t="s">
        <v>218</v>
      </c>
      <c r="K13" s="157"/>
      <c r="L13" s="154"/>
      <c r="M13" s="154"/>
      <c r="N13" s="65" t="s">
        <v>219</v>
      </c>
      <c r="O13" s="154" t="s">
        <v>230</v>
      </c>
    </row>
    <row r="15" ht="12.75">
      <c r="A15">
        <v>1</v>
      </c>
    </row>
    <row r="16" ht="12.75">
      <c r="A16">
        <v>2</v>
      </c>
    </row>
    <row r="17" ht="12.75">
      <c r="A17">
        <v>3</v>
      </c>
    </row>
    <row r="18" ht="12.75">
      <c r="A18">
        <v>4</v>
      </c>
    </row>
    <row r="19" ht="12.75">
      <c r="A19">
        <v>5</v>
      </c>
    </row>
    <row r="20" ht="12.75">
      <c r="A20">
        <v>6</v>
      </c>
    </row>
    <row r="21" ht="12.75">
      <c r="A21">
        <v>7</v>
      </c>
    </row>
    <row r="22" ht="12.75">
      <c r="A22">
        <v>8</v>
      </c>
    </row>
    <row r="23" ht="12.75">
      <c r="A23">
        <v>9</v>
      </c>
    </row>
    <row r="24" ht="12.75">
      <c r="A24">
        <v>10</v>
      </c>
    </row>
    <row r="25" ht="12.75">
      <c r="A25">
        <v>11</v>
      </c>
    </row>
    <row r="26" ht="12.75">
      <c r="A26">
        <v>12</v>
      </c>
    </row>
    <row r="27" ht="12.75">
      <c r="A27">
        <v>13</v>
      </c>
    </row>
    <row r="28" ht="12.75">
      <c r="A28">
        <v>14</v>
      </c>
    </row>
    <row r="29" ht="12.75">
      <c r="A29">
        <v>15</v>
      </c>
    </row>
    <row r="30" ht="12.75">
      <c r="A30">
        <v>16</v>
      </c>
    </row>
    <row r="31" ht="12.75">
      <c r="A31">
        <v>17</v>
      </c>
    </row>
    <row r="32" ht="12.75">
      <c r="A32">
        <v>18</v>
      </c>
    </row>
    <row r="33" ht="12.75">
      <c r="A33">
        <v>19</v>
      </c>
    </row>
    <row r="34" ht="12.75">
      <c r="A34">
        <v>20</v>
      </c>
    </row>
    <row r="35" ht="12.75">
      <c r="A35">
        <v>21</v>
      </c>
    </row>
    <row r="36" ht="12.75">
      <c r="A36">
        <v>22</v>
      </c>
    </row>
    <row r="37" ht="12.75">
      <c r="A37">
        <v>23</v>
      </c>
    </row>
    <row r="38" ht="12.75">
      <c r="A38">
        <v>24</v>
      </c>
    </row>
    <row r="39" ht="12.75">
      <c r="A39">
        <v>25</v>
      </c>
    </row>
    <row r="40" ht="12.75">
      <c r="A40">
        <v>26</v>
      </c>
    </row>
    <row r="41" ht="12.75">
      <c r="A41">
        <v>27</v>
      </c>
    </row>
    <row r="42" ht="12.75">
      <c r="A42">
        <v>28</v>
      </c>
    </row>
    <row r="43" ht="12.75">
      <c r="A43">
        <v>29</v>
      </c>
    </row>
    <row r="44" ht="12.75">
      <c r="A44">
        <v>30</v>
      </c>
    </row>
    <row r="45" ht="12.75">
      <c r="A45">
        <v>31</v>
      </c>
    </row>
    <row r="46" ht="12.75">
      <c r="A46">
        <v>32</v>
      </c>
    </row>
    <row r="47" ht="12.75">
      <c r="A47">
        <v>33</v>
      </c>
    </row>
    <row r="48" ht="12.75">
      <c r="A48">
        <v>34</v>
      </c>
    </row>
    <row r="49" ht="12.75">
      <c r="A49">
        <v>35</v>
      </c>
    </row>
    <row r="50" ht="12.75">
      <c r="A50">
        <v>36</v>
      </c>
    </row>
    <row r="51" ht="12.75">
      <c r="A51">
        <v>37</v>
      </c>
    </row>
    <row r="52" ht="12.75">
      <c r="A52">
        <v>38</v>
      </c>
    </row>
    <row r="53" spans="1:15" ht="12.75">
      <c r="A53">
        <v>39</v>
      </c>
      <c r="C53" s="92"/>
      <c r="D53" s="92"/>
      <c r="E53" s="105"/>
      <c r="F53" s="47"/>
      <c r="G53" s="47"/>
      <c r="H53" s="63"/>
      <c r="I53" s="63"/>
      <c r="J53" s="60"/>
      <c r="K53" s="98"/>
      <c r="L53" s="47"/>
      <c r="M53" s="47"/>
      <c r="N53" s="90"/>
      <c r="O53" s="47"/>
    </row>
    <row r="54" spans="1:15" ht="12.75">
      <c r="A54">
        <v>40</v>
      </c>
      <c r="C54" s="92"/>
      <c r="D54" s="92"/>
      <c r="E54" s="105"/>
      <c r="F54" s="47"/>
      <c r="G54" s="47"/>
      <c r="H54" s="63"/>
      <c r="I54" s="63"/>
      <c r="J54" s="60"/>
      <c r="K54" s="98"/>
      <c r="L54" s="47"/>
      <c r="M54" s="47"/>
      <c r="N54" s="90"/>
      <c r="O54" s="47"/>
    </row>
    <row r="55" spans="3:15" ht="12.75">
      <c r="C55" s="92"/>
      <c r="D55" s="92"/>
      <c r="E55" s="105"/>
      <c r="F55" s="47"/>
      <c r="G55" s="47"/>
      <c r="H55" s="63"/>
      <c r="I55" s="63"/>
      <c r="J55" s="60"/>
      <c r="K55" s="98"/>
      <c r="L55" s="47"/>
      <c r="M55" s="47"/>
      <c r="N55" s="90"/>
      <c r="O55" s="47"/>
    </row>
    <row r="56" ht="12.75">
      <c r="N56" s="90"/>
    </row>
  </sheetData>
  <sheetProtection/>
  <mergeCells count="14">
    <mergeCell ref="F3:K5"/>
    <mergeCell ref="M11:M13"/>
    <mergeCell ref="O11:O13"/>
    <mergeCell ref="C8:D9"/>
    <mergeCell ref="D11:D13"/>
    <mergeCell ref="E11:E13"/>
    <mergeCell ref="F11:F13"/>
    <mergeCell ref="L11:L13"/>
    <mergeCell ref="B11:B13"/>
    <mergeCell ref="G11:G13"/>
    <mergeCell ref="H11:H13"/>
    <mergeCell ref="I11:I13"/>
    <mergeCell ref="J11:J13"/>
    <mergeCell ref="K11:K13"/>
  </mergeCells>
  <dataValidations count="1">
    <dataValidation allowBlank="1" showInputMessage="1" showErrorMessage="1" sqref="B57 B53:O56"/>
  </dataValidations>
  <printOptions/>
  <pageMargins left="0" right="0" top="0.15748031496062992" bottom="0" header="0.31496062992125984" footer="0"/>
  <pageSetup fitToHeight="1" fitToWidth="1" horizontalDpi="600" verticalDpi="600" orientation="landscape" paperSize="9" scale="85" r:id="rId2"/>
  <headerFooter>
    <oddFooter>&amp;L&amp;Z&amp;F&amp;R&amp;D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indexed="42"/>
  </sheetPr>
  <dimension ref="A1:AF486"/>
  <sheetViews>
    <sheetView zoomScalePageLayoutView="0" workbookViewId="0" topLeftCell="A1">
      <pane xSplit="3" ySplit="2" topLeftCell="D3" activePane="bottomRight" state="frozen"/>
      <selection pane="topLeft" activeCell="D8" sqref="D8:E9"/>
      <selection pane="topRight" activeCell="D8" sqref="D8:E9"/>
      <selection pane="bottomLeft" activeCell="D8" sqref="D8:E9"/>
      <selection pane="bottomRight" activeCell="A3" sqref="A3:AF486"/>
    </sheetView>
  </sheetViews>
  <sheetFormatPr defaultColWidth="9.140625" defaultRowHeight="12.75"/>
  <cols>
    <col min="1" max="1" width="21.421875" style="92" customWidth="1"/>
    <col min="2" max="2" width="7.140625" style="90" customWidth="1"/>
    <col min="3" max="3" width="20.421875" style="90" customWidth="1"/>
    <col min="4" max="4" width="31.8515625" style="90" customWidth="1"/>
    <col min="5" max="5" width="8.57421875" style="92" customWidth="1"/>
    <col min="6" max="6" width="18.8515625" style="92" bestFit="1" customWidth="1"/>
    <col min="7" max="7" width="6.421875" style="98" customWidth="1"/>
    <col min="8" max="8" width="6.28125" style="92" customWidth="1"/>
    <col min="9" max="9" width="7.7109375" style="92" customWidth="1"/>
    <col min="10" max="10" width="7.8515625" style="92" customWidth="1"/>
    <col min="11" max="11" width="8.57421875" style="92" customWidth="1"/>
    <col min="12" max="12" width="7.57421875" style="92" customWidth="1"/>
    <col min="13" max="13" width="9.7109375" style="92" customWidth="1"/>
    <col min="14" max="14" width="10.421875" style="102" customWidth="1"/>
    <col min="15" max="15" width="8.57421875" style="102" customWidth="1"/>
    <col min="16" max="16" width="10.7109375" style="60" customWidth="1"/>
    <col min="17" max="17" width="9.140625" style="47" customWidth="1"/>
    <col min="18" max="18" width="10.28125" style="47" customWidth="1"/>
    <col min="19" max="19" width="7.8515625" style="63" customWidth="1"/>
    <col min="20" max="20" width="8.00390625" style="63" customWidth="1"/>
    <col min="21" max="21" width="8.57421875" style="47" customWidth="1"/>
    <col min="22" max="22" width="7.57421875" style="105" customWidth="1"/>
    <col min="23" max="23" width="11.8515625" style="47" customWidth="1"/>
    <col min="24" max="24" width="12.7109375" style="47" customWidth="1"/>
    <col min="25" max="25" width="9.00390625" style="47" customWidth="1"/>
    <col min="26" max="26" width="9.8515625" style="47" customWidth="1"/>
    <col min="27" max="27" width="7.7109375" style="47" customWidth="1"/>
    <col min="28" max="28" width="9.8515625" style="47" bestFit="1" customWidth="1"/>
    <col min="29" max="29" width="7.8515625" style="47" customWidth="1"/>
    <col min="30" max="30" width="10.421875" style="47" customWidth="1"/>
    <col min="31" max="31" width="10.57421875" style="47" bestFit="1" customWidth="1"/>
    <col min="32" max="16384" width="9.140625" style="47" customWidth="1"/>
  </cols>
  <sheetData>
    <row r="1" spans="1:29" ht="12.75" thickBot="1">
      <c r="A1" s="105">
        <v>1</v>
      </c>
      <c r="B1" s="111">
        <v>2</v>
      </c>
      <c r="C1" s="111">
        <v>3</v>
      </c>
      <c r="D1" s="105">
        <v>4</v>
      </c>
      <c r="E1" s="111">
        <v>5</v>
      </c>
      <c r="F1" s="111">
        <v>6</v>
      </c>
      <c r="G1" s="105">
        <v>7</v>
      </c>
      <c r="H1" s="111">
        <v>8</v>
      </c>
      <c r="I1" s="111">
        <v>9</v>
      </c>
      <c r="J1" s="105">
        <v>10</v>
      </c>
      <c r="K1" s="111">
        <v>11</v>
      </c>
      <c r="L1" s="111">
        <v>12</v>
      </c>
      <c r="M1" s="111">
        <v>13</v>
      </c>
      <c r="N1" s="111">
        <v>14</v>
      </c>
      <c r="O1" s="111">
        <v>15</v>
      </c>
      <c r="P1" s="111">
        <v>16</v>
      </c>
      <c r="Q1" s="111">
        <v>17</v>
      </c>
      <c r="R1" s="111">
        <v>18</v>
      </c>
      <c r="S1" s="111">
        <v>19</v>
      </c>
      <c r="T1" s="111">
        <v>20</v>
      </c>
      <c r="U1" s="111">
        <v>21</v>
      </c>
      <c r="V1" s="111">
        <v>22</v>
      </c>
      <c r="W1" s="111">
        <v>23</v>
      </c>
      <c r="X1" s="111">
        <v>24</v>
      </c>
      <c r="Y1" s="111">
        <v>25</v>
      </c>
      <c r="Z1" s="111">
        <v>26</v>
      </c>
      <c r="AA1" s="111">
        <v>27</v>
      </c>
      <c r="AB1" s="111">
        <v>28</v>
      </c>
      <c r="AC1" s="111">
        <v>29</v>
      </c>
    </row>
    <row r="2" spans="1:29" ht="29.25" customHeight="1" thickTop="1">
      <c r="A2" s="173" t="s">
        <v>0</v>
      </c>
      <c r="B2" s="112" t="s">
        <v>1</v>
      </c>
      <c r="C2" s="112" t="s">
        <v>226</v>
      </c>
      <c r="D2" s="112" t="s">
        <v>2</v>
      </c>
      <c r="E2" s="113" t="s">
        <v>3</v>
      </c>
      <c r="F2" s="113" t="s">
        <v>4</v>
      </c>
      <c r="G2" s="114" t="s">
        <v>5</v>
      </c>
      <c r="H2" s="113" t="s">
        <v>6</v>
      </c>
      <c r="I2" s="175" t="s">
        <v>329</v>
      </c>
      <c r="J2" s="175" t="s">
        <v>330</v>
      </c>
      <c r="K2" s="175" t="s">
        <v>331</v>
      </c>
      <c r="L2" s="175" t="s">
        <v>332</v>
      </c>
      <c r="M2" s="175" t="s">
        <v>333</v>
      </c>
      <c r="N2" s="99" t="s">
        <v>7</v>
      </c>
      <c r="O2" s="99" t="s">
        <v>8</v>
      </c>
      <c r="P2" s="176" t="s">
        <v>9</v>
      </c>
      <c r="Q2" s="130" t="s">
        <v>10</v>
      </c>
      <c r="R2" s="130" t="s">
        <v>11</v>
      </c>
      <c r="S2" s="131" t="s">
        <v>12</v>
      </c>
      <c r="T2" s="131" t="s">
        <v>13</v>
      </c>
      <c r="U2" s="130" t="s">
        <v>14</v>
      </c>
      <c r="V2" s="103" t="s">
        <v>15</v>
      </c>
      <c r="W2" s="48" t="s">
        <v>16</v>
      </c>
      <c r="X2" s="130" t="s">
        <v>17</v>
      </c>
      <c r="Y2" s="130" t="s">
        <v>18</v>
      </c>
      <c r="Z2" s="130" t="s">
        <v>19</v>
      </c>
      <c r="AA2" s="128" t="s">
        <v>20</v>
      </c>
      <c r="AB2" s="129" t="s">
        <v>21</v>
      </c>
      <c r="AC2" s="48" t="s">
        <v>263</v>
      </c>
    </row>
    <row r="3" spans="1:29" ht="19.5" customHeight="1">
      <c r="A3" s="85" t="s">
        <v>32</v>
      </c>
      <c r="B3" s="107">
        <f>VLOOKUP(A3,'[3]Summer Data Sheet 17-18'!$C$366:$D$488,2,0)</f>
        <v>10040</v>
      </c>
      <c r="C3" s="119"/>
      <c r="D3" s="87" t="s">
        <v>29</v>
      </c>
      <c r="E3" s="91" t="s">
        <v>173</v>
      </c>
      <c r="F3" s="96" t="s">
        <v>63</v>
      </c>
      <c r="G3" s="97">
        <v>0.75</v>
      </c>
      <c r="H3" s="91" t="s">
        <v>30</v>
      </c>
      <c r="I3" s="174">
        <v>8</v>
      </c>
      <c r="J3" s="174">
        <v>0</v>
      </c>
      <c r="K3" s="174">
        <v>0</v>
      </c>
      <c r="L3" s="174">
        <v>0</v>
      </c>
      <c r="M3" s="174">
        <f>SUM(I3:L3)</f>
        <v>8</v>
      </c>
      <c r="N3" s="88">
        <v>43101</v>
      </c>
      <c r="O3" s="88">
        <v>43111</v>
      </c>
      <c r="P3" s="120">
        <v>93</v>
      </c>
      <c r="Q3" s="121">
        <v>69.75</v>
      </c>
      <c r="R3" s="122" t="s">
        <v>196</v>
      </c>
      <c r="S3" s="136" t="s">
        <v>196</v>
      </c>
      <c r="T3" s="122">
        <v>8</v>
      </c>
      <c r="U3" s="123">
        <v>8</v>
      </c>
      <c r="V3" s="104" t="s">
        <v>31</v>
      </c>
      <c r="W3" s="124">
        <v>558</v>
      </c>
      <c r="X3" s="123">
        <f>Q3*T3</f>
        <v>558</v>
      </c>
      <c r="Y3" s="123">
        <f>U3</f>
        <v>8</v>
      </c>
      <c r="Z3" s="125">
        <f>B3</f>
        <v>10040</v>
      </c>
      <c r="AA3" s="126" t="s">
        <v>198</v>
      </c>
      <c r="AB3" s="125">
        <v>739030</v>
      </c>
      <c r="AC3" s="89">
        <v>0</v>
      </c>
    </row>
    <row r="4" spans="1:29" ht="12">
      <c r="A4" s="85" t="s">
        <v>32</v>
      </c>
      <c r="B4" s="107">
        <f>VLOOKUP(A4,'[3]Summer Data Sheet 17-18'!$C$366:$D$488,2,0)</f>
        <v>10040</v>
      </c>
      <c r="C4" s="87"/>
      <c r="D4" s="87" t="s">
        <v>41</v>
      </c>
      <c r="E4" s="91" t="s">
        <v>173</v>
      </c>
      <c r="F4" s="96" t="s">
        <v>24</v>
      </c>
      <c r="G4" s="95">
        <v>1</v>
      </c>
      <c r="H4" s="91" t="s">
        <v>25</v>
      </c>
      <c r="I4" s="174">
        <f>13+22</f>
        <v>35</v>
      </c>
      <c r="J4" s="174">
        <v>12</v>
      </c>
      <c r="K4" s="174">
        <v>0</v>
      </c>
      <c r="L4" s="174">
        <v>0</v>
      </c>
      <c r="M4" s="174">
        <f>SUM(I4:L4)</f>
        <v>47</v>
      </c>
      <c r="N4" s="115">
        <v>43071</v>
      </c>
      <c r="O4" s="115">
        <v>43190</v>
      </c>
      <c r="P4" s="51">
        <v>175</v>
      </c>
      <c r="Q4" s="52">
        <v>175</v>
      </c>
      <c r="R4" s="53">
        <v>0</v>
      </c>
      <c r="S4" s="135" t="s">
        <v>196</v>
      </c>
      <c r="T4" s="135" t="s">
        <v>196</v>
      </c>
      <c r="U4" s="123">
        <v>47</v>
      </c>
      <c r="V4" s="104" t="s">
        <v>264</v>
      </c>
      <c r="W4" s="55">
        <v>8225</v>
      </c>
      <c r="X4" s="54">
        <f>Q4*T4</f>
        <v>0</v>
      </c>
      <c r="Y4" s="54">
        <f>U4</f>
        <v>47</v>
      </c>
      <c r="Z4" s="56">
        <f>B4</f>
        <v>10040</v>
      </c>
      <c r="AA4" s="49" t="s">
        <v>197</v>
      </c>
      <c r="AB4" s="56">
        <v>739020</v>
      </c>
      <c r="AC4" s="89">
        <v>0</v>
      </c>
    </row>
    <row r="5" spans="1:29" ht="12">
      <c r="A5" s="85" t="s">
        <v>125</v>
      </c>
      <c r="B5" s="107">
        <f>VLOOKUP(A5,'[3]Summer Data Sheet 17-18'!$C$366:$D$488,2,0)</f>
        <v>10042</v>
      </c>
      <c r="C5" s="86"/>
      <c r="D5" s="87" t="s">
        <v>26</v>
      </c>
      <c r="E5" s="91" t="s">
        <v>173</v>
      </c>
      <c r="F5" s="96" t="s">
        <v>27</v>
      </c>
      <c r="G5" s="95">
        <v>1</v>
      </c>
      <c r="H5" s="91" t="s">
        <v>25</v>
      </c>
      <c r="I5" s="174">
        <f>11+22</f>
        <v>33</v>
      </c>
      <c r="J5" s="174">
        <v>2</v>
      </c>
      <c r="K5" s="174">
        <v>0</v>
      </c>
      <c r="L5" s="174">
        <v>0</v>
      </c>
      <c r="M5" s="174">
        <f>SUM(I5:L5)</f>
        <v>35</v>
      </c>
      <c r="N5" s="115">
        <v>43075</v>
      </c>
      <c r="O5" s="115">
        <v>43149</v>
      </c>
      <c r="P5" s="51">
        <v>175</v>
      </c>
      <c r="Q5" s="52">
        <v>175</v>
      </c>
      <c r="R5" s="53">
        <v>15</v>
      </c>
      <c r="S5" s="135">
        <v>20</v>
      </c>
      <c r="T5" s="135" t="s">
        <v>196</v>
      </c>
      <c r="U5" s="123">
        <v>35</v>
      </c>
      <c r="V5" s="104" t="s">
        <v>28</v>
      </c>
      <c r="W5" s="55">
        <v>3500</v>
      </c>
      <c r="X5" s="54">
        <f>Q5*T5</f>
        <v>0</v>
      </c>
      <c r="Y5" s="54">
        <f>U5</f>
        <v>35</v>
      </c>
      <c r="Z5" s="56">
        <f>B5</f>
        <v>10042</v>
      </c>
      <c r="AA5" s="49" t="s">
        <v>197</v>
      </c>
      <c r="AB5" s="56">
        <v>739020</v>
      </c>
      <c r="AC5" s="89">
        <v>0</v>
      </c>
    </row>
    <row r="6" spans="1:30" ht="12.75">
      <c r="A6" s="85" t="s">
        <v>125</v>
      </c>
      <c r="B6" s="107">
        <f>VLOOKUP(A6,'[3]Summer Data Sheet 17-18'!$C$366:$D$488,2,0)</f>
        <v>10042</v>
      </c>
      <c r="C6" s="86"/>
      <c r="D6" s="87" t="s">
        <v>29</v>
      </c>
      <c r="E6" s="91" t="s">
        <v>173</v>
      </c>
      <c r="F6" s="96" t="s">
        <v>27</v>
      </c>
      <c r="G6" s="95">
        <v>1</v>
      </c>
      <c r="H6" s="91" t="s">
        <v>30</v>
      </c>
      <c r="I6" s="174">
        <v>0</v>
      </c>
      <c r="J6" s="174">
        <v>5</v>
      </c>
      <c r="K6" s="174">
        <v>0</v>
      </c>
      <c r="L6" s="174">
        <v>0</v>
      </c>
      <c r="M6" s="174">
        <f>SUM(I6:L6)</f>
        <v>5</v>
      </c>
      <c r="N6" s="115">
        <v>43075</v>
      </c>
      <c r="O6" s="115">
        <v>43149</v>
      </c>
      <c r="P6" s="51">
        <v>175</v>
      </c>
      <c r="Q6" s="52">
        <v>175</v>
      </c>
      <c r="R6" s="53" t="s">
        <v>196</v>
      </c>
      <c r="S6" s="135" t="s">
        <v>196</v>
      </c>
      <c r="T6" s="135">
        <v>5</v>
      </c>
      <c r="U6" s="123">
        <v>5</v>
      </c>
      <c r="V6" s="104" t="s">
        <v>31</v>
      </c>
      <c r="W6" s="55">
        <v>875</v>
      </c>
      <c r="X6" s="54">
        <f>Q6*T6</f>
        <v>875</v>
      </c>
      <c r="Y6" s="54">
        <f>U6</f>
        <v>5</v>
      </c>
      <c r="Z6" s="56">
        <f>B6</f>
        <v>10042</v>
      </c>
      <c r="AA6" s="49" t="s">
        <v>197</v>
      </c>
      <c r="AB6" s="56">
        <v>739020</v>
      </c>
      <c r="AC6" s="89">
        <v>0</v>
      </c>
      <c r="AD6" s="57"/>
    </row>
    <row r="7" spans="1:30" ht="12.75">
      <c r="A7" s="85" t="s">
        <v>125</v>
      </c>
      <c r="B7" s="107">
        <f>VLOOKUP(A7,'[3]Summer Data Sheet 17-18'!$C$366:$D$488,2,0)</f>
        <v>10042</v>
      </c>
      <c r="C7" s="86"/>
      <c r="D7" s="87" t="s">
        <v>291</v>
      </c>
      <c r="E7" s="91" t="s">
        <v>173</v>
      </c>
      <c r="F7" s="96" t="s">
        <v>27</v>
      </c>
      <c r="G7" s="95">
        <f>11/27.5</f>
        <v>0.4</v>
      </c>
      <c r="H7" s="91" t="s">
        <v>30</v>
      </c>
      <c r="I7" s="174">
        <v>0</v>
      </c>
      <c r="J7" s="174">
        <v>8</v>
      </c>
      <c r="K7" s="174">
        <v>12</v>
      </c>
      <c r="L7" s="174">
        <v>0</v>
      </c>
      <c r="M7" s="174">
        <f>SUM(I7:L7)</f>
        <v>20</v>
      </c>
      <c r="N7" s="115">
        <v>43150</v>
      </c>
      <c r="O7" s="115">
        <v>43175</v>
      </c>
      <c r="P7" s="51">
        <v>175</v>
      </c>
      <c r="Q7" s="52">
        <v>70</v>
      </c>
      <c r="R7" s="53" t="s">
        <v>196</v>
      </c>
      <c r="S7" s="135" t="s">
        <v>196</v>
      </c>
      <c r="T7" s="53">
        <v>20</v>
      </c>
      <c r="U7" s="123">
        <v>20</v>
      </c>
      <c r="V7" s="104" t="s">
        <v>31</v>
      </c>
      <c r="W7" s="55">
        <v>1400</v>
      </c>
      <c r="X7" s="54">
        <f>Q7*T7</f>
        <v>1400</v>
      </c>
      <c r="Y7" s="54">
        <f>U7</f>
        <v>20</v>
      </c>
      <c r="Z7" s="56">
        <f>B7</f>
        <v>10042</v>
      </c>
      <c r="AA7" s="49" t="s">
        <v>197</v>
      </c>
      <c r="AB7" s="56">
        <v>739020</v>
      </c>
      <c r="AC7" s="89">
        <v>0</v>
      </c>
      <c r="AD7" s="57"/>
    </row>
    <row r="8" spans="1:29" ht="12">
      <c r="A8" s="85" t="s">
        <v>33</v>
      </c>
      <c r="B8" s="107">
        <f>VLOOKUP(A8,'[3]Summer Data Sheet 17-18'!$C$366:$D$488,2,0)</f>
        <v>10044</v>
      </c>
      <c r="C8" s="86"/>
      <c r="D8" s="87" t="s">
        <v>29</v>
      </c>
      <c r="E8" s="91" t="s">
        <v>173</v>
      </c>
      <c r="F8" s="96" t="s">
        <v>27</v>
      </c>
      <c r="G8" s="95">
        <v>1</v>
      </c>
      <c r="H8" s="91" t="s">
        <v>30</v>
      </c>
      <c r="I8" s="174">
        <v>22</v>
      </c>
      <c r="J8" s="174">
        <v>15</v>
      </c>
      <c r="K8" s="174">
        <v>21</v>
      </c>
      <c r="L8" s="174">
        <v>0</v>
      </c>
      <c r="M8" s="174">
        <f>SUM(I8:L8)</f>
        <v>58</v>
      </c>
      <c r="N8" s="115">
        <v>43101</v>
      </c>
      <c r="O8" s="115">
        <v>43190</v>
      </c>
      <c r="P8" s="51">
        <v>175</v>
      </c>
      <c r="Q8" s="52">
        <v>175</v>
      </c>
      <c r="R8" s="53" t="s">
        <v>196</v>
      </c>
      <c r="S8" s="135" t="s">
        <v>196</v>
      </c>
      <c r="T8" s="135">
        <v>58</v>
      </c>
      <c r="U8" s="123">
        <v>58</v>
      </c>
      <c r="V8" s="104" t="s">
        <v>31</v>
      </c>
      <c r="W8" s="55">
        <v>10150</v>
      </c>
      <c r="X8" s="54">
        <f>Q8*T8</f>
        <v>10150</v>
      </c>
      <c r="Y8" s="54">
        <f>U8</f>
        <v>58</v>
      </c>
      <c r="Z8" s="56">
        <f>B8</f>
        <v>10044</v>
      </c>
      <c r="AA8" s="49" t="s">
        <v>197</v>
      </c>
      <c r="AB8" s="56">
        <v>739020</v>
      </c>
      <c r="AC8" s="89">
        <v>0</v>
      </c>
    </row>
    <row r="9" spans="1:29" ht="12">
      <c r="A9" s="85" t="s">
        <v>33</v>
      </c>
      <c r="B9" s="107">
        <f>VLOOKUP(A9,'[3]Summer Data Sheet 17-18'!$C$366:$D$488,2,0)</f>
        <v>10044</v>
      </c>
      <c r="C9" s="86"/>
      <c r="D9" s="87" t="s">
        <v>29</v>
      </c>
      <c r="E9" s="91" t="s">
        <v>173</v>
      </c>
      <c r="F9" s="96" t="s">
        <v>63</v>
      </c>
      <c r="G9" s="95">
        <f>(30*40)/1728</f>
        <v>0.6944444444444444</v>
      </c>
      <c r="H9" s="91" t="s">
        <v>30</v>
      </c>
      <c r="I9" s="174">
        <v>22</v>
      </c>
      <c r="J9" s="174">
        <v>14</v>
      </c>
      <c r="K9" s="174">
        <v>0</v>
      </c>
      <c r="L9" s="174">
        <v>0</v>
      </c>
      <c r="M9" s="174">
        <f>SUM(I9:L9)</f>
        <v>36</v>
      </c>
      <c r="N9" s="115">
        <v>43101</v>
      </c>
      <c r="O9" s="115">
        <v>43158</v>
      </c>
      <c r="P9" s="51">
        <v>93</v>
      </c>
      <c r="Q9" s="52">
        <v>64.58</v>
      </c>
      <c r="R9" s="135" t="s">
        <v>196</v>
      </c>
      <c r="S9" s="135" t="s">
        <v>196</v>
      </c>
      <c r="T9" s="53">
        <v>36</v>
      </c>
      <c r="U9" s="123">
        <v>36</v>
      </c>
      <c r="V9" s="104" t="s">
        <v>31</v>
      </c>
      <c r="W9" s="55">
        <v>2324.88</v>
      </c>
      <c r="X9" s="54">
        <f>Q9*T9</f>
        <v>2324.88</v>
      </c>
      <c r="Y9" s="54">
        <f>U9</f>
        <v>36</v>
      </c>
      <c r="Z9" s="56">
        <f>B9</f>
        <v>10044</v>
      </c>
      <c r="AA9" s="49" t="s">
        <v>198</v>
      </c>
      <c r="AB9" s="56">
        <v>739030</v>
      </c>
      <c r="AC9" s="89">
        <v>0</v>
      </c>
    </row>
    <row r="10" spans="1:30" ht="12.75">
      <c r="A10" s="85" t="s">
        <v>33</v>
      </c>
      <c r="B10" s="107">
        <f>VLOOKUP(A10,'[3]Summer Data Sheet 17-18'!$C$366:$D$488,2,0)</f>
        <v>10044</v>
      </c>
      <c r="C10" s="87"/>
      <c r="D10" s="87" t="s">
        <v>292</v>
      </c>
      <c r="E10" s="91" t="s">
        <v>173</v>
      </c>
      <c r="F10" s="96" t="s">
        <v>63</v>
      </c>
      <c r="G10" s="95">
        <f>8.33/36</f>
        <v>0.2313888888888889</v>
      </c>
      <c r="H10" s="91" t="s">
        <v>30</v>
      </c>
      <c r="I10" s="174">
        <v>0</v>
      </c>
      <c r="J10" s="174">
        <v>1</v>
      </c>
      <c r="K10" s="174">
        <v>2</v>
      </c>
      <c r="L10" s="174">
        <v>0</v>
      </c>
      <c r="M10" s="174">
        <f>SUM(I10:L10)</f>
        <v>3</v>
      </c>
      <c r="N10" s="115">
        <v>43159</v>
      </c>
      <c r="O10" s="115">
        <v>43188</v>
      </c>
      <c r="P10" s="51">
        <v>93</v>
      </c>
      <c r="Q10" s="52">
        <v>21.52</v>
      </c>
      <c r="R10" s="53" t="s">
        <v>196</v>
      </c>
      <c r="S10" s="53" t="s">
        <v>196</v>
      </c>
      <c r="T10" s="135">
        <v>3</v>
      </c>
      <c r="U10" s="123">
        <v>3</v>
      </c>
      <c r="V10" s="104" t="s">
        <v>31</v>
      </c>
      <c r="W10" s="55">
        <v>64.56</v>
      </c>
      <c r="X10" s="54">
        <f>Q10*T10</f>
        <v>64.56</v>
      </c>
      <c r="Y10" s="54">
        <f>U10</f>
        <v>3</v>
      </c>
      <c r="Z10" s="56">
        <f>B10</f>
        <v>10044</v>
      </c>
      <c r="AA10" s="49" t="s">
        <v>198</v>
      </c>
      <c r="AB10" s="56">
        <v>739030</v>
      </c>
      <c r="AC10" s="89">
        <v>0</v>
      </c>
      <c r="AD10" s="57"/>
    </row>
    <row r="11" spans="1:30" ht="12.75">
      <c r="A11" s="85" t="s">
        <v>33</v>
      </c>
      <c r="B11" s="107">
        <f>VLOOKUP(A11,'[3]Summer Data Sheet 17-18'!$C$366:$D$488,2,0)</f>
        <v>10044</v>
      </c>
      <c r="C11" s="86"/>
      <c r="D11" s="87" t="s">
        <v>293</v>
      </c>
      <c r="E11" s="91" t="s">
        <v>173</v>
      </c>
      <c r="F11" s="96" t="s">
        <v>63</v>
      </c>
      <c r="G11" s="95">
        <f>12.5/36</f>
        <v>0.3472222222222222</v>
      </c>
      <c r="H11" s="91" t="s">
        <v>30</v>
      </c>
      <c r="I11" s="174">
        <v>0</v>
      </c>
      <c r="J11" s="174">
        <v>0</v>
      </c>
      <c r="K11" s="174">
        <v>5</v>
      </c>
      <c r="L11" s="174">
        <v>0</v>
      </c>
      <c r="M11" s="174">
        <f>SUM(I11:L11)</f>
        <v>5</v>
      </c>
      <c r="N11" s="115">
        <v>43159</v>
      </c>
      <c r="O11" s="115">
        <v>43188</v>
      </c>
      <c r="P11" s="51">
        <v>93</v>
      </c>
      <c r="Q11" s="52">
        <v>32.29</v>
      </c>
      <c r="R11" s="53" t="s">
        <v>196</v>
      </c>
      <c r="S11" s="53" t="s">
        <v>196</v>
      </c>
      <c r="T11" s="135">
        <v>5</v>
      </c>
      <c r="U11" s="123">
        <v>5</v>
      </c>
      <c r="V11" s="104" t="s">
        <v>31</v>
      </c>
      <c r="W11" s="55">
        <v>161.45</v>
      </c>
      <c r="X11" s="54">
        <f>Q11*T11</f>
        <v>161.45</v>
      </c>
      <c r="Y11" s="54">
        <f>U11</f>
        <v>5</v>
      </c>
      <c r="Z11" s="56">
        <f>B11</f>
        <v>10044</v>
      </c>
      <c r="AA11" s="49" t="s">
        <v>198</v>
      </c>
      <c r="AB11" s="56">
        <v>739030</v>
      </c>
      <c r="AC11" s="89">
        <v>0</v>
      </c>
      <c r="AD11" s="57"/>
    </row>
    <row r="12" spans="1:29" ht="12">
      <c r="A12" s="85" t="s">
        <v>33</v>
      </c>
      <c r="B12" s="107">
        <f>VLOOKUP(A12,'[3]Summer Data Sheet 17-18'!$C$366:$D$488,2,0)</f>
        <v>10044</v>
      </c>
      <c r="C12" s="86"/>
      <c r="D12" s="87" t="s">
        <v>294</v>
      </c>
      <c r="E12" s="91" t="s">
        <v>173</v>
      </c>
      <c r="F12" s="96" t="s">
        <v>63</v>
      </c>
      <c r="G12" s="95">
        <f>9.33/36</f>
        <v>0.25916666666666666</v>
      </c>
      <c r="H12" s="91" t="s">
        <v>30</v>
      </c>
      <c r="I12" s="174">
        <v>0</v>
      </c>
      <c r="J12" s="174">
        <v>0</v>
      </c>
      <c r="K12" s="174">
        <v>5</v>
      </c>
      <c r="L12" s="174">
        <v>0</v>
      </c>
      <c r="M12" s="174">
        <f>SUM(I12:L12)</f>
        <v>5</v>
      </c>
      <c r="N12" s="115">
        <v>43159</v>
      </c>
      <c r="O12" s="115">
        <v>43188</v>
      </c>
      <c r="P12" s="51">
        <v>93</v>
      </c>
      <c r="Q12" s="52">
        <v>24.1</v>
      </c>
      <c r="R12" s="53" t="s">
        <v>196</v>
      </c>
      <c r="S12" s="53" t="s">
        <v>196</v>
      </c>
      <c r="T12" s="135">
        <v>5</v>
      </c>
      <c r="U12" s="123">
        <v>5</v>
      </c>
      <c r="V12" s="104" t="s">
        <v>31</v>
      </c>
      <c r="W12" s="55">
        <v>120.5</v>
      </c>
      <c r="X12" s="54">
        <f>Q12*T12</f>
        <v>120.5</v>
      </c>
      <c r="Y12" s="54">
        <f>U12</f>
        <v>5</v>
      </c>
      <c r="Z12" s="56">
        <f>B12</f>
        <v>10044</v>
      </c>
      <c r="AA12" s="49" t="s">
        <v>198</v>
      </c>
      <c r="AB12" s="56">
        <v>739030</v>
      </c>
      <c r="AC12" s="89">
        <v>0</v>
      </c>
    </row>
    <row r="13" spans="1:29" ht="12">
      <c r="A13" s="85" t="s">
        <v>33</v>
      </c>
      <c r="B13" s="107">
        <f>VLOOKUP(A13,'[3]Summer Data Sheet 17-18'!$C$366:$D$488,2,0)</f>
        <v>10044</v>
      </c>
      <c r="C13" s="86"/>
      <c r="D13" s="87" t="s">
        <v>295</v>
      </c>
      <c r="E13" s="91" t="s">
        <v>173</v>
      </c>
      <c r="F13" s="96" t="s">
        <v>63</v>
      </c>
      <c r="G13" s="97">
        <f>9/36</f>
        <v>0.25</v>
      </c>
      <c r="H13" s="91" t="s">
        <v>30</v>
      </c>
      <c r="I13" s="174">
        <v>0</v>
      </c>
      <c r="J13" s="174">
        <v>0</v>
      </c>
      <c r="K13" s="174">
        <v>5</v>
      </c>
      <c r="L13" s="174">
        <v>0</v>
      </c>
      <c r="M13" s="174">
        <f>SUM(I13:L13)</f>
        <v>5</v>
      </c>
      <c r="N13" s="115">
        <v>43159</v>
      </c>
      <c r="O13" s="115">
        <v>43188</v>
      </c>
      <c r="P13" s="51">
        <v>93</v>
      </c>
      <c r="Q13" s="52">
        <v>23.25</v>
      </c>
      <c r="R13" s="53" t="s">
        <v>196</v>
      </c>
      <c r="S13" s="53" t="s">
        <v>196</v>
      </c>
      <c r="T13" s="135">
        <v>5</v>
      </c>
      <c r="U13" s="123">
        <v>5</v>
      </c>
      <c r="V13" s="104" t="s">
        <v>31</v>
      </c>
      <c r="W13" s="55">
        <v>116.25</v>
      </c>
      <c r="X13" s="54">
        <f>Q13*T13</f>
        <v>116.25</v>
      </c>
      <c r="Y13" s="54">
        <f>U13</f>
        <v>5</v>
      </c>
      <c r="Z13" s="56">
        <f>B13</f>
        <v>10044</v>
      </c>
      <c r="AA13" s="49" t="s">
        <v>198</v>
      </c>
      <c r="AB13" s="56">
        <v>739030</v>
      </c>
      <c r="AC13" s="89">
        <v>0</v>
      </c>
    </row>
    <row r="14" spans="1:29" ht="12">
      <c r="A14" s="85" t="s">
        <v>33</v>
      </c>
      <c r="B14" s="107">
        <f>VLOOKUP(A14,'[3]Summer Data Sheet 17-18'!$C$366:$D$488,2,0)</f>
        <v>10044</v>
      </c>
      <c r="C14" s="86"/>
      <c r="D14" s="87" t="s">
        <v>296</v>
      </c>
      <c r="E14" s="91" t="s">
        <v>173</v>
      </c>
      <c r="F14" s="96" t="s">
        <v>63</v>
      </c>
      <c r="G14" s="97">
        <f>1.75/36</f>
        <v>0.04861111111111111</v>
      </c>
      <c r="H14" s="91" t="s">
        <v>30</v>
      </c>
      <c r="I14" s="174">
        <v>0</v>
      </c>
      <c r="J14" s="174">
        <v>0</v>
      </c>
      <c r="K14" s="174">
        <v>4</v>
      </c>
      <c r="L14" s="174">
        <v>0</v>
      </c>
      <c r="M14" s="174">
        <f>SUM(I14:L14)</f>
        <v>4</v>
      </c>
      <c r="N14" s="115">
        <v>43159</v>
      </c>
      <c r="O14" s="115">
        <v>43188</v>
      </c>
      <c r="P14" s="51">
        <v>93</v>
      </c>
      <c r="Q14" s="52">
        <v>4.52</v>
      </c>
      <c r="R14" s="135" t="s">
        <v>196</v>
      </c>
      <c r="S14" s="135" t="s">
        <v>196</v>
      </c>
      <c r="T14" s="53">
        <v>4</v>
      </c>
      <c r="U14" s="123">
        <v>4</v>
      </c>
      <c r="V14" s="104" t="s">
        <v>31</v>
      </c>
      <c r="W14" s="55">
        <v>18.08</v>
      </c>
      <c r="X14" s="54">
        <f>Q14*T14</f>
        <v>18.08</v>
      </c>
      <c r="Y14" s="54">
        <f>U14</f>
        <v>4</v>
      </c>
      <c r="Z14" s="56">
        <f>B14</f>
        <v>10044</v>
      </c>
      <c r="AA14" s="49" t="s">
        <v>198</v>
      </c>
      <c r="AB14" s="56">
        <v>739030</v>
      </c>
      <c r="AC14" s="89">
        <v>0</v>
      </c>
    </row>
    <row r="15" spans="1:29" ht="12">
      <c r="A15" s="85" t="s">
        <v>38</v>
      </c>
      <c r="B15" s="107">
        <f>VLOOKUP(A15,'[3]Summer Data Sheet 17-18'!$C$366:$D$488,2,0)</f>
        <v>10045</v>
      </c>
      <c r="C15" s="86"/>
      <c r="D15" s="87" t="s">
        <v>29</v>
      </c>
      <c r="E15" s="91" t="s">
        <v>173</v>
      </c>
      <c r="F15" s="96" t="s">
        <v>46</v>
      </c>
      <c r="G15" s="95">
        <f>(28*40)/1728</f>
        <v>0.6481481481481481</v>
      </c>
      <c r="H15" s="91" t="s">
        <v>30</v>
      </c>
      <c r="I15" s="174">
        <v>22</v>
      </c>
      <c r="J15" s="174">
        <v>15</v>
      </c>
      <c r="K15" s="174">
        <v>2</v>
      </c>
      <c r="L15" s="174">
        <v>0</v>
      </c>
      <c r="M15" s="174">
        <f>SUM(I15:L15)</f>
        <v>39</v>
      </c>
      <c r="N15" s="115">
        <v>43101</v>
      </c>
      <c r="O15" s="115">
        <v>43190</v>
      </c>
      <c r="P15" s="51">
        <v>116</v>
      </c>
      <c r="Q15" s="52">
        <v>75.19</v>
      </c>
      <c r="R15" s="53" t="s">
        <v>196</v>
      </c>
      <c r="S15" s="53" t="s">
        <v>196</v>
      </c>
      <c r="T15" s="135">
        <v>39</v>
      </c>
      <c r="U15" s="123">
        <v>39</v>
      </c>
      <c r="V15" s="104" t="s">
        <v>31</v>
      </c>
      <c r="W15" s="55">
        <v>2932.41</v>
      </c>
      <c r="X15" s="54">
        <f>Q15*T15</f>
        <v>2932.41</v>
      </c>
      <c r="Y15" s="54">
        <f>U15</f>
        <v>39</v>
      </c>
      <c r="Z15" s="56">
        <f>B15</f>
        <v>10045</v>
      </c>
      <c r="AA15" s="49" t="s">
        <v>198</v>
      </c>
      <c r="AB15" s="56">
        <v>739030</v>
      </c>
      <c r="AC15" s="89">
        <v>0</v>
      </c>
    </row>
    <row r="16" spans="1:29" ht="12">
      <c r="A16" s="85" t="s">
        <v>38</v>
      </c>
      <c r="B16" s="107">
        <f>VLOOKUP(A16,'[3]Summer Data Sheet 17-18'!$C$366:$D$488,2,0)</f>
        <v>10045</v>
      </c>
      <c r="C16" s="86"/>
      <c r="D16" s="87" t="s">
        <v>297</v>
      </c>
      <c r="E16" s="91" t="s">
        <v>173</v>
      </c>
      <c r="F16" s="96" t="s">
        <v>46</v>
      </c>
      <c r="G16" s="95">
        <f>(28*40)/1728</f>
        <v>0.6481481481481481</v>
      </c>
      <c r="H16" s="91" t="s">
        <v>30</v>
      </c>
      <c r="I16" s="174">
        <v>0</v>
      </c>
      <c r="J16" s="174">
        <v>0</v>
      </c>
      <c r="K16" s="174">
        <f>19/2</f>
        <v>9.5</v>
      </c>
      <c r="L16" s="174">
        <v>0</v>
      </c>
      <c r="M16" s="174">
        <f>SUM(I16:L16)</f>
        <v>9.5</v>
      </c>
      <c r="N16" s="115">
        <v>43101</v>
      </c>
      <c r="O16" s="115">
        <v>43190</v>
      </c>
      <c r="P16" s="51">
        <v>116</v>
      </c>
      <c r="Q16" s="52">
        <v>75.19</v>
      </c>
      <c r="R16" s="53" t="s">
        <v>196</v>
      </c>
      <c r="S16" s="135" t="s">
        <v>196</v>
      </c>
      <c r="T16" s="135">
        <v>9.5</v>
      </c>
      <c r="U16" s="123">
        <v>9.5</v>
      </c>
      <c r="V16" s="104" t="s">
        <v>31</v>
      </c>
      <c r="W16" s="55">
        <v>714.31</v>
      </c>
      <c r="X16" s="54">
        <f>Q16*T16</f>
        <v>714.305</v>
      </c>
      <c r="Y16" s="54">
        <f>U16</f>
        <v>9.5</v>
      </c>
      <c r="Z16" s="56">
        <f>B16</f>
        <v>10045</v>
      </c>
      <c r="AA16" s="49" t="s">
        <v>198</v>
      </c>
      <c r="AB16" s="56">
        <v>739030</v>
      </c>
      <c r="AC16" s="89">
        <v>0</v>
      </c>
    </row>
    <row r="17" spans="1:29" ht="12">
      <c r="A17" s="85" t="s">
        <v>135</v>
      </c>
      <c r="B17" s="107">
        <f>VLOOKUP(A17,'[3]Summer Data Sheet 17-18'!$C$366:$D$488,2,0)</f>
        <v>10045</v>
      </c>
      <c r="C17" s="87"/>
      <c r="D17" s="86" t="s">
        <v>280</v>
      </c>
      <c r="E17" s="91" t="s">
        <v>173</v>
      </c>
      <c r="F17" s="96" t="s">
        <v>44</v>
      </c>
      <c r="G17" s="95">
        <v>1</v>
      </c>
      <c r="H17" s="91" t="s">
        <v>25</v>
      </c>
      <c r="I17" s="174">
        <v>0</v>
      </c>
      <c r="J17" s="174">
        <v>0</v>
      </c>
      <c r="K17" s="174">
        <v>19</v>
      </c>
      <c r="L17" s="174">
        <v>0</v>
      </c>
      <c r="M17" s="174">
        <f>SUM(I17:L17)</f>
        <v>19</v>
      </c>
      <c r="N17" s="115">
        <v>43164</v>
      </c>
      <c r="O17" s="115">
        <v>43190</v>
      </c>
      <c r="P17" s="51">
        <v>87</v>
      </c>
      <c r="Q17" s="52">
        <v>87</v>
      </c>
      <c r="R17" s="53">
        <v>0</v>
      </c>
      <c r="S17" s="135" t="s">
        <v>196</v>
      </c>
      <c r="T17" s="135" t="s">
        <v>196</v>
      </c>
      <c r="U17" s="123">
        <v>19</v>
      </c>
      <c r="V17" s="104" t="s">
        <v>264</v>
      </c>
      <c r="W17" s="55">
        <v>1653</v>
      </c>
      <c r="X17" s="54">
        <f>Q17*T17</f>
        <v>0</v>
      </c>
      <c r="Y17" s="54">
        <f>U17</f>
        <v>19</v>
      </c>
      <c r="Z17" s="56">
        <f>B17</f>
        <v>10045</v>
      </c>
      <c r="AA17" s="49" t="s">
        <v>253</v>
      </c>
      <c r="AB17" s="56">
        <v>739020</v>
      </c>
      <c r="AC17" s="89">
        <v>0</v>
      </c>
    </row>
    <row r="18" spans="1:30" ht="12.75">
      <c r="A18" s="85" t="s">
        <v>45</v>
      </c>
      <c r="B18" s="107">
        <f>VLOOKUP(A18,'[3]Summer Data Sheet 17-18'!$C$366:$D$488,2,0)</f>
        <v>10047</v>
      </c>
      <c r="C18" s="86"/>
      <c r="D18" s="87" t="s">
        <v>298</v>
      </c>
      <c r="E18" s="91" t="s">
        <v>173</v>
      </c>
      <c r="F18" s="96" t="s">
        <v>27</v>
      </c>
      <c r="G18" s="97">
        <v>0.6</v>
      </c>
      <c r="H18" s="91" t="s">
        <v>30</v>
      </c>
      <c r="I18" s="174">
        <v>22</v>
      </c>
      <c r="J18" s="174">
        <v>15</v>
      </c>
      <c r="K18" s="174">
        <v>3</v>
      </c>
      <c r="L18" s="174">
        <v>0</v>
      </c>
      <c r="M18" s="174">
        <f>SUM(I18:L18)</f>
        <v>40</v>
      </c>
      <c r="N18" s="115">
        <v>43101</v>
      </c>
      <c r="O18" s="115">
        <v>43190</v>
      </c>
      <c r="P18" s="51">
        <v>175</v>
      </c>
      <c r="Q18" s="52">
        <v>105</v>
      </c>
      <c r="R18" s="53" t="s">
        <v>196</v>
      </c>
      <c r="S18" s="135" t="s">
        <v>196</v>
      </c>
      <c r="T18" s="135">
        <v>40</v>
      </c>
      <c r="U18" s="123">
        <v>40</v>
      </c>
      <c r="V18" s="104" t="s">
        <v>31</v>
      </c>
      <c r="W18" s="55">
        <v>4200</v>
      </c>
      <c r="X18" s="54">
        <f>Q18*T18</f>
        <v>4200</v>
      </c>
      <c r="Y18" s="54">
        <f>U18</f>
        <v>40</v>
      </c>
      <c r="Z18" s="56">
        <f>B18</f>
        <v>10047</v>
      </c>
      <c r="AA18" s="49" t="s">
        <v>197</v>
      </c>
      <c r="AB18" s="56">
        <v>739020</v>
      </c>
      <c r="AC18" s="89">
        <v>0</v>
      </c>
      <c r="AD18" s="57"/>
    </row>
    <row r="19" spans="1:29" ht="12">
      <c r="A19" s="85" t="s">
        <v>45</v>
      </c>
      <c r="B19" s="107">
        <f>VLOOKUP(A19,'[3]Summer Data Sheet 17-18'!$C$366:$D$488,2,0)</f>
        <v>10047</v>
      </c>
      <c r="C19" s="86"/>
      <c r="D19" s="87" t="s">
        <v>26</v>
      </c>
      <c r="E19" s="91" t="s">
        <v>173</v>
      </c>
      <c r="F19" s="96" t="s">
        <v>63</v>
      </c>
      <c r="G19" s="95">
        <v>0.51</v>
      </c>
      <c r="H19" s="91" t="s">
        <v>30</v>
      </c>
      <c r="I19" s="174">
        <v>9</v>
      </c>
      <c r="J19" s="174">
        <v>0</v>
      </c>
      <c r="K19" s="174">
        <v>0</v>
      </c>
      <c r="L19" s="174">
        <v>0</v>
      </c>
      <c r="M19" s="174">
        <f>SUM(I19:L19)</f>
        <v>9</v>
      </c>
      <c r="N19" s="115">
        <v>43101</v>
      </c>
      <c r="O19" s="115">
        <v>43190</v>
      </c>
      <c r="P19" s="51">
        <v>93</v>
      </c>
      <c r="Q19" s="52">
        <v>47.43</v>
      </c>
      <c r="R19" s="53" t="s">
        <v>196</v>
      </c>
      <c r="S19" s="135">
        <v>9</v>
      </c>
      <c r="T19" s="135" t="s">
        <v>196</v>
      </c>
      <c r="U19" s="123">
        <v>9</v>
      </c>
      <c r="V19" s="104" t="s">
        <v>28</v>
      </c>
      <c r="W19" s="55">
        <v>426.87</v>
      </c>
      <c r="X19" s="54">
        <f>Q19*T19</f>
        <v>0</v>
      </c>
      <c r="Y19" s="54">
        <f>U19</f>
        <v>9</v>
      </c>
      <c r="Z19" s="56">
        <f>B19</f>
        <v>10047</v>
      </c>
      <c r="AA19" s="49" t="s">
        <v>198</v>
      </c>
      <c r="AB19" s="56">
        <v>739030</v>
      </c>
      <c r="AC19" s="89">
        <v>0</v>
      </c>
    </row>
    <row r="20" spans="1:29" ht="12">
      <c r="A20" s="85" t="s">
        <v>45</v>
      </c>
      <c r="B20" s="107">
        <f>VLOOKUP(A20,'[3]Summer Data Sheet 17-18'!$C$366:$D$488,2,0)</f>
        <v>10047</v>
      </c>
      <c r="C20" s="86"/>
      <c r="D20" s="87" t="s">
        <v>29</v>
      </c>
      <c r="E20" s="91" t="s">
        <v>173</v>
      </c>
      <c r="F20" s="96" t="s">
        <v>63</v>
      </c>
      <c r="G20" s="95">
        <v>0.51</v>
      </c>
      <c r="H20" s="91" t="s">
        <v>30</v>
      </c>
      <c r="I20" s="174">
        <v>13</v>
      </c>
      <c r="J20" s="174">
        <v>15</v>
      </c>
      <c r="K20" s="174">
        <v>21</v>
      </c>
      <c r="L20" s="174">
        <v>0</v>
      </c>
      <c r="M20" s="174">
        <f>SUM(I20:L20)</f>
        <v>49</v>
      </c>
      <c r="N20" s="115">
        <v>43101</v>
      </c>
      <c r="O20" s="115">
        <v>43190</v>
      </c>
      <c r="P20" s="51">
        <v>93</v>
      </c>
      <c r="Q20" s="52">
        <v>47.43</v>
      </c>
      <c r="R20" s="135" t="s">
        <v>196</v>
      </c>
      <c r="S20" s="135" t="s">
        <v>196</v>
      </c>
      <c r="T20" s="135">
        <v>49</v>
      </c>
      <c r="U20" s="123">
        <v>49</v>
      </c>
      <c r="V20" s="104" t="s">
        <v>31</v>
      </c>
      <c r="W20" s="55">
        <v>2324.07</v>
      </c>
      <c r="X20" s="54">
        <f>Q20*T20</f>
        <v>2324.07</v>
      </c>
      <c r="Y20" s="54">
        <f>U20</f>
        <v>49</v>
      </c>
      <c r="Z20" s="56">
        <f>B20</f>
        <v>10047</v>
      </c>
      <c r="AA20" s="49" t="s">
        <v>198</v>
      </c>
      <c r="AB20" s="56">
        <v>739030</v>
      </c>
      <c r="AC20" s="89">
        <v>0</v>
      </c>
    </row>
    <row r="21" spans="1:29" ht="12">
      <c r="A21" s="85" t="s">
        <v>45</v>
      </c>
      <c r="B21" s="107">
        <f>VLOOKUP(A21,'[3]Summer Data Sheet 17-18'!$C$366:$D$488,2,0)</f>
        <v>10047</v>
      </c>
      <c r="C21" s="86"/>
      <c r="D21" s="86" t="s">
        <v>299</v>
      </c>
      <c r="E21" s="91" t="s">
        <v>173</v>
      </c>
      <c r="F21" s="96" t="s">
        <v>24</v>
      </c>
      <c r="G21" s="97">
        <v>0.6</v>
      </c>
      <c r="H21" s="91" t="s">
        <v>25</v>
      </c>
      <c r="I21" s="174">
        <v>0</v>
      </c>
      <c r="J21" s="174">
        <v>6</v>
      </c>
      <c r="K21" s="174">
        <v>21</v>
      </c>
      <c r="L21" s="174">
        <v>0</v>
      </c>
      <c r="M21" s="174">
        <f>SUM(I21:L21)</f>
        <v>27</v>
      </c>
      <c r="N21" s="115">
        <v>43152</v>
      </c>
      <c r="O21" s="115">
        <v>43190</v>
      </c>
      <c r="P21" s="51">
        <v>175</v>
      </c>
      <c r="Q21" s="52">
        <v>105</v>
      </c>
      <c r="R21" s="53">
        <v>0</v>
      </c>
      <c r="S21" s="53" t="s">
        <v>196</v>
      </c>
      <c r="T21" s="135" t="s">
        <v>196</v>
      </c>
      <c r="U21" s="123">
        <v>27</v>
      </c>
      <c r="V21" s="104" t="s">
        <v>264</v>
      </c>
      <c r="W21" s="55">
        <v>2835</v>
      </c>
      <c r="X21" s="54">
        <f>Q21*T21</f>
        <v>0</v>
      </c>
      <c r="Y21" s="54">
        <f>U21</f>
        <v>27</v>
      </c>
      <c r="Z21" s="56">
        <f>B21</f>
        <v>10047</v>
      </c>
      <c r="AA21" s="49" t="s">
        <v>197</v>
      </c>
      <c r="AB21" s="56">
        <v>739020</v>
      </c>
      <c r="AC21" s="89">
        <v>0</v>
      </c>
    </row>
    <row r="22" spans="1:29" ht="12">
      <c r="A22" s="85" t="s">
        <v>48</v>
      </c>
      <c r="B22" s="107">
        <f>VLOOKUP(A22,'[3]Summer Data Sheet 17-18'!$C$366:$D$488,2,0)</f>
        <v>10048</v>
      </c>
      <c r="C22" s="86"/>
      <c r="D22" s="87" t="s">
        <v>29</v>
      </c>
      <c r="E22" s="91" t="s">
        <v>173</v>
      </c>
      <c r="F22" s="96" t="s">
        <v>27</v>
      </c>
      <c r="G22" s="95">
        <v>1</v>
      </c>
      <c r="H22" s="91" t="s">
        <v>30</v>
      </c>
      <c r="I22" s="174">
        <v>22</v>
      </c>
      <c r="J22" s="174">
        <v>7</v>
      </c>
      <c r="K22" s="174">
        <v>0</v>
      </c>
      <c r="L22" s="174">
        <v>0</v>
      </c>
      <c r="M22" s="174">
        <f>SUM(I22:L22)</f>
        <v>29</v>
      </c>
      <c r="N22" s="115">
        <v>43101</v>
      </c>
      <c r="O22" s="115">
        <v>43140</v>
      </c>
      <c r="P22" s="51">
        <v>175</v>
      </c>
      <c r="Q22" s="52">
        <v>175</v>
      </c>
      <c r="R22" s="53" t="s">
        <v>196</v>
      </c>
      <c r="S22" s="53" t="s">
        <v>196</v>
      </c>
      <c r="T22" s="135">
        <v>29</v>
      </c>
      <c r="U22" s="123">
        <v>29</v>
      </c>
      <c r="V22" s="104" t="s">
        <v>31</v>
      </c>
      <c r="W22" s="55">
        <v>5075</v>
      </c>
      <c r="X22" s="54">
        <f>Q22*T22</f>
        <v>5075</v>
      </c>
      <c r="Y22" s="54">
        <f>U22</f>
        <v>29</v>
      </c>
      <c r="Z22" s="56">
        <f>B22</f>
        <v>10048</v>
      </c>
      <c r="AA22" s="49" t="s">
        <v>197</v>
      </c>
      <c r="AB22" s="56">
        <v>739020</v>
      </c>
      <c r="AC22" s="89">
        <v>0</v>
      </c>
    </row>
    <row r="23" spans="1:29" ht="12">
      <c r="A23" s="85" t="s">
        <v>48</v>
      </c>
      <c r="B23" s="107">
        <f>VLOOKUP(A23,'[3]Summer Data Sheet 17-18'!$C$366:$D$488,2,0)</f>
        <v>10048</v>
      </c>
      <c r="C23" s="86"/>
      <c r="D23" s="87" t="s">
        <v>300</v>
      </c>
      <c r="E23" s="91" t="s">
        <v>173</v>
      </c>
      <c r="F23" s="96" t="s">
        <v>27</v>
      </c>
      <c r="G23" s="95">
        <f>20.625/27.5</f>
        <v>0.75</v>
      </c>
      <c r="H23" s="91" t="s">
        <v>30</v>
      </c>
      <c r="I23" s="174">
        <v>0</v>
      </c>
      <c r="J23" s="174">
        <v>8</v>
      </c>
      <c r="K23" s="174">
        <v>2</v>
      </c>
      <c r="L23" s="174">
        <v>0</v>
      </c>
      <c r="M23" s="174">
        <f>SUM(I23:L23)</f>
        <v>10</v>
      </c>
      <c r="N23" s="115">
        <v>43150</v>
      </c>
      <c r="O23" s="115">
        <v>43190</v>
      </c>
      <c r="P23" s="51">
        <v>175</v>
      </c>
      <c r="Q23" s="52">
        <v>131.25</v>
      </c>
      <c r="R23" s="135" t="s">
        <v>196</v>
      </c>
      <c r="S23" s="135" t="s">
        <v>196</v>
      </c>
      <c r="T23" s="53">
        <v>10</v>
      </c>
      <c r="U23" s="123">
        <v>10</v>
      </c>
      <c r="V23" s="104" t="s">
        <v>31</v>
      </c>
      <c r="W23" s="55">
        <v>1312.5</v>
      </c>
      <c r="X23" s="54">
        <f>Q23*T23</f>
        <v>1312.5</v>
      </c>
      <c r="Y23" s="54">
        <f>U23</f>
        <v>10</v>
      </c>
      <c r="Z23" s="56">
        <f>B23</f>
        <v>10048</v>
      </c>
      <c r="AA23" s="49" t="s">
        <v>197</v>
      </c>
      <c r="AB23" s="56">
        <v>739020</v>
      </c>
      <c r="AC23" s="89">
        <v>0</v>
      </c>
    </row>
    <row r="24" spans="1:29" ht="12">
      <c r="A24" s="85" t="s">
        <v>48</v>
      </c>
      <c r="B24" s="107">
        <f>VLOOKUP(A24,'[3]Summer Data Sheet 17-18'!$C$366:$D$488,2,0)</f>
        <v>10048</v>
      </c>
      <c r="C24" s="87"/>
      <c r="D24" s="87" t="s">
        <v>301</v>
      </c>
      <c r="E24" s="91" t="s">
        <v>173</v>
      </c>
      <c r="F24" s="96" t="s">
        <v>27</v>
      </c>
      <c r="G24" s="95">
        <f>13.75/27.5</f>
        <v>0.5</v>
      </c>
      <c r="H24" s="91" t="s">
        <v>30</v>
      </c>
      <c r="I24" s="174">
        <v>0</v>
      </c>
      <c r="J24" s="174">
        <v>0</v>
      </c>
      <c r="K24" s="174">
        <v>10</v>
      </c>
      <c r="L24" s="174">
        <v>0</v>
      </c>
      <c r="M24" s="174">
        <f>SUM(I24:L24)</f>
        <v>10</v>
      </c>
      <c r="N24" s="115">
        <v>43150</v>
      </c>
      <c r="O24" s="115">
        <v>43190</v>
      </c>
      <c r="P24" s="51">
        <v>175</v>
      </c>
      <c r="Q24" s="52">
        <v>87.5</v>
      </c>
      <c r="R24" s="53" t="s">
        <v>196</v>
      </c>
      <c r="S24" s="53" t="s">
        <v>196</v>
      </c>
      <c r="T24" s="135">
        <v>10</v>
      </c>
      <c r="U24" s="123">
        <v>10</v>
      </c>
      <c r="V24" s="104" t="s">
        <v>31</v>
      </c>
      <c r="W24" s="55">
        <v>875</v>
      </c>
      <c r="X24" s="54">
        <f>Q24*T24</f>
        <v>875</v>
      </c>
      <c r="Y24" s="54">
        <f>U24</f>
        <v>10</v>
      </c>
      <c r="Z24" s="56">
        <f>B24</f>
        <v>10048</v>
      </c>
      <c r="AA24" s="49" t="s">
        <v>197</v>
      </c>
      <c r="AB24" s="56">
        <v>739020</v>
      </c>
      <c r="AC24" s="89">
        <v>0</v>
      </c>
    </row>
    <row r="25" spans="1:29" ht="12">
      <c r="A25" s="85" t="s">
        <v>48</v>
      </c>
      <c r="B25" s="107">
        <f>VLOOKUP(A25,'[3]Summer Data Sheet 17-18'!$C$366:$D$488,2,0)</f>
        <v>10048</v>
      </c>
      <c r="C25" s="86"/>
      <c r="D25" s="87" t="s">
        <v>290</v>
      </c>
      <c r="E25" s="91" t="s">
        <v>173</v>
      </c>
      <c r="F25" s="96" t="s">
        <v>27</v>
      </c>
      <c r="G25" s="95">
        <f>6.875/27.5</f>
        <v>0.25</v>
      </c>
      <c r="H25" s="91" t="s">
        <v>30</v>
      </c>
      <c r="I25" s="174">
        <v>0</v>
      </c>
      <c r="J25" s="174">
        <v>0</v>
      </c>
      <c r="K25" s="174">
        <v>9</v>
      </c>
      <c r="L25" s="174">
        <v>0</v>
      </c>
      <c r="M25" s="174">
        <f>SUM(I25:L25)</f>
        <v>9</v>
      </c>
      <c r="N25" s="115">
        <v>43150</v>
      </c>
      <c r="O25" s="115">
        <v>43190</v>
      </c>
      <c r="P25" s="51">
        <v>175</v>
      </c>
      <c r="Q25" s="52">
        <v>43.75</v>
      </c>
      <c r="R25" s="53" t="s">
        <v>196</v>
      </c>
      <c r="S25" s="135" t="s">
        <v>196</v>
      </c>
      <c r="T25" s="135">
        <v>9</v>
      </c>
      <c r="U25" s="123">
        <v>9</v>
      </c>
      <c r="V25" s="104" t="s">
        <v>31</v>
      </c>
      <c r="W25" s="55">
        <v>393.75</v>
      </c>
      <c r="X25" s="54">
        <f>Q25*T25</f>
        <v>393.75</v>
      </c>
      <c r="Y25" s="54">
        <f>U25</f>
        <v>9</v>
      </c>
      <c r="Z25" s="56">
        <f>B25</f>
        <v>10048</v>
      </c>
      <c r="AA25" s="49" t="s">
        <v>197</v>
      </c>
      <c r="AB25" s="56">
        <v>739020</v>
      </c>
      <c r="AC25" s="89">
        <v>0</v>
      </c>
    </row>
    <row r="26" spans="1:29" ht="12">
      <c r="A26" s="85" t="s">
        <v>48</v>
      </c>
      <c r="B26" s="107">
        <f>VLOOKUP(A26,'[3]Summer Data Sheet 17-18'!$C$366:$D$488,2,0)</f>
        <v>10048</v>
      </c>
      <c r="C26" s="87"/>
      <c r="D26" s="87" t="s">
        <v>26</v>
      </c>
      <c r="E26" s="91" t="s">
        <v>173</v>
      </c>
      <c r="F26" s="91" t="s">
        <v>90</v>
      </c>
      <c r="G26" s="95">
        <f>(36*40)/1728</f>
        <v>0.8333333333333334</v>
      </c>
      <c r="H26" s="91" t="s">
        <v>30</v>
      </c>
      <c r="I26" s="174">
        <v>4</v>
      </c>
      <c r="J26" s="174">
        <v>0</v>
      </c>
      <c r="K26" s="174">
        <v>0</v>
      </c>
      <c r="L26" s="174">
        <v>0</v>
      </c>
      <c r="M26" s="174">
        <f>SUM(I26:L26)</f>
        <v>4</v>
      </c>
      <c r="N26" s="115">
        <v>43101</v>
      </c>
      <c r="O26" s="115">
        <v>43149</v>
      </c>
      <c r="P26" s="51">
        <v>111</v>
      </c>
      <c r="Q26" s="52">
        <v>92.5</v>
      </c>
      <c r="R26" s="135" t="s">
        <v>196</v>
      </c>
      <c r="S26" s="135">
        <v>4</v>
      </c>
      <c r="T26" s="53" t="s">
        <v>196</v>
      </c>
      <c r="U26" s="123">
        <v>4</v>
      </c>
      <c r="V26" s="104" t="s">
        <v>28</v>
      </c>
      <c r="W26" s="55">
        <v>370</v>
      </c>
      <c r="X26" s="54">
        <f>Q26*T26</f>
        <v>0</v>
      </c>
      <c r="Y26" s="54">
        <f>U26</f>
        <v>4</v>
      </c>
      <c r="Z26" s="56">
        <f>B26</f>
        <v>10048</v>
      </c>
      <c r="AA26" s="49" t="s">
        <v>198</v>
      </c>
      <c r="AB26" s="56">
        <v>739030</v>
      </c>
      <c r="AC26" s="89">
        <v>0</v>
      </c>
    </row>
    <row r="27" spans="1:29" ht="12">
      <c r="A27" s="85" t="s">
        <v>48</v>
      </c>
      <c r="B27" s="107">
        <f>VLOOKUP(A27,'[3]Summer Data Sheet 17-18'!$C$366:$D$488,2,0)</f>
        <v>10048</v>
      </c>
      <c r="C27" s="86"/>
      <c r="D27" s="87" t="s">
        <v>29</v>
      </c>
      <c r="E27" s="91" t="s">
        <v>173</v>
      </c>
      <c r="F27" s="91" t="s">
        <v>90</v>
      </c>
      <c r="G27" s="95">
        <f>(36*40)/1728</f>
        <v>0.8333333333333334</v>
      </c>
      <c r="H27" s="91" t="s">
        <v>30</v>
      </c>
      <c r="I27" s="174">
        <v>18</v>
      </c>
      <c r="J27" s="174">
        <v>7</v>
      </c>
      <c r="K27" s="174">
        <v>0</v>
      </c>
      <c r="L27" s="174">
        <v>0</v>
      </c>
      <c r="M27" s="174">
        <f>SUM(I27:L27)</f>
        <v>25</v>
      </c>
      <c r="N27" s="115">
        <v>43101</v>
      </c>
      <c r="O27" s="115">
        <v>43149</v>
      </c>
      <c r="P27" s="51">
        <v>111</v>
      </c>
      <c r="Q27" s="51">
        <v>92.5</v>
      </c>
      <c r="R27" s="53" t="s">
        <v>196</v>
      </c>
      <c r="S27" s="53" t="s">
        <v>196</v>
      </c>
      <c r="T27" s="135">
        <v>25</v>
      </c>
      <c r="U27" s="123">
        <v>25</v>
      </c>
      <c r="V27" s="104" t="s">
        <v>31</v>
      </c>
      <c r="W27" s="55">
        <v>2312.5</v>
      </c>
      <c r="X27" s="54">
        <f>Q27*T27</f>
        <v>2312.5</v>
      </c>
      <c r="Y27" s="54">
        <f>U27</f>
        <v>25</v>
      </c>
      <c r="Z27" s="56">
        <f>B27</f>
        <v>10048</v>
      </c>
      <c r="AA27" s="49" t="s">
        <v>198</v>
      </c>
      <c r="AB27" s="56">
        <v>739030</v>
      </c>
      <c r="AC27" s="89">
        <v>0</v>
      </c>
    </row>
    <row r="28" spans="1:29" ht="12">
      <c r="A28" s="85" t="s">
        <v>48</v>
      </c>
      <c r="B28" s="107">
        <f>VLOOKUP(A28,'[3]Summer Data Sheet 17-18'!$C$366:$D$488,2,0)</f>
        <v>10048</v>
      </c>
      <c r="C28" s="86"/>
      <c r="D28" s="87" t="s">
        <v>300</v>
      </c>
      <c r="E28" s="91" t="s">
        <v>173</v>
      </c>
      <c r="F28" s="91" t="s">
        <v>90</v>
      </c>
      <c r="G28" s="95">
        <f>18/36</f>
        <v>0.5</v>
      </c>
      <c r="H28" s="91" t="s">
        <v>30</v>
      </c>
      <c r="I28" s="174">
        <v>0</v>
      </c>
      <c r="J28" s="174">
        <v>8</v>
      </c>
      <c r="K28" s="174">
        <v>2</v>
      </c>
      <c r="L28" s="174">
        <v>0</v>
      </c>
      <c r="M28" s="174">
        <f>SUM(I28:L28)</f>
        <v>10</v>
      </c>
      <c r="N28" s="115">
        <v>43150</v>
      </c>
      <c r="O28" s="115">
        <v>43190</v>
      </c>
      <c r="P28" s="51">
        <v>111</v>
      </c>
      <c r="Q28" s="52">
        <v>55.5</v>
      </c>
      <c r="R28" s="53" t="s">
        <v>196</v>
      </c>
      <c r="S28" s="53" t="s">
        <v>196</v>
      </c>
      <c r="T28" s="135">
        <v>10</v>
      </c>
      <c r="U28" s="123">
        <v>10</v>
      </c>
      <c r="V28" s="104" t="s">
        <v>31</v>
      </c>
      <c r="W28" s="55">
        <v>555</v>
      </c>
      <c r="X28" s="54">
        <f>Q28*T28</f>
        <v>555</v>
      </c>
      <c r="Y28" s="54">
        <f>U28</f>
        <v>10</v>
      </c>
      <c r="Z28" s="56">
        <f>B28</f>
        <v>10048</v>
      </c>
      <c r="AA28" s="49" t="s">
        <v>198</v>
      </c>
      <c r="AB28" s="56">
        <v>739030</v>
      </c>
      <c r="AC28" s="89">
        <v>0</v>
      </c>
    </row>
    <row r="29" spans="1:29" ht="12">
      <c r="A29" s="85" t="s">
        <v>48</v>
      </c>
      <c r="B29" s="107">
        <f>VLOOKUP(A29,'[3]Summer Data Sheet 17-18'!$C$366:$D$488,2,0)</f>
        <v>10048</v>
      </c>
      <c r="C29" s="86"/>
      <c r="D29" s="87" t="s">
        <v>301</v>
      </c>
      <c r="E29" s="91" t="s">
        <v>173</v>
      </c>
      <c r="F29" s="91" t="s">
        <v>90</v>
      </c>
      <c r="G29" s="95">
        <f>11.1/36</f>
        <v>0.30833333333333335</v>
      </c>
      <c r="H29" s="91" t="s">
        <v>30</v>
      </c>
      <c r="I29" s="174">
        <v>0</v>
      </c>
      <c r="J29" s="174">
        <v>0</v>
      </c>
      <c r="K29" s="174">
        <v>10</v>
      </c>
      <c r="L29" s="174">
        <v>0</v>
      </c>
      <c r="M29" s="174">
        <f>SUM(I29:L29)</f>
        <v>10</v>
      </c>
      <c r="N29" s="115">
        <v>43150</v>
      </c>
      <c r="O29" s="115">
        <v>43190</v>
      </c>
      <c r="P29" s="51">
        <v>111</v>
      </c>
      <c r="Q29" s="52">
        <v>34.23</v>
      </c>
      <c r="R29" s="53" t="s">
        <v>196</v>
      </c>
      <c r="S29" s="53" t="s">
        <v>196</v>
      </c>
      <c r="T29" s="135">
        <v>10</v>
      </c>
      <c r="U29" s="123">
        <v>10</v>
      </c>
      <c r="V29" s="104" t="s">
        <v>31</v>
      </c>
      <c r="W29" s="55">
        <v>342.3</v>
      </c>
      <c r="X29" s="54">
        <f>Q29*T29</f>
        <v>342.29999999999995</v>
      </c>
      <c r="Y29" s="54">
        <f>U29</f>
        <v>10</v>
      </c>
      <c r="Z29" s="56">
        <f>B29</f>
        <v>10048</v>
      </c>
      <c r="AA29" s="49" t="s">
        <v>198</v>
      </c>
      <c r="AB29" s="56">
        <v>739030</v>
      </c>
      <c r="AC29" s="89">
        <v>0</v>
      </c>
    </row>
    <row r="30" spans="1:29" ht="12">
      <c r="A30" s="85" t="s">
        <v>48</v>
      </c>
      <c r="B30" s="107">
        <f>VLOOKUP(A30,'[3]Summer Data Sheet 17-18'!$C$366:$D$488,2,0)</f>
        <v>10048</v>
      </c>
      <c r="C30" s="86"/>
      <c r="D30" s="87" t="s">
        <v>295</v>
      </c>
      <c r="E30" s="91" t="s">
        <v>173</v>
      </c>
      <c r="F30" s="91" t="s">
        <v>90</v>
      </c>
      <c r="G30" s="95">
        <f>7.4/36</f>
        <v>0.20555555555555557</v>
      </c>
      <c r="H30" s="91" t="s">
        <v>30</v>
      </c>
      <c r="I30" s="174">
        <v>0</v>
      </c>
      <c r="J30" s="174">
        <v>0</v>
      </c>
      <c r="K30" s="174">
        <v>5</v>
      </c>
      <c r="L30" s="174">
        <v>0</v>
      </c>
      <c r="M30" s="174">
        <f>SUM(I30:L30)</f>
        <v>5</v>
      </c>
      <c r="N30" s="115">
        <v>43150</v>
      </c>
      <c r="O30" s="115">
        <v>43190</v>
      </c>
      <c r="P30" s="51">
        <v>111</v>
      </c>
      <c r="Q30" s="51">
        <v>22.82</v>
      </c>
      <c r="R30" s="135" t="s">
        <v>196</v>
      </c>
      <c r="S30" s="135" t="s">
        <v>196</v>
      </c>
      <c r="T30" s="53">
        <v>5</v>
      </c>
      <c r="U30" s="123">
        <v>5</v>
      </c>
      <c r="V30" s="104" t="s">
        <v>31</v>
      </c>
      <c r="W30" s="55">
        <v>114.1</v>
      </c>
      <c r="X30" s="54">
        <f>Q30*T30</f>
        <v>114.1</v>
      </c>
      <c r="Y30" s="54">
        <f>U30</f>
        <v>5</v>
      </c>
      <c r="Z30" s="56">
        <f>B30</f>
        <v>10048</v>
      </c>
      <c r="AA30" s="49" t="s">
        <v>198</v>
      </c>
      <c r="AB30" s="56">
        <v>739030</v>
      </c>
      <c r="AC30" s="89">
        <v>0</v>
      </c>
    </row>
    <row r="31" spans="1:29" ht="12">
      <c r="A31" s="85" t="s">
        <v>54</v>
      </c>
      <c r="B31" s="107">
        <f>VLOOKUP(A31,'[3]Summer Data Sheet 17-18'!$C$366:$D$488,2,0)</f>
        <v>10054</v>
      </c>
      <c r="C31" s="86"/>
      <c r="D31" s="87" t="s">
        <v>302</v>
      </c>
      <c r="E31" s="91" t="s">
        <v>173</v>
      </c>
      <c r="F31" s="91" t="s">
        <v>24</v>
      </c>
      <c r="G31" s="97">
        <v>1</v>
      </c>
      <c r="H31" s="91" t="s">
        <v>30</v>
      </c>
      <c r="I31" s="174">
        <v>-19</v>
      </c>
      <c r="J31" s="174">
        <v>0</v>
      </c>
      <c r="K31" s="174">
        <v>0</v>
      </c>
      <c r="L31" s="174">
        <v>0</v>
      </c>
      <c r="M31" s="174">
        <f>SUM(I31:L31)</f>
        <v>-19</v>
      </c>
      <c r="N31" s="115">
        <v>42843</v>
      </c>
      <c r="O31" s="115">
        <v>42891</v>
      </c>
      <c r="P31" s="51">
        <v>175</v>
      </c>
      <c r="Q31" s="52">
        <v>175</v>
      </c>
      <c r="R31" s="53" t="s">
        <v>196</v>
      </c>
      <c r="S31" s="53" t="s">
        <v>196</v>
      </c>
      <c r="T31" s="135" t="s">
        <v>196</v>
      </c>
      <c r="U31" s="123">
        <v>-19</v>
      </c>
      <c r="V31" s="104" t="s">
        <v>264</v>
      </c>
      <c r="W31" s="55">
        <v>-3325</v>
      </c>
      <c r="X31" s="54">
        <f>Q31*T31</f>
        <v>0</v>
      </c>
      <c r="Y31" s="54">
        <f>U31</f>
        <v>-19</v>
      </c>
      <c r="Z31" s="56">
        <f>B31</f>
        <v>10054</v>
      </c>
      <c r="AA31" s="49" t="s">
        <v>197</v>
      </c>
      <c r="AB31" s="56">
        <v>739020</v>
      </c>
      <c r="AC31" s="89">
        <v>0</v>
      </c>
    </row>
    <row r="32" spans="1:29" ht="12">
      <c r="A32" s="85" t="s">
        <v>54</v>
      </c>
      <c r="B32" s="107">
        <f>VLOOKUP(A32,'[3]Summer Data Sheet 17-18'!$C$366:$D$488,2,0)</f>
        <v>10054</v>
      </c>
      <c r="C32" s="86"/>
      <c r="D32" s="87" t="s">
        <v>34</v>
      </c>
      <c r="E32" s="91" t="s">
        <v>173</v>
      </c>
      <c r="F32" s="91" t="s">
        <v>24</v>
      </c>
      <c r="G32" s="97">
        <v>1</v>
      </c>
      <c r="H32" s="91" t="s">
        <v>30</v>
      </c>
      <c r="I32" s="174">
        <v>22</v>
      </c>
      <c r="J32" s="174">
        <v>14</v>
      </c>
      <c r="K32" s="174">
        <v>0</v>
      </c>
      <c r="L32" s="174">
        <v>0</v>
      </c>
      <c r="M32" s="174">
        <f>SUM(I32:L32)</f>
        <v>36</v>
      </c>
      <c r="N32" s="115">
        <v>43101</v>
      </c>
      <c r="O32" s="115">
        <v>43190</v>
      </c>
      <c r="P32" s="51">
        <v>175</v>
      </c>
      <c r="Q32" s="52">
        <v>175</v>
      </c>
      <c r="R32" s="135" t="s">
        <v>196</v>
      </c>
      <c r="S32" s="135" t="s">
        <v>196</v>
      </c>
      <c r="T32" s="53" t="s">
        <v>196</v>
      </c>
      <c r="U32" s="123">
        <v>36</v>
      </c>
      <c r="V32" s="104" t="s">
        <v>264</v>
      </c>
      <c r="W32" s="55">
        <v>6300</v>
      </c>
      <c r="X32" s="54">
        <f>Q32*T32</f>
        <v>0</v>
      </c>
      <c r="Y32" s="54">
        <f>U32</f>
        <v>36</v>
      </c>
      <c r="Z32" s="56">
        <f>B32</f>
        <v>10054</v>
      </c>
      <c r="AA32" s="49" t="s">
        <v>197</v>
      </c>
      <c r="AB32" s="56">
        <v>739020</v>
      </c>
      <c r="AC32" s="89">
        <v>0</v>
      </c>
    </row>
    <row r="33" spans="1:29" ht="12">
      <c r="A33" s="85" t="s">
        <v>54</v>
      </c>
      <c r="B33" s="107">
        <f>VLOOKUP(A33,'[3]Summer Data Sheet 17-18'!$C$366:$D$488,2,0)</f>
        <v>10054</v>
      </c>
      <c r="C33" s="86"/>
      <c r="D33" s="87" t="s">
        <v>29</v>
      </c>
      <c r="E33" s="91" t="s">
        <v>173</v>
      </c>
      <c r="F33" s="96" t="s">
        <v>63</v>
      </c>
      <c r="G33" s="95">
        <f>(12*40)/1728</f>
        <v>0.2777777777777778</v>
      </c>
      <c r="H33" s="91" t="s">
        <v>25</v>
      </c>
      <c r="I33" s="174">
        <f>21+14+22</f>
        <v>57</v>
      </c>
      <c r="J33" s="174">
        <v>15</v>
      </c>
      <c r="K33" s="174">
        <v>21</v>
      </c>
      <c r="L33" s="174">
        <v>0</v>
      </c>
      <c r="M33" s="174">
        <f>SUM(I33:L33)</f>
        <v>93</v>
      </c>
      <c r="N33" s="115">
        <v>43041</v>
      </c>
      <c r="O33" s="115">
        <v>43190</v>
      </c>
      <c r="P33" s="51">
        <v>93</v>
      </c>
      <c r="Q33" s="52">
        <v>25.83</v>
      </c>
      <c r="R33" s="135">
        <v>35</v>
      </c>
      <c r="S33" s="135" t="s">
        <v>196</v>
      </c>
      <c r="T33" s="135">
        <v>58</v>
      </c>
      <c r="U33" s="123">
        <v>93</v>
      </c>
      <c r="V33" s="104" t="s">
        <v>31</v>
      </c>
      <c r="W33" s="55">
        <v>1498.14</v>
      </c>
      <c r="X33" s="54">
        <f>Q33*T33</f>
        <v>1498.1399999999999</v>
      </c>
      <c r="Y33" s="54">
        <f>U33</f>
        <v>93</v>
      </c>
      <c r="Z33" s="56">
        <f>B33</f>
        <v>10054</v>
      </c>
      <c r="AA33" s="49" t="s">
        <v>198</v>
      </c>
      <c r="AB33" s="56">
        <v>739030</v>
      </c>
      <c r="AC33" s="89">
        <v>0</v>
      </c>
    </row>
    <row r="34" spans="1:29" ht="12">
      <c r="A34" s="85" t="s">
        <v>59</v>
      </c>
      <c r="B34" s="107">
        <f>VLOOKUP(A34,'[3]Summer Data Sheet 17-18'!$C$366:$D$488,2,0)</f>
        <v>10057</v>
      </c>
      <c r="C34" s="86"/>
      <c r="D34" s="87" t="s">
        <v>34</v>
      </c>
      <c r="E34" s="91" t="s">
        <v>173</v>
      </c>
      <c r="F34" s="91" t="s">
        <v>24</v>
      </c>
      <c r="G34" s="95">
        <v>0.436</v>
      </c>
      <c r="H34" s="91" t="s">
        <v>30</v>
      </c>
      <c r="I34" s="174">
        <v>19</v>
      </c>
      <c r="J34" s="174">
        <v>0</v>
      </c>
      <c r="K34" s="174">
        <v>0</v>
      </c>
      <c r="L34" s="174">
        <v>0</v>
      </c>
      <c r="M34" s="174">
        <f>SUM(I34:L34)</f>
        <v>19</v>
      </c>
      <c r="N34" s="115">
        <v>43101</v>
      </c>
      <c r="O34" s="115">
        <v>43190</v>
      </c>
      <c r="P34" s="51">
        <v>175</v>
      </c>
      <c r="Q34" s="52">
        <v>76.3</v>
      </c>
      <c r="R34" s="53" t="s">
        <v>196</v>
      </c>
      <c r="S34" s="135" t="s">
        <v>196</v>
      </c>
      <c r="T34" s="135" t="s">
        <v>196</v>
      </c>
      <c r="U34" s="123">
        <v>19</v>
      </c>
      <c r="V34" s="104" t="s">
        <v>264</v>
      </c>
      <c r="W34" s="55">
        <v>1449.7</v>
      </c>
      <c r="X34" s="54">
        <f>Q34*T34</f>
        <v>0</v>
      </c>
      <c r="Y34" s="54">
        <f>U34</f>
        <v>19</v>
      </c>
      <c r="Z34" s="56">
        <f>B34</f>
        <v>10057</v>
      </c>
      <c r="AA34" s="49" t="s">
        <v>197</v>
      </c>
      <c r="AB34" s="56">
        <v>739020</v>
      </c>
      <c r="AC34" s="89">
        <v>0</v>
      </c>
    </row>
    <row r="35" spans="1:29" ht="12">
      <c r="A35" s="85" t="s">
        <v>61</v>
      </c>
      <c r="B35" s="107">
        <f>VLOOKUP(A35,'[3]Summer Data Sheet 17-18'!$C$366:$D$488,2,0)</f>
        <v>10059</v>
      </c>
      <c r="C35" s="86"/>
      <c r="D35" s="87" t="s">
        <v>26</v>
      </c>
      <c r="E35" s="91" t="s">
        <v>173</v>
      </c>
      <c r="F35" s="96" t="s">
        <v>63</v>
      </c>
      <c r="G35" s="95">
        <v>0.6</v>
      </c>
      <c r="H35" s="91" t="s">
        <v>25</v>
      </c>
      <c r="I35" s="174">
        <v>13</v>
      </c>
      <c r="J35" s="174">
        <v>15</v>
      </c>
      <c r="K35" s="174">
        <v>7</v>
      </c>
      <c r="L35" s="174">
        <v>0</v>
      </c>
      <c r="M35" s="174">
        <f>SUM(I35:L35)</f>
        <v>35</v>
      </c>
      <c r="N35" s="115">
        <v>43115</v>
      </c>
      <c r="O35" s="115">
        <v>43190</v>
      </c>
      <c r="P35" s="51">
        <v>93</v>
      </c>
      <c r="Q35" s="51">
        <v>55.8</v>
      </c>
      <c r="R35" s="135">
        <v>15</v>
      </c>
      <c r="S35" s="135">
        <v>20</v>
      </c>
      <c r="T35" s="53" t="s">
        <v>196</v>
      </c>
      <c r="U35" s="123">
        <v>35</v>
      </c>
      <c r="V35" s="104" t="s">
        <v>28</v>
      </c>
      <c r="W35" s="55">
        <v>1116</v>
      </c>
      <c r="X35" s="54">
        <f>Q35*T35</f>
        <v>0</v>
      </c>
      <c r="Y35" s="54">
        <f>U35</f>
        <v>35</v>
      </c>
      <c r="Z35" s="56">
        <f>B35</f>
        <v>10059</v>
      </c>
      <c r="AA35" s="49" t="s">
        <v>198</v>
      </c>
      <c r="AB35" s="56">
        <v>739030</v>
      </c>
      <c r="AC35" s="89">
        <v>0</v>
      </c>
    </row>
    <row r="36" spans="1:30" ht="12">
      <c r="A36" s="85" t="s">
        <v>61</v>
      </c>
      <c r="B36" s="107">
        <f>VLOOKUP(A36,'[3]Summer Data Sheet 17-18'!$C$366:$D$488,2,0)</f>
        <v>10059</v>
      </c>
      <c r="C36" s="86"/>
      <c r="D36" s="87" t="s">
        <v>29</v>
      </c>
      <c r="E36" s="91" t="s">
        <v>173</v>
      </c>
      <c r="F36" s="96" t="s">
        <v>63</v>
      </c>
      <c r="G36" s="95">
        <v>0.6</v>
      </c>
      <c r="H36" s="91" t="s">
        <v>30</v>
      </c>
      <c r="I36" s="174">
        <v>0</v>
      </c>
      <c r="J36" s="174">
        <v>0</v>
      </c>
      <c r="K36" s="174">
        <v>14</v>
      </c>
      <c r="L36" s="174">
        <v>0</v>
      </c>
      <c r="M36" s="174">
        <f>SUM(I36:L36)</f>
        <v>14</v>
      </c>
      <c r="N36" s="115">
        <v>43115</v>
      </c>
      <c r="O36" s="115">
        <v>43190</v>
      </c>
      <c r="P36" s="51">
        <v>93</v>
      </c>
      <c r="Q36" s="52">
        <v>55.8</v>
      </c>
      <c r="R36" s="135" t="s">
        <v>196</v>
      </c>
      <c r="S36" s="135" t="s">
        <v>196</v>
      </c>
      <c r="T36" s="53">
        <v>14</v>
      </c>
      <c r="U36" s="123">
        <v>14</v>
      </c>
      <c r="V36" s="104" t="s">
        <v>31</v>
      </c>
      <c r="W36" s="55">
        <v>781.2</v>
      </c>
      <c r="X36" s="54">
        <f>Q36*T36</f>
        <v>781.1999999999999</v>
      </c>
      <c r="Y36" s="54">
        <f>U36</f>
        <v>14</v>
      </c>
      <c r="Z36" s="56">
        <f>B36</f>
        <v>10059</v>
      </c>
      <c r="AA36" s="49" t="s">
        <v>198</v>
      </c>
      <c r="AB36" s="56">
        <v>739030</v>
      </c>
      <c r="AC36" s="89">
        <v>0</v>
      </c>
      <c r="AD36" s="58"/>
    </row>
    <row r="37" spans="1:29" ht="12">
      <c r="A37" s="85" t="s">
        <v>61</v>
      </c>
      <c r="B37" s="107">
        <f>VLOOKUP(A37,'[3]Summer Data Sheet 17-18'!$C$366:$D$488,2,0)</f>
        <v>10059</v>
      </c>
      <c r="C37" s="86"/>
      <c r="D37" s="87" t="s">
        <v>26</v>
      </c>
      <c r="E37" s="91" t="s">
        <v>173</v>
      </c>
      <c r="F37" s="96" t="s">
        <v>27</v>
      </c>
      <c r="G37" s="95">
        <v>1</v>
      </c>
      <c r="H37" s="91" t="s">
        <v>25</v>
      </c>
      <c r="I37" s="174">
        <v>4</v>
      </c>
      <c r="J37" s="174">
        <v>15</v>
      </c>
      <c r="K37" s="174">
        <v>3</v>
      </c>
      <c r="L37" s="174">
        <v>0</v>
      </c>
      <c r="M37" s="174">
        <f>SUM(I37:L37)</f>
        <v>22</v>
      </c>
      <c r="N37" s="115">
        <v>43126</v>
      </c>
      <c r="O37" s="115">
        <v>43164</v>
      </c>
      <c r="P37" s="51">
        <v>175</v>
      </c>
      <c r="Q37" s="52">
        <v>175</v>
      </c>
      <c r="R37" s="135">
        <v>15</v>
      </c>
      <c r="S37" s="135">
        <v>7</v>
      </c>
      <c r="T37" s="53" t="s">
        <v>196</v>
      </c>
      <c r="U37" s="123">
        <v>22</v>
      </c>
      <c r="V37" s="104" t="s">
        <v>28</v>
      </c>
      <c r="W37" s="55">
        <v>1225</v>
      </c>
      <c r="X37" s="54">
        <f>Q37*T37</f>
        <v>0</v>
      </c>
      <c r="Y37" s="54">
        <f>U37</f>
        <v>22</v>
      </c>
      <c r="Z37" s="56">
        <f>B37</f>
        <v>10059</v>
      </c>
      <c r="AA37" s="49" t="s">
        <v>197</v>
      </c>
      <c r="AB37" s="56">
        <v>739020</v>
      </c>
      <c r="AC37" s="89">
        <v>0</v>
      </c>
    </row>
    <row r="38" spans="1:30" ht="12.75">
      <c r="A38" s="85" t="s">
        <v>64</v>
      </c>
      <c r="B38" s="107">
        <f>VLOOKUP(A38,'[3]Summer Data Sheet 17-18'!$C$366:$D$488,2,0)</f>
        <v>10060</v>
      </c>
      <c r="C38" s="86"/>
      <c r="D38" s="87" t="s">
        <v>29</v>
      </c>
      <c r="E38" s="91" t="s">
        <v>173</v>
      </c>
      <c r="F38" s="96" t="s">
        <v>123</v>
      </c>
      <c r="G38" s="95">
        <v>1</v>
      </c>
      <c r="H38" s="91" t="s">
        <v>30</v>
      </c>
      <c r="I38" s="174">
        <v>22</v>
      </c>
      <c r="J38" s="174">
        <v>15</v>
      </c>
      <c r="K38" s="174">
        <v>21</v>
      </c>
      <c r="L38" s="174">
        <v>0</v>
      </c>
      <c r="M38" s="174">
        <f>SUM(I38:L38)</f>
        <v>58</v>
      </c>
      <c r="N38" s="115">
        <v>43101</v>
      </c>
      <c r="O38" s="115">
        <v>43190</v>
      </c>
      <c r="P38" s="51">
        <v>82</v>
      </c>
      <c r="Q38" s="51">
        <v>82</v>
      </c>
      <c r="R38" s="53" t="s">
        <v>196</v>
      </c>
      <c r="S38" s="53" t="s">
        <v>196</v>
      </c>
      <c r="T38" s="135">
        <v>58</v>
      </c>
      <c r="U38" s="123">
        <v>58</v>
      </c>
      <c r="V38" s="104" t="s">
        <v>31</v>
      </c>
      <c r="W38" s="55">
        <v>4756</v>
      </c>
      <c r="X38" s="54">
        <f>Q38*T38</f>
        <v>4756</v>
      </c>
      <c r="Y38" s="54">
        <f>U38</f>
        <v>58</v>
      </c>
      <c r="Z38" s="56">
        <f>B38</f>
        <v>10060</v>
      </c>
      <c r="AA38" s="49" t="s">
        <v>198</v>
      </c>
      <c r="AB38" s="56">
        <v>739030</v>
      </c>
      <c r="AC38" s="89">
        <v>0</v>
      </c>
      <c r="AD38" s="57"/>
    </row>
    <row r="39" spans="1:29" ht="12">
      <c r="A39" s="85" t="s">
        <v>64</v>
      </c>
      <c r="B39" s="107">
        <f>VLOOKUP(A39,'[3]Summer Data Sheet 17-18'!$C$366:$D$488,2,0)</f>
        <v>10060</v>
      </c>
      <c r="C39" s="86"/>
      <c r="D39" s="87" t="s">
        <v>26</v>
      </c>
      <c r="E39" s="91" t="s">
        <v>173</v>
      </c>
      <c r="F39" s="96" t="s">
        <v>63</v>
      </c>
      <c r="G39" s="95">
        <v>1</v>
      </c>
      <c r="H39" s="91" t="s">
        <v>25</v>
      </c>
      <c r="I39" s="174">
        <v>0</v>
      </c>
      <c r="J39" s="174">
        <v>8</v>
      </c>
      <c r="K39" s="174">
        <v>21</v>
      </c>
      <c r="L39" s="174">
        <v>0</v>
      </c>
      <c r="M39" s="174">
        <f>SUM(I39:L39)</f>
        <v>29</v>
      </c>
      <c r="N39" s="115">
        <v>43150</v>
      </c>
      <c r="O39" s="115">
        <v>43190</v>
      </c>
      <c r="P39" s="51">
        <v>93</v>
      </c>
      <c r="Q39" s="52">
        <v>93</v>
      </c>
      <c r="R39" s="135">
        <v>15</v>
      </c>
      <c r="S39" s="53">
        <v>14</v>
      </c>
      <c r="T39" s="135" t="s">
        <v>196</v>
      </c>
      <c r="U39" s="123">
        <v>29</v>
      </c>
      <c r="V39" s="104" t="s">
        <v>28</v>
      </c>
      <c r="W39" s="55">
        <v>1302</v>
      </c>
      <c r="X39" s="54">
        <f>Q39*T39</f>
        <v>0</v>
      </c>
      <c r="Y39" s="54">
        <f>U39</f>
        <v>29</v>
      </c>
      <c r="Z39" s="56">
        <f>B39</f>
        <v>10060</v>
      </c>
      <c r="AA39" s="49" t="s">
        <v>198</v>
      </c>
      <c r="AB39" s="56">
        <v>739030</v>
      </c>
      <c r="AC39" s="89">
        <v>0</v>
      </c>
    </row>
    <row r="40" spans="1:29" ht="12">
      <c r="A40" s="85" t="s">
        <v>62</v>
      </c>
      <c r="B40" s="107">
        <f>VLOOKUP(A40,'[3]Summer Data Sheet 17-18'!$C$366:$D$488,2,0)</f>
        <v>10061</v>
      </c>
      <c r="C40" s="86"/>
      <c r="D40" s="87" t="s">
        <v>26</v>
      </c>
      <c r="E40" s="91" t="s">
        <v>173</v>
      </c>
      <c r="F40" s="96" t="s">
        <v>27</v>
      </c>
      <c r="G40" s="95">
        <v>1</v>
      </c>
      <c r="H40" s="91" t="s">
        <v>25</v>
      </c>
      <c r="I40" s="174">
        <v>7</v>
      </c>
      <c r="J40" s="174">
        <v>15</v>
      </c>
      <c r="K40" s="174">
        <v>13</v>
      </c>
      <c r="L40" s="174">
        <v>0</v>
      </c>
      <c r="M40" s="174">
        <f>SUM(I40:L40)</f>
        <v>35</v>
      </c>
      <c r="N40" s="115">
        <v>43123</v>
      </c>
      <c r="O40" s="115">
        <v>43190</v>
      </c>
      <c r="P40" s="51">
        <v>175</v>
      </c>
      <c r="Q40" s="51">
        <v>175</v>
      </c>
      <c r="R40" s="135">
        <v>15</v>
      </c>
      <c r="S40" s="135">
        <v>20</v>
      </c>
      <c r="T40" s="53" t="s">
        <v>196</v>
      </c>
      <c r="U40" s="123">
        <v>35</v>
      </c>
      <c r="V40" s="104" t="s">
        <v>28</v>
      </c>
      <c r="W40" s="55">
        <v>3500</v>
      </c>
      <c r="X40" s="54">
        <f>Q40*T40</f>
        <v>0</v>
      </c>
      <c r="Y40" s="54">
        <f>U40</f>
        <v>35</v>
      </c>
      <c r="Z40" s="56">
        <f>B40</f>
        <v>10061</v>
      </c>
      <c r="AA40" s="49" t="s">
        <v>197</v>
      </c>
      <c r="AB40" s="56">
        <v>739020</v>
      </c>
      <c r="AC40" s="89">
        <v>0</v>
      </c>
    </row>
    <row r="41" spans="1:29" ht="12">
      <c r="A41" s="85" t="s">
        <v>62</v>
      </c>
      <c r="B41" s="107">
        <f>VLOOKUP(A41,'[3]Summer Data Sheet 17-18'!$C$366:$D$488,2,0)</f>
        <v>10061</v>
      </c>
      <c r="C41" s="86"/>
      <c r="D41" s="87" t="s">
        <v>29</v>
      </c>
      <c r="E41" s="91" t="s">
        <v>173</v>
      </c>
      <c r="F41" s="96" t="s">
        <v>27</v>
      </c>
      <c r="G41" s="95">
        <v>1</v>
      </c>
      <c r="H41" s="91" t="s">
        <v>30</v>
      </c>
      <c r="I41" s="174">
        <v>0</v>
      </c>
      <c r="J41" s="174">
        <v>0</v>
      </c>
      <c r="K41" s="174">
        <v>8</v>
      </c>
      <c r="L41" s="174">
        <v>0</v>
      </c>
      <c r="M41" s="174">
        <f>SUM(I41:L41)</f>
        <v>8</v>
      </c>
      <c r="N41" s="115">
        <v>43123</v>
      </c>
      <c r="O41" s="115">
        <v>43190</v>
      </c>
      <c r="P41" s="51">
        <v>175</v>
      </c>
      <c r="Q41" s="51">
        <v>175</v>
      </c>
      <c r="R41" s="135" t="s">
        <v>196</v>
      </c>
      <c r="S41" s="135" t="s">
        <v>196</v>
      </c>
      <c r="T41" s="53">
        <v>8</v>
      </c>
      <c r="U41" s="123">
        <v>8</v>
      </c>
      <c r="V41" s="104" t="s">
        <v>31</v>
      </c>
      <c r="W41" s="55">
        <v>1400</v>
      </c>
      <c r="X41" s="54">
        <f>Q41*T41</f>
        <v>1400</v>
      </c>
      <c r="Y41" s="54">
        <f>U41</f>
        <v>8</v>
      </c>
      <c r="Z41" s="56">
        <f>B41</f>
        <v>10061</v>
      </c>
      <c r="AA41" s="49" t="s">
        <v>197</v>
      </c>
      <c r="AB41" s="56">
        <v>739020</v>
      </c>
      <c r="AC41" s="89">
        <v>0</v>
      </c>
    </row>
    <row r="42" spans="1:29" ht="12">
      <c r="A42" s="85" t="s">
        <v>62</v>
      </c>
      <c r="B42" s="107">
        <f>VLOOKUP(A42,'[3]Summer Data Sheet 17-18'!$C$366:$D$488,2,0)</f>
        <v>10061</v>
      </c>
      <c r="C42" s="86"/>
      <c r="D42" s="87" t="s">
        <v>26</v>
      </c>
      <c r="E42" s="91" t="s">
        <v>173</v>
      </c>
      <c r="F42" s="96" t="s">
        <v>63</v>
      </c>
      <c r="G42" s="97">
        <v>0.49</v>
      </c>
      <c r="H42" s="91" t="s">
        <v>25</v>
      </c>
      <c r="I42" s="174">
        <v>6</v>
      </c>
      <c r="J42" s="174">
        <v>15</v>
      </c>
      <c r="K42" s="174">
        <v>7</v>
      </c>
      <c r="L42" s="174">
        <v>0</v>
      </c>
      <c r="M42" s="174">
        <f>SUM(I42:L42)</f>
        <v>28</v>
      </c>
      <c r="N42" s="115">
        <v>43124</v>
      </c>
      <c r="O42" s="115">
        <v>43168</v>
      </c>
      <c r="P42" s="51">
        <v>93</v>
      </c>
      <c r="Q42" s="52">
        <v>45.57</v>
      </c>
      <c r="R42" s="53">
        <v>15</v>
      </c>
      <c r="S42" s="135">
        <v>13</v>
      </c>
      <c r="T42" s="135" t="s">
        <v>196</v>
      </c>
      <c r="U42" s="123">
        <v>28</v>
      </c>
      <c r="V42" s="104" t="s">
        <v>28</v>
      </c>
      <c r="W42" s="55">
        <v>592.41</v>
      </c>
      <c r="X42" s="54">
        <f>Q42*T42</f>
        <v>0</v>
      </c>
      <c r="Y42" s="54">
        <f>U42</f>
        <v>28</v>
      </c>
      <c r="Z42" s="56">
        <f>B42</f>
        <v>10061</v>
      </c>
      <c r="AA42" s="49" t="s">
        <v>198</v>
      </c>
      <c r="AB42" s="56">
        <v>739030</v>
      </c>
      <c r="AC42" s="89">
        <v>0</v>
      </c>
    </row>
    <row r="43" spans="1:29" ht="12">
      <c r="A43" s="85" t="s">
        <v>68</v>
      </c>
      <c r="B43" s="107">
        <f>VLOOKUP(A43,'[3]Summer Data Sheet 17-18'!$C$366:$D$488,2,0)</f>
        <v>10065</v>
      </c>
      <c r="C43" s="86"/>
      <c r="D43" s="87" t="s">
        <v>34</v>
      </c>
      <c r="E43" s="91" t="s">
        <v>173</v>
      </c>
      <c r="F43" s="96" t="s">
        <v>24</v>
      </c>
      <c r="G43" s="95">
        <v>1</v>
      </c>
      <c r="H43" s="91" t="s">
        <v>30</v>
      </c>
      <c r="I43" s="174">
        <v>22</v>
      </c>
      <c r="J43" s="174">
        <v>6</v>
      </c>
      <c r="K43" s="174">
        <v>0</v>
      </c>
      <c r="L43" s="174">
        <v>0</v>
      </c>
      <c r="M43" s="174">
        <f>SUM(I43:L43)</f>
        <v>28</v>
      </c>
      <c r="N43" s="115">
        <v>43101</v>
      </c>
      <c r="O43" s="115">
        <v>43190</v>
      </c>
      <c r="P43" s="51">
        <v>175</v>
      </c>
      <c r="Q43" s="52">
        <v>175</v>
      </c>
      <c r="R43" s="135" t="s">
        <v>196</v>
      </c>
      <c r="S43" s="135" t="s">
        <v>196</v>
      </c>
      <c r="T43" s="53" t="s">
        <v>196</v>
      </c>
      <c r="U43" s="123">
        <v>28</v>
      </c>
      <c r="V43" s="104" t="s">
        <v>264</v>
      </c>
      <c r="W43" s="55">
        <v>4900</v>
      </c>
      <c r="X43" s="54">
        <f>Q43*T43</f>
        <v>0</v>
      </c>
      <c r="Y43" s="54">
        <f>U43</f>
        <v>28</v>
      </c>
      <c r="Z43" s="56">
        <f>B43</f>
        <v>10065</v>
      </c>
      <c r="AA43" s="49" t="s">
        <v>197</v>
      </c>
      <c r="AB43" s="56">
        <v>739020</v>
      </c>
      <c r="AC43" s="89">
        <v>0</v>
      </c>
    </row>
    <row r="44" spans="1:32" s="58" customFormat="1" ht="12">
      <c r="A44" s="85" t="s">
        <v>69</v>
      </c>
      <c r="B44" s="107">
        <f>VLOOKUP(A44,'[3]Summer Data Sheet 17-18'!$C$366:$D$488,2,0)</f>
        <v>10068</v>
      </c>
      <c r="C44" s="86"/>
      <c r="D44" s="87" t="s">
        <v>29</v>
      </c>
      <c r="E44" s="91" t="s">
        <v>173</v>
      </c>
      <c r="F44" s="96" t="s">
        <v>63</v>
      </c>
      <c r="G44" s="97">
        <v>0.35</v>
      </c>
      <c r="H44" s="91" t="s">
        <v>30</v>
      </c>
      <c r="I44" s="174">
        <v>9</v>
      </c>
      <c r="J44" s="174">
        <v>15</v>
      </c>
      <c r="K44" s="174">
        <v>0</v>
      </c>
      <c r="L44" s="174">
        <v>0</v>
      </c>
      <c r="M44" s="174">
        <f>SUM(I44:L44)</f>
        <v>24</v>
      </c>
      <c r="N44" s="115">
        <v>43119</v>
      </c>
      <c r="O44" s="115">
        <v>43159</v>
      </c>
      <c r="P44" s="51">
        <v>93</v>
      </c>
      <c r="Q44" s="51">
        <v>32.55</v>
      </c>
      <c r="R44" s="53" t="s">
        <v>196</v>
      </c>
      <c r="S44" s="53" t="s">
        <v>196</v>
      </c>
      <c r="T44" s="135">
        <v>24</v>
      </c>
      <c r="U44" s="123">
        <v>24</v>
      </c>
      <c r="V44" s="104" t="s">
        <v>31</v>
      </c>
      <c r="W44" s="55">
        <v>781.2</v>
      </c>
      <c r="X44" s="54">
        <f>Q44*T44</f>
        <v>781.1999999999999</v>
      </c>
      <c r="Y44" s="54">
        <f>U44</f>
        <v>24</v>
      </c>
      <c r="Z44" s="56">
        <f>B44</f>
        <v>10068</v>
      </c>
      <c r="AA44" s="49" t="s">
        <v>198</v>
      </c>
      <c r="AB44" s="56">
        <v>739030</v>
      </c>
      <c r="AC44" s="89">
        <v>0</v>
      </c>
      <c r="AD44" s="47"/>
      <c r="AE44" s="47"/>
      <c r="AF44" s="47"/>
    </row>
    <row r="45" spans="1:29" ht="12">
      <c r="A45" s="85" t="s">
        <v>69</v>
      </c>
      <c r="B45" s="107">
        <f>VLOOKUP(A45,'[3]Summer Data Sheet 17-18'!$C$366:$D$488,2,0)</f>
        <v>10068</v>
      </c>
      <c r="C45" s="87"/>
      <c r="D45" s="87" t="s">
        <v>29</v>
      </c>
      <c r="E45" s="91" t="s">
        <v>173</v>
      </c>
      <c r="F45" s="96" t="s">
        <v>63</v>
      </c>
      <c r="G45" s="95">
        <v>0.57</v>
      </c>
      <c r="H45" s="91" t="s">
        <v>30</v>
      </c>
      <c r="I45" s="174">
        <v>0</v>
      </c>
      <c r="J45" s="174">
        <v>0</v>
      </c>
      <c r="K45" s="174">
        <v>21</v>
      </c>
      <c r="L45" s="174">
        <v>0</v>
      </c>
      <c r="M45" s="174">
        <f>SUM(I45:L45)</f>
        <v>21</v>
      </c>
      <c r="N45" s="115">
        <v>43160</v>
      </c>
      <c r="O45" s="115">
        <v>43190</v>
      </c>
      <c r="P45" s="51">
        <v>93</v>
      </c>
      <c r="Q45" s="52">
        <v>53.01</v>
      </c>
      <c r="R45" s="53" t="s">
        <v>196</v>
      </c>
      <c r="S45" s="53" t="s">
        <v>196</v>
      </c>
      <c r="T45" s="135">
        <v>21</v>
      </c>
      <c r="U45" s="123">
        <v>21</v>
      </c>
      <c r="V45" s="104" t="s">
        <v>31</v>
      </c>
      <c r="W45" s="55">
        <v>1113.21</v>
      </c>
      <c r="X45" s="54">
        <f>Q45*T45</f>
        <v>1113.21</v>
      </c>
      <c r="Y45" s="54">
        <f>U45</f>
        <v>21</v>
      </c>
      <c r="Z45" s="56">
        <f>B45</f>
        <v>10068</v>
      </c>
      <c r="AA45" s="49" t="s">
        <v>198</v>
      </c>
      <c r="AB45" s="56">
        <v>739030</v>
      </c>
      <c r="AC45" s="89">
        <v>0</v>
      </c>
    </row>
    <row r="46" spans="1:29" ht="12">
      <c r="A46" s="85" t="s">
        <v>69</v>
      </c>
      <c r="B46" s="107">
        <f>VLOOKUP(A46,'[3]Summer Data Sheet 17-18'!$C$366:$D$488,2,0)</f>
        <v>10068</v>
      </c>
      <c r="C46" s="86"/>
      <c r="D46" s="87" t="s">
        <v>29</v>
      </c>
      <c r="E46" s="91" t="s">
        <v>173</v>
      </c>
      <c r="F46" s="96" t="s">
        <v>63</v>
      </c>
      <c r="G46" s="95">
        <v>0.16</v>
      </c>
      <c r="H46" s="91" t="s">
        <v>30</v>
      </c>
      <c r="I46" s="174">
        <v>9</v>
      </c>
      <c r="J46" s="174">
        <v>15</v>
      </c>
      <c r="K46" s="174">
        <v>21</v>
      </c>
      <c r="L46" s="174">
        <v>0</v>
      </c>
      <c r="M46" s="174">
        <f>SUM(I46:L46)</f>
        <v>45</v>
      </c>
      <c r="N46" s="115">
        <v>43119</v>
      </c>
      <c r="O46" s="115">
        <v>43190</v>
      </c>
      <c r="P46" s="51">
        <v>93</v>
      </c>
      <c r="Q46" s="52">
        <v>14.88</v>
      </c>
      <c r="R46" s="53" t="s">
        <v>196</v>
      </c>
      <c r="S46" s="53" t="s">
        <v>196</v>
      </c>
      <c r="T46" s="135">
        <v>45</v>
      </c>
      <c r="U46" s="123">
        <v>45</v>
      </c>
      <c r="V46" s="104" t="s">
        <v>31</v>
      </c>
      <c r="W46" s="55">
        <v>669.6</v>
      </c>
      <c r="X46" s="54">
        <f>Q46*T46</f>
        <v>669.6</v>
      </c>
      <c r="Y46" s="54">
        <f>U46</f>
        <v>45</v>
      </c>
      <c r="Z46" s="56">
        <f>B46</f>
        <v>10068</v>
      </c>
      <c r="AA46" s="49" t="s">
        <v>198</v>
      </c>
      <c r="AB46" s="56">
        <v>739030</v>
      </c>
      <c r="AC46" s="89">
        <v>0</v>
      </c>
    </row>
    <row r="47" spans="1:32" ht="12">
      <c r="A47" s="85" t="s">
        <v>69</v>
      </c>
      <c r="B47" s="107">
        <f>VLOOKUP(A47,'[3]Summer Data Sheet 17-18'!$C$366:$D$488,2,0)</f>
        <v>10068</v>
      </c>
      <c r="C47" s="86"/>
      <c r="D47" s="86" t="s">
        <v>275</v>
      </c>
      <c r="E47" s="91" t="s">
        <v>173</v>
      </c>
      <c r="F47" s="96" t="s">
        <v>24</v>
      </c>
      <c r="G47" s="95">
        <v>0.4</v>
      </c>
      <c r="H47" s="91" t="s">
        <v>25</v>
      </c>
      <c r="I47" s="174">
        <v>0</v>
      </c>
      <c r="J47" s="174">
        <v>13</v>
      </c>
      <c r="K47" s="174">
        <v>21</v>
      </c>
      <c r="L47" s="174">
        <v>0</v>
      </c>
      <c r="M47" s="174">
        <f>SUM(I47:L47)</f>
        <v>34</v>
      </c>
      <c r="N47" s="115">
        <v>43136</v>
      </c>
      <c r="O47" s="115">
        <v>43190</v>
      </c>
      <c r="P47" s="51">
        <v>175</v>
      </c>
      <c r="Q47" s="52">
        <v>70</v>
      </c>
      <c r="R47" s="135">
        <v>0</v>
      </c>
      <c r="S47" s="135" t="s">
        <v>196</v>
      </c>
      <c r="T47" s="53" t="s">
        <v>196</v>
      </c>
      <c r="U47" s="123">
        <v>34</v>
      </c>
      <c r="V47" s="104" t="s">
        <v>264</v>
      </c>
      <c r="W47" s="55">
        <v>2380</v>
      </c>
      <c r="X47" s="54">
        <f>Q47*T47</f>
        <v>0</v>
      </c>
      <c r="Y47" s="54">
        <f>U47</f>
        <v>34</v>
      </c>
      <c r="Z47" s="56">
        <f>B47</f>
        <v>10068</v>
      </c>
      <c r="AA47" s="49" t="s">
        <v>197</v>
      </c>
      <c r="AB47" s="56">
        <v>739020</v>
      </c>
      <c r="AC47" s="89">
        <v>0</v>
      </c>
      <c r="AE47" s="58"/>
      <c r="AF47" s="58"/>
    </row>
    <row r="48" spans="1:29" ht="12">
      <c r="A48" s="85" t="s">
        <v>69</v>
      </c>
      <c r="B48" s="107">
        <f>VLOOKUP(A48,'[3]Summer Data Sheet 17-18'!$C$366:$D$488,2,0)</f>
        <v>10068</v>
      </c>
      <c r="C48" s="87"/>
      <c r="D48" s="86" t="s">
        <v>279</v>
      </c>
      <c r="E48" s="91" t="s">
        <v>173</v>
      </c>
      <c r="F48" s="96" t="s">
        <v>24</v>
      </c>
      <c r="G48" s="95">
        <v>0.2</v>
      </c>
      <c r="H48" s="91" t="s">
        <v>25</v>
      </c>
      <c r="I48" s="174">
        <v>0</v>
      </c>
      <c r="J48" s="174">
        <v>3</v>
      </c>
      <c r="K48" s="174">
        <v>21</v>
      </c>
      <c r="L48" s="174">
        <v>0</v>
      </c>
      <c r="M48" s="174">
        <f>SUM(I48:L48)</f>
        <v>24</v>
      </c>
      <c r="N48" s="115">
        <v>43155</v>
      </c>
      <c r="O48" s="115">
        <v>43190</v>
      </c>
      <c r="P48" s="51">
        <v>175</v>
      </c>
      <c r="Q48" s="52">
        <v>35</v>
      </c>
      <c r="R48" s="53">
        <v>0</v>
      </c>
      <c r="S48" s="135" t="s">
        <v>196</v>
      </c>
      <c r="T48" s="135" t="s">
        <v>196</v>
      </c>
      <c r="U48" s="123">
        <v>24</v>
      </c>
      <c r="V48" s="104" t="s">
        <v>264</v>
      </c>
      <c r="W48" s="55">
        <v>840</v>
      </c>
      <c r="X48" s="54">
        <f>Q48*T48</f>
        <v>0</v>
      </c>
      <c r="Y48" s="54">
        <f>U48</f>
        <v>24</v>
      </c>
      <c r="Z48" s="56">
        <f>B48</f>
        <v>10068</v>
      </c>
      <c r="AA48" s="49" t="s">
        <v>197</v>
      </c>
      <c r="AB48" s="56">
        <v>739020</v>
      </c>
      <c r="AC48" s="89">
        <v>0</v>
      </c>
    </row>
    <row r="49" spans="1:29" ht="12">
      <c r="A49" s="85" t="s">
        <v>78</v>
      </c>
      <c r="B49" s="107">
        <f>VLOOKUP(A49,'[3]Summer Data Sheet 17-18'!$C$366:$D$488,2,0)</f>
        <v>10071</v>
      </c>
      <c r="C49" s="87"/>
      <c r="D49" s="87" t="s">
        <v>34</v>
      </c>
      <c r="E49" s="91" t="s">
        <v>173</v>
      </c>
      <c r="F49" s="96" t="s">
        <v>24</v>
      </c>
      <c r="G49" s="95">
        <v>1</v>
      </c>
      <c r="H49" s="91" t="s">
        <v>30</v>
      </c>
      <c r="I49" s="174">
        <v>19</v>
      </c>
      <c r="J49" s="174">
        <v>0</v>
      </c>
      <c r="K49" s="174">
        <v>0</v>
      </c>
      <c r="L49" s="174">
        <v>0</v>
      </c>
      <c r="M49" s="174">
        <f>SUM(I49:L49)</f>
        <v>19</v>
      </c>
      <c r="N49" s="115">
        <v>43101</v>
      </c>
      <c r="O49" s="115">
        <v>43190</v>
      </c>
      <c r="P49" s="51">
        <v>175</v>
      </c>
      <c r="Q49" s="52">
        <v>175</v>
      </c>
      <c r="R49" s="53" t="s">
        <v>196</v>
      </c>
      <c r="S49" s="135" t="s">
        <v>196</v>
      </c>
      <c r="T49" s="135" t="s">
        <v>196</v>
      </c>
      <c r="U49" s="123">
        <v>19</v>
      </c>
      <c r="V49" s="104" t="s">
        <v>264</v>
      </c>
      <c r="W49" s="55">
        <v>3325</v>
      </c>
      <c r="X49" s="54">
        <f>Q49*T49</f>
        <v>0</v>
      </c>
      <c r="Y49" s="54">
        <f>U49</f>
        <v>19</v>
      </c>
      <c r="Z49" s="56">
        <f>B49</f>
        <v>10071</v>
      </c>
      <c r="AA49" s="49" t="s">
        <v>197</v>
      </c>
      <c r="AB49" s="56">
        <v>739020</v>
      </c>
      <c r="AC49" s="89">
        <v>0</v>
      </c>
    </row>
    <row r="50" spans="1:29" ht="12">
      <c r="A50" s="85" t="s">
        <v>79</v>
      </c>
      <c r="B50" s="107">
        <f>VLOOKUP(A50,'[3]Summer Data Sheet 17-18'!$C$366:$D$488,2,0)</f>
        <v>10073</v>
      </c>
      <c r="C50" s="86"/>
      <c r="D50" s="86" t="s">
        <v>304</v>
      </c>
      <c r="E50" s="91" t="s">
        <v>173</v>
      </c>
      <c r="F50" s="96" t="s">
        <v>24</v>
      </c>
      <c r="G50" s="95">
        <v>1</v>
      </c>
      <c r="H50" s="91" t="s">
        <v>25</v>
      </c>
      <c r="I50" s="174">
        <v>0</v>
      </c>
      <c r="J50" s="174">
        <v>8</v>
      </c>
      <c r="K50" s="174">
        <v>21</v>
      </c>
      <c r="L50" s="174">
        <v>0</v>
      </c>
      <c r="M50" s="174">
        <f>SUM(I50:L50)</f>
        <v>29</v>
      </c>
      <c r="N50" s="115">
        <v>43149</v>
      </c>
      <c r="O50" s="115">
        <v>43190</v>
      </c>
      <c r="P50" s="51">
        <v>175</v>
      </c>
      <c r="Q50" s="52">
        <v>175</v>
      </c>
      <c r="R50" s="53">
        <v>0</v>
      </c>
      <c r="S50" s="53" t="s">
        <v>196</v>
      </c>
      <c r="T50" s="135" t="s">
        <v>196</v>
      </c>
      <c r="U50" s="123">
        <v>29</v>
      </c>
      <c r="V50" s="104" t="s">
        <v>264</v>
      </c>
      <c r="W50" s="55">
        <v>5075</v>
      </c>
      <c r="X50" s="54">
        <f>Q50*T50</f>
        <v>0</v>
      </c>
      <c r="Y50" s="54">
        <f>U50</f>
        <v>29</v>
      </c>
      <c r="Z50" s="56">
        <f>B50</f>
        <v>10073</v>
      </c>
      <c r="AA50" s="49" t="s">
        <v>197</v>
      </c>
      <c r="AB50" s="56">
        <v>739020</v>
      </c>
      <c r="AC50" s="89">
        <v>0</v>
      </c>
    </row>
    <row r="51" spans="1:29" ht="12">
      <c r="A51" s="85" t="s">
        <v>79</v>
      </c>
      <c r="B51" s="107">
        <f>VLOOKUP(A51,'[3]Summer Data Sheet 17-18'!$C$366:$D$488,2,0)</f>
        <v>10073</v>
      </c>
      <c r="C51" s="87"/>
      <c r="D51" s="87" t="s">
        <v>26</v>
      </c>
      <c r="E51" s="91" t="s">
        <v>173</v>
      </c>
      <c r="F51" s="96" t="s">
        <v>46</v>
      </c>
      <c r="G51" s="95">
        <v>0.83</v>
      </c>
      <c r="H51" s="91" t="s">
        <v>25</v>
      </c>
      <c r="I51" s="174">
        <v>10</v>
      </c>
      <c r="J51" s="174">
        <v>15</v>
      </c>
      <c r="K51" s="174">
        <v>10</v>
      </c>
      <c r="L51" s="174">
        <v>0</v>
      </c>
      <c r="M51" s="174">
        <f>SUM(I51:L51)</f>
        <v>35</v>
      </c>
      <c r="N51" s="115">
        <v>43118</v>
      </c>
      <c r="O51" s="115">
        <v>43173</v>
      </c>
      <c r="P51" s="51">
        <v>116</v>
      </c>
      <c r="Q51" s="52">
        <v>96.28</v>
      </c>
      <c r="R51" s="53">
        <v>15</v>
      </c>
      <c r="S51" s="53">
        <v>20</v>
      </c>
      <c r="T51" s="135" t="s">
        <v>196</v>
      </c>
      <c r="U51" s="123">
        <v>35</v>
      </c>
      <c r="V51" s="104" t="s">
        <v>28</v>
      </c>
      <c r="W51" s="55">
        <v>1925.6</v>
      </c>
      <c r="X51" s="54">
        <f>Q51*T51</f>
        <v>0</v>
      </c>
      <c r="Y51" s="54">
        <f>U51</f>
        <v>35</v>
      </c>
      <c r="Z51" s="56">
        <f>B51</f>
        <v>10073</v>
      </c>
      <c r="AA51" s="49" t="s">
        <v>198</v>
      </c>
      <c r="AB51" s="56">
        <v>739030</v>
      </c>
      <c r="AC51" s="89">
        <v>0</v>
      </c>
    </row>
    <row r="52" spans="1:29" ht="12">
      <c r="A52" s="85" t="s">
        <v>79</v>
      </c>
      <c r="B52" s="107">
        <f>VLOOKUP(A52,'[3]Summer Data Sheet 17-18'!$C$366:$D$488,2,0)</f>
        <v>10073</v>
      </c>
      <c r="C52" s="86"/>
      <c r="D52" s="87" t="s">
        <v>305</v>
      </c>
      <c r="E52" s="91" t="s">
        <v>173</v>
      </c>
      <c r="F52" s="96" t="s">
        <v>46</v>
      </c>
      <c r="G52" s="95">
        <f>18/36</f>
        <v>0.5</v>
      </c>
      <c r="H52" s="91" t="s">
        <v>30</v>
      </c>
      <c r="I52" s="174">
        <v>0</v>
      </c>
      <c r="J52" s="174">
        <v>0</v>
      </c>
      <c r="K52" s="174">
        <v>10</v>
      </c>
      <c r="L52" s="174">
        <v>0</v>
      </c>
      <c r="M52" s="174">
        <f>SUM(I52:L52)</f>
        <v>10</v>
      </c>
      <c r="N52" s="115">
        <v>43174</v>
      </c>
      <c r="O52" s="115">
        <v>43187</v>
      </c>
      <c r="P52" s="51">
        <v>116</v>
      </c>
      <c r="Q52" s="52">
        <v>58</v>
      </c>
      <c r="R52" s="135" t="s">
        <v>196</v>
      </c>
      <c r="S52" s="135" t="s">
        <v>196</v>
      </c>
      <c r="T52" s="53">
        <v>10</v>
      </c>
      <c r="U52" s="123">
        <v>10</v>
      </c>
      <c r="V52" s="104" t="s">
        <v>31</v>
      </c>
      <c r="W52" s="55">
        <v>580</v>
      </c>
      <c r="X52" s="54">
        <f>Q52*T52</f>
        <v>580</v>
      </c>
      <c r="Y52" s="54">
        <f>U52</f>
        <v>10</v>
      </c>
      <c r="Z52" s="56">
        <f>B52</f>
        <v>10073</v>
      </c>
      <c r="AA52" s="49" t="s">
        <v>198</v>
      </c>
      <c r="AB52" s="56">
        <v>739030</v>
      </c>
      <c r="AC52" s="89">
        <v>0</v>
      </c>
    </row>
    <row r="53" spans="1:29" ht="12">
      <c r="A53" s="85" t="s">
        <v>79</v>
      </c>
      <c r="B53" s="107">
        <f>VLOOKUP(A53,'[3]Summer Data Sheet 17-18'!$C$366:$D$488,2,0)</f>
        <v>10073</v>
      </c>
      <c r="C53" s="86"/>
      <c r="D53" s="87" t="s">
        <v>26</v>
      </c>
      <c r="E53" s="91" t="s">
        <v>173</v>
      </c>
      <c r="F53" s="96" t="s">
        <v>90</v>
      </c>
      <c r="G53" s="95">
        <f>(18*40)/1728</f>
        <v>0.4166666666666667</v>
      </c>
      <c r="H53" s="91" t="s">
        <v>25</v>
      </c>
      <c r="I53" s="174">
        <f>10+22</f>
        <v>32</v>
      </c>
      <c r="J53" s="174">
        <v>3</v>
      </c>
      <c r="K53" s="174">
        <v>0</v>
      </c>
      <c r="L53" s="174">
        <v>0</v>
      </c>
      <c r="M53" s="174">
        <f>SUM(I53:L53)</f>
        <v>35</v>
      </c>
      <c r="N53" s="115">
        <v>43076</v>
      </c>
      <c r="O53" s="115">
        <v>43149</v>
      </c>
      <c r="P53" s="51">
        <v>111</v>
      </c>
      <c r="Q53" s="52">
        <v>46.25</v>
      </c>
      <c r="R53" s="53">
        <v>15</v>
      </c>
      <c r="S53" s="53">
        <v>20</v>
      </c>
      <c r="T53" s="135" t="s">
        <v>196</v>
      </c>
      <c r="U53" s="123">
        <v>35</v>
      </c>
      <c r="V53" s="104" t="s">
        <v>28</v>
      </c>
      <c r="W53" s="55">
        <v>925</v>
      </c>
      <c r="X53" s="54">
        <f>Q53*T53</f>
        <v>0</v>
      </c>
      <c r="Y53" s="54">
        <f>U53</f>
        <v>35</v>
      </c>
      <c r="Z53" s="56">
        <f>B53</f>
        <v>10073</v>
      </c>
      <c r="AA53" s="49" t="s">
        <v>198</v>
      </c>
      <c r="AB53" s="56">
        <v>739030</v>
      </c>
      <c r="AC53" s="89">
        <v>0</v>
      </c>
    </row>
    <row r="54" spans="1:30" ht="12.75">
      <c r="A54" s="85" t="s">
        <v>79</v>
      </c>
      <c r="B54" s="107">
        <f>VLOOKUP(A54,'[3]Summer Data Sheet 17-18'!$C$366:$D$488,2,0)</f>
        <v>10073</v>
      </c>
      <c r="C54" s="86"/>
      <c r="D54" s="87" t="s">
        <v>29</v>
      </c>
      <c r="E54" s="91" t="s">
        <v>173</v>
      </c>
      <c r="F54" s="96" t="s">
        <v>90</v>
      </c>
      <c r="G54" s="95">
        <f>(18*40)/1728</f>
        <v>0.4166666666666667</v>
      </c>
      <c r="H54" s="91" t="s">
        <v>30</v>
      </c>
      <c r="I54" s="174">
        <v>0</v>
      </c>
      <c r="J54" s="174">
        <v>4</v>
      </c>
      <c r="K54" s="174">
        <v>0</v>
      </c>
      <c r="L54" s="174">
        <v>0</v>
      </c>
      <c r="M54" s="174">
        <f>SUM(I54:L54)</f>
        <v>4</v>
      </c>
      <c r="N54" s="115">
        <v>43076</v>
      </c>
      <c r="O54" s="115">
        <v>43149</v>
      </c>
      <c r="P54" s="51">
        <v>111</v>
      </c>
      <c r="Q54" s="52">
        <v>46.25</v>
      </c>
      <c r="R54" s="135" t="s">
        <v>196</v>
      </c>
      <c r="S54" s="135" t="s">
        <v>196</v>
      </c>
      <c r="T54" s="53">
        <v>4</v>
      </c>
      <c r="U54" s="123">
        <v>4</v>
      </c>
      <c r="V54" s="104" t="s">
        <v>31</v>
      </c>
      <c r="W54" s="55">
        <v>185</v>
      </c>
      <c r="X54" s="54">
        <f>Q54*T54</f>
        <v>185</v>
      </c>
      <c r="Y54" s="54">
        <f>U54</f>
        <v>4</v>
      </c>
      <c r="Z54" s="56">
        <f>B54</f>
        <v>10073</v>
      </c>
      <c r="AA54" s="49" t="s">
        <v>198</v>
      </c>
      <c r="AB54" s="56">
        <v>739030</v>
      </c>
      <c r="AC54" s="89">
        <v>0</v>
      </c>
      <c r="AD54" s="57"/>
    </row>
    <row r="55" spans="1:29" ht="12">
      <c r="A55" s="85" t="s">
        <v>79</v>
      </c>
      <c r="B55" s="107">
        <f>VLOOKUP(A55,'[3]Summer Data Sheet 17-18'!$C$366:$D$488,2,0)</f>
        <v>10073</v>
      </c>
      <c r="C55" s="86"/>
      <c r="D55" s="87" t="s">
        <v>26</v>
      </c>
      <c r="E55" s="91" t="s">
        <v>173</v>
      </c>
      <c r="F55" s="96" t="s">
        <v>63</v>
      </c>
      <c r="G55" s="95">
        <f>(18*40)/1728</f>
        <v>0.4166666666666667</v>
      </c>
      <c r="H55" s="91" t="s">
        <v>25</v>
      </c>
      <c r="I55" s="174">
        <f>10+22</f>
        <v>32</v>
      </c>
      <c r="J55" s="174">
        <v>3</v>
      </c>
      <c r="K55" s="174">
        <v>0</v>
      </c>
      <c r="L55" s="174">
        <v>0</v>
      </c>
      <c r="M55" s="174">
        <f>SUM(I55:L55)</f>
        <v>35</v>
      </c>
      <c r="N55" s="115">
        <v>43076</v>
      </c>
      <c r="O55" s="115">
        <v>43149</v>
      </c>
      <c r="P55" s="51">
        <v>93</v>
      </c>
      <c r="Q55" s="51">
        <v>38.75</v>
      </c>
      <c r="R55" s="135">
        <v>15</v>
      </c>
      <c r="S55" s="135">
        <v>20</v>
      </c>
      <c r="T55" s="53" t="s">
        <v>196</v>
      </c>
      <c r="U55" s="123">
        <v>35</v>
      </c>
      <c r="V55" s="104" t="s">
        <v>28</v>
      </c>
      <c r="W55" s="55">
        <v>775</v>
      </c>
      <c r="X55" s="54">
        <f>Q55*T55</f>
        <v>0</v>
      </c>
      <c r="Y55" s="54">
        <f>U55</f>
        <v>35</v>
      </c>
      <c r="Z55" s="56">
        <f>B55</f>
        <v>10073</v>
      </c>
      <c r="AA55" s="49" t="s">
        <v>198</v>
      </c>
      <c r="AB55" s="56">
        <v>739030</v>
      </c>
      <c r="AC55" s="89">
        <v>0</v>
      </c>
    </row>
    <row r="56" spans="1:29" ht="12">
      <c r="A56" s="85" t="s">
        <v>79</v>
      </c>
      <c r="B56" s="107">
        <f>VLOOKUP(A56,'[3]Summer Data Sheet 17-18'!$C$366:$D$488,2,0)</f>
        <v>10073</v>
      </c>
      <c r="C56" s="86"/>
      <c r="D56" s="87" t="s">
        <v>29</v>
      </c>
      <c r="E56" s="91" t="s">
        <v>173</v>
      </c>
      <c r="F56" s="96" t="s">
        <v>63</v>
      </c>
      <c r="G56" s="95">
        <f>(18*40)/1728</f>
        <v>0.4166666666666667</v>
      </c>
      <c r="H56" s="91" t="s">
        <v>30</v>
      </c>
      <c r="I56" s="174">
        <v>0</v>
      </c>
      <c r="J56" s="174">
        <v>4</v>
      </c>
      <c r="K56" s="174">
        <v>0</v>
      </c>
      <c r="L56" s="174">
        <v>0</v>
      </c>
      <c r="M56" s="174">
        <f>SUM(I56:L56)</f>
        <v>4</v>
      </c>
      <c r="N56" s="115">
        <v>43076</v>
      </c>
      <c r="O56" s="115">
        <v>43149</v>
      </c>
      <c r="P56" s="51">
        <v>93</v>
      </c>
      <c r="Q56" s="52">
        <v>38.75</v>
      </c>
      <c r="R56" s="135" t="s">
        <v>196</v>
      </c>
      <c r="S56" s="135" t="s">
        <v>196</v>
      </c>
      <c r="T56" s="53">
        <v>4</v>
      </c>
      <c r="U56" s="123">
        <v>4</v>
      </c>
      <c r="V56" s="104" t="s">
        <v>31</v>
      </c>
      <c r="W56" s="55">
        <v>155</v>
      </c>
      <c r="X56" s="54">
        <f>Q56*T56</f>
        <v>155</v>
      </c>
      <c r="Y56" s="54">
        <f>U56</f>
        <v>4</v>
      </c>
      <c r="Z56" s="56">
        <f>B56</f>
        <v>10073</v>
      </c>
      <c r="AA56" s="49" t="s">
        <v>198</v>
      </c>
      <c r="AB56" s="56">
        <v>739030</v>
      </c>
      <c r="AC56" s="89">
        <v>0</v>
      </c>
    </row>
    <row r="57" spans="1:29" ht="12">
      <c r="A57" s="85" t="s">
        <v>131</v>
      </c>
      <c r="B57" s="107">
        <f>VLOOKUP(A57,'[3]Summer Data Sheet 17-18'!$C$366:$D$488,2,0)</f>
        <v>10078</v>
      </c>
      <c r="C57" s="87"/>
      <c r="D57" s="87" t="s">
        <v>281</v>
      </c>
      <c r="E57" s="91" t="s">
        <v>173</v>
      </c>
      <c r="F57" s="96" t="s">
        <v>63</v>
      </c>
      <c r="G57" s="95">
        <f>(11*40)/1728</f>
        <v>0.25462962962962965</v>
      </c>
      <c r="H57" s="91" t="s">
        <v>30</v>
      </c>
      <c r="I57" s="174">
        <f>22/2</f>
        <v>11</v>
      </c>
      <c r="J57" s="174">
        <f>15/2</f>
        <v>7.5</v>
      </c>
      <c r="K57" s="174">
        <f>21/2</f>
        <v>10.5</v>
      </c>
      <c r="L57" s="174">
        <v>0</v>
      </c>
      <c r="M57" s="174">
        <f>SUM(I57:L57)</f>
        <v>29</v>
      </c>
      <c r="N57" s="115">
        <v>43101</v>
      </c>
      <c r="O57" s="115">
        <v>43190</v>
      </c>
      <c r="P57" s="51">
        <v>93</v>
      </c>
      <c r="Q57" s="52">
        <v>23.68</v>
      </c>
      <c r="R57" s="135" t="s">
        <v>196</v>
      </c>
      <c r="S57" s="135" t="s">
        <v>196</v>
      </c>
      <c r="T57" s="53">
        <v>29</v>
      </c>
      <c r="U57" s="123">
        <v>29</v>
      </c>
      <c r="V57" s="104" t="s">
        <v>31</v>
      </c>
      <c r="W57" s="55">
        <v>686.72</v>
      </c>
      <c r="X57" s="54">
        <f>Q57*T57</f>
        <v>686.72</v>
      </c>
      <c r="Y57" s="54">
        <f>U57</f>
        <v>29</v>
      </c>
      <c r="Z57" s="56">
        <f>B57</f>
        <v>10078</v>
      </c>
      <c r="AA57" s="49" t="s">
        <v>198</v>
      </c>
      <c r="AB57" s="56">
        <v>739030</v>
      </c>
      <c r="AC57" s="89">
        <v>14</v>
      </c>
    </row>
    <row r="58" spans="1:29" ht="12">
      <c r="A58" s="85" t="s">
        <v>92</v>
      </c>
      <c r="B58" s="107">
        <f>VLOOKUP(A58,'[3]Summer Data Sheet 17-18'!$C$366:$D$488,2,0)</f>
        <v>10080</v>
      </c>
      <c r="C58" s="86"/>
      <c r="D58" s="87" t="s">
        <v>26</v>
      </c>
      <c r="E58" s="91" t="s">
        <v>173</v>
      </c>
      <c r="F58" s="96" t="s">
        <v>27</v>
      </c>
      <c r="G58" s="95">
        <v>1</v>
      </c>
      <c r="H58" s="91" t="s">
        <v>30</v>
      </c>
      <c r="I58" s="174">
        <v>7</v>
      </c>
      <c r="J58" s="174">
        <v>0</v>
      </c>
      <c r="K58" s="174">
        <v>0</v>
      </c>
      <c r="L58" s="174">
        <v>0</v>
      </c>
      <c r="M58" s="174">
        <f>SUM(I58:L58)</f>
        <v>7</v>
      </c>
      <c r="N58" s="115">
        <v>43101</v>
      </c>
      <c r="O58" s="115">
        <v>43190</v>
      </c>
      <c r="P58" s="51">
        <v>175</v>
      </c>
      <c r="Q58" s="52">
        <v>175</v>
      </c>
      <c r="R58" s="53" t="s">
        <v>196</v>
      </c>
      <c r="S58" s="53">
        <v>7</v>
      </c>
      <c r="T58" s="135" t="s">
        <v>196</v>
      </c>
      <c r="U58" s="123">
        <v>7</v>
      </c>
      <c r="V58" s="104" t="s">
        <v>28</v>
      </c>
      <c r="W58" s="55">
        <v>1225</v>
      </c>
      <c r="X58" s="54">
        <f>Q58*T58</f>
        <v>0</v>
      </c>
      <c r="Y58" s="54">
        <f>U58</f>
        <v>7</v>
      </c>
      <c r="Z58" s="56">
        <f>B58</f>
        <v>10080</v>
      </c>
      <c r="AA58" s="49" t="s">
        <v>197</v>
      </c>
      <c r="AB58" s="56">
        <v>739020</v>
      </c>
      <c r="AC58" s="89">
        <v>0</v>
      </c>
    </row>
    <row r="59" spans="1:29" ht="12">
      <c r="A59" s="85" t="s">
        <v>92</v>
      </c>
      <c r="B59" s="107">
        <f>VLOOKUP(A59,'[3]Summer Data Sheet 17-18'!$C$366:$D$488,2,0)</f>
        <v>10080</v>
      </c>
      <c r="C59" s="87"/>
      <c r="D59" s="87" t="s">
        <v>29</v>
      </c>
      <c r="E59" s="91" t="s">
        <v>173</v>
      </c>
      <c r="F59" s="96" t="s">
        <v>27</v>
      </c>
      <c r="G59" s="97">
        <v>1</v>
      </c>
      <c r="H59" s="91" t="s">
        <v>30</v>
      </c>
      <c r="I59" s="174">
        <v>15</v>
      </c>
      <c r="J59" s="174">
        <v>15</v>
      </c>
      <c r="K59" s="174">
        <v>21</v>
      </c>
      <c r="L59" s="174">
        <v>0</v>
      </c>
      <c r="M59" s="174">
        <f>SUM(I59:L59)</f>
        <v>51</v>
      </c>
      <c r="N59" s="115">
        <v>43101</v>
      </c>
      <c r="O59" s="115">
        <v>43190</v>
      </c>
      <c r="P59" s="51">
        <v>175</v>
      </c>
      <c r="Q59" s="52">
        <v>175</v>
      </c>
      <c r="R59" s="53" t="s">
        <v>196</v>
      </c>
      <c r="S59" s="53" t="s">
        <v>196</v>
      </c>
      <c r="T59" s="135">
        <v>51</v>
      </c>
      <c r="U59" s="123">
        <v>51</v>
      </c>
      <c r="V59" s="104" t="s">
        <v>31</v>
      </c>
      <c r="W59" s="55">
        <v>8925</v>
      </c>
      <c r="X59" s="54">
        <f>Q59*T59</f>
        <v>8925</v>
      </c>
      <c r="Y59" s="54">
        <f>U59</f>
        <v>51</v>
      </c>
      <c r="Z59" s="56">
        <f>B59</f>
        <v>10080</v>
      </c>
      <c r="AA59" s="49" t="s">
        <v>197</v>
      </c>
      <c r="AB59" s="56">
        <v>739020</v>
      </c>
      <c r="AC59" s="89">
        <v>0</v>
      </c>
    </row>
    <row r="60" spans="1:29" ht="12">
      <c r="A60" s="85" t="s">
        <v>92</v>
      </c>
      <c r="B60" s="107">
        <f>VLOOKUP(A60,'[3]Summer Data Sheet 17-18'!$C$366:$D$488,2,0)</f>
        <v>10080</v>
      </c>
      <c r="C60" s="87"/>
      <c r="D60" s="86" t="s">
        <v>309</v>
      </c>
      <c r="E60" s="91" t="s">
        <v>173</v>
      </c>
      <c r="F60" s="96" t="s">
        <v>24</v>
      </c>
      <c r="G60" s="97">
        <v>1</v>
      </c>
      <c r="H60" s="91" t="s">
        <v>25</v>
      </c>
      <c r="I60" s="174">
        <v>8</v>
      </c>
      <c r="J60" s="174">
        <v>15</v>
      </c>
      <c r="K60" s="174">
        <v>21</v>
      </c>
      <c r="L60" s="174">
        <v>0</v>
      </c>
      <c r="M60" s="174">
        <f>SUM(I60:L60)</f>
        <v>44</v>
      </c>
      <c r="N60" s="115">
        <v>43122</v>
      </c>
      <c r="O60" s="115">
        <v>43190</v>
      </c>
      <c r="P60" s="51">
        <v>175</v>
      </c>
      <c r="Q60" s="52">
        <v>175</v>
      </c>
      <c r="R60" s="135">
        <v>0</v>
      </c>
      <c r="S60" s="135" t="s">
        <v>196</v>
      </c>
      <c r="T60" s="53" t="s">
        <v>196</v>
      </c>
      <c r="U60" s="123">
        <v>44</v>
      </c>
      <c r="V60" s="104" t="s">
        <v>264</v>
      </c>
      <c r="W60" s="55">
        <v>7700</v>
      </c>
      <c r="X60" s="54">
        <f>Q60*T60</f>
        <v>0</v>
      </c>
      <c r="Y60" s="54">
        <f>U60</f>
        <v>44</v>
      </c>
      <c r="Z60" s="56">
        <f>B60</f>
        <v>10080</v>
      </c>
      <c r="AA60" s="49" t="s">
        <v>197</v>
      </c>
      <c r="AB60" s="56">
        <v>739020</v>
      </c>
      <c r="AC60" s="89">
        <v>0</v>
      </c>
    </row>
    <row r="61" spans="1:29" ht="12">
      <c r="A61" s="85" t="s">
        <v>92</v>
      </c>
      <c r="B61" s="107">
        <f>VLOOKUP(A61,'[3]Summer Data Sheet 17-18'!$C$366:$D$488,2,0)</f>
        <v>10080</v>
      </c>
      <c r="C61" s="87"/>
      <c r="D61" s="86" t="s">
        <v>310</v>
      </c>
      <c r="E61" s="91" t="s">
        <v>173</v>
      </c>
      <c r="F61" s="96" t="s">
        <v>24</v>
      </c>
      <c r="G61" s="97">
        <v>1</v>
      </c>
      <c r="H61" s="91" t="s">
        <v>25</v>
      </c>
      <c r="I61" s="174">
        <v>0</v>
      </c>
      <c r="J61" s="174">
        <v>0</v>
      </c>
      <c r="K61" s="174">
        <v>14</v>
      </c>
      <c r="L61" s="174">
        <v>0</v>
      </c>
      <c r="M61" s="174">
        <f>SUM(I61:L61)</f>
        <v>14</v>
      </c>
      <c r="N61" s="115">
        <v>43171</v>
      </c>
      <c r="O61" s="115">
        <v>43190</v>
      </c>
      <c r="P61" s="51">
        <v>175</v>
      </c>
      <c r="Q61" s="52">
        <v>175</v>
      </c>
      <c r="R61" s="53">
        <v>0</v>
      </c>
      <c r="S61" s="53" t="s">
        <v>196</v>
      </c>
      <c r="T61" s="135" t="s">
        <v>196</v>
      </c>
      <c r="U61" s="123">
        <v>14</v>
      </c>
      <c r="V61" s="104" t="s">
        <v>264</v>
      </c>
      <c r="W61" s="55">
        <v>2450</v>
      </c>
      <c r="X61" s="54">
        <f>Q61*T61</f>
        <v>0</v>
      </c>
      <c r="Y61" s="54">
        <f>U61</f>
        <v>14</v>
      </c>
      <c r="Z61" s="56">
        <f>B61</f>
        <v>10080</v>
      </c>
      <c r="AA61" s="49" t="s">
        <v>197</v>
      </c>
      <c r="AB61" s="56">
        <v>739020</v>
      </c>
      <c r="AC61" s="89">
        <v>0</v>
      </c>
    </row>
    <row r="62" spans="1:29" ht="12">
      <c r="A62" s="85" t="s">
        <v>91</v>
      </c>
      <c r="B62" s="107">
        <f>VLOOKUP(A62,'[3]Summer Data Sheet 17-18'!$C$366:$D$488,2,0)</f>
        <v>10081</v>
      </c>
      <c r="C62" s="86"/>
      <c r="D62" s="87" t="s">
        <v>307</v>
      </c>
      <c r="E62" s="91" t="s">
        <v>173</v>
      </c>
      <c r="F62" s="96" t="s">
        <v>63</v>
      </c>
      <c r="G62" s="95">
        <f>10/36</f>
        <v>0.2777777777777778</v>
      </c>
      <c r="H62" s="91" t="s">
        <v>30</v>
      </c>
      <c r="I62" s="174">
        <v>2</v>
      </c>
      <c r="J62" s="174">
        <v>0</v>
      </c>
      <c r="K62" s="174">
        <v>0</v>
      </c>
      <c r="L62" s="174">
        <v>0</v>
      </c>
      <c r="M62" s="174">
        <f>SUM(I62:L62)</f>
        <v>2</v>
      </c>
      <c r="N62" s="115">
        <v>43103</v>
      </c>
      <c r="O62" s="115">
        <v>43190</v>
      </c>
      <c r="P62" s="51">
        <v>93</v>
      </c>
      <c r="Q62" s="52">
        <v>25.83</v>
      </c>
      <c r="R62" s="53" t="s">
        <v>196</v>
      </c>
      <c r="S62" s="53">
        <v>2</v>
      </c>
      <c r="T62" s="135" t="s">
        <v>196</v>
      </c>
      <c r="U62" s="123">
        <v>2</v>
      </c>
      <c r="V62" s="104" t="s">
        <v>28</v>
      </c>
      <c r="W62" s="55">
        <v>51.66</v>
      </c>
      <c r="X62" s="54">
        <f>Q62*T62</f>
        <v>0</v>
      </c>
      <c r="Y62" s="54">
        <f>U62</f>
        <v>2</v>
      </c>
      <c r="Z62" s="56">
        <f>B62</f>
        <v>10081</v>
      </c>
      <c r="AA62" s="49" t="s">
        <v>198</v>
      </c>
      <c r="AB62" s="56">
        <v>739030</v>
      </c>
      <c r="AC62" s="89">
        <v>0</v>
      </c>
    </row>
    <row r="63" spans="1:29" ht="12">
      <c r="A63" s="85" t="s">
        <v>91</v>
      </c>
      <c r="B63" s="107">
        <f>VLOOKUP(A63,'[3]Summer Data Sheet 17-18'!$C$366:$D$488,2,0)</f>
        <v>10081</v>
      </c>
      <c r="C63" s="86"/>
      <c r="D63" s="87" t="s">
        <v>308</v>
      </c>
      <c r="E63" s="91" t="s">
        <v>173</v>
      </c>
      <c r="F63" s="96" t="s">
        <v>63</v>
      </c>
      <c r="G63" s="95">
        <f>10/36</f>
        <v>0.2777777777777778</v>
      </c>
      <c r="H63" s="91" t="s">
        <v>30</v>
      </c>
      <c r="I63" s="174">
        <v>20</v>
      </c>
      <c r="J63" s="174">
        <v>15</v>
      </c>
      <c r="K63" s="174">
        <v>21</v>
      </c>
      <c r="L63" s="174">
        <v>0</v>
      </c>
      <c r="M63" s="174">
        <f>SUM(I63:L63)</f>
        <v>56</v>
      </c>
      <c r="N63" s="115">
        <v>43103</v>
      </c>
      <c r="O63" s="115">
        <v>43190</v>
      </c>
      <c r="P63" s="51">
        <v>93</v>
      </c>
      <c r="Q63" s="52">
        <v>25.83</v>
      </c>
      <c r="R63" s="135" t="s">
        <v>196</v>
      </c>
      <c r="S63" s="135" t="s">
        <v>196</v>
      </c>
      <c r="T63" s="53">
        <v>56</v>
      </c>
      <c r="U63" s="123">
        <v>56</v>
      </c>
      <c r="V63" s="104" t="s">
        <v>31</v>
      </c>
      <c r="W63" s="55">
        <v>1446.48</v>
      </c>
      <c r="X63" s="54">
        <f>Q63*T63</f>
        <v>1446.48</v>
      </c>
      <c r="Y63" s="54">
        <f>U63</f>
        <v>56</v>
      </c>
      <c r="Z63" s="56">
        <f>B63</f>
        <v>10081</v>
      </c>
      <c r="AA63" s="49" t="s">
        <v>198</v>
      </c>
      <c r="AB63" s="56">
        <v>739030</v>
      </c>
      <c r="AC63" s="89">
        <v>0</v>
      </c>
    </row>
    <row r="64" spans="1:29" ht="12">
      <c r="A64" s="85" t="s">
        <v>91</v>
      </c>
      <c r="B64" s="107">
        <f>VLOOKUP(A64,'[3]Summer Data Sheet 17-18'!$C$366:$D$488,2,0)</f>
        <v>10081</v>
      </c>
      <c r="C64" s="86"/>
      <c r="D64" s="87" t="s">
        <v>26</v>
      </c>
      <c r="E64" s="91" t="s">
        <v>173</v>
      </c>
      <c r="F64" s="96" t="s">
        <v>63</v>
      </c>
      <c r="G64" s="97">
        <v>0.6</v>
      </c>
      <c r="H64" s="91" t="s">
        <v>25</v>
      </c>
      <c r="I64" s="174">
        <v>22</v>
      </c>
      <c r="J64" s="174">
        <v>2</v>
      </c>
      <c r="K64" s="174">
        <v>0</v>
      </c>
      <c r="L64" s="174">
        <v>0</v>
      </c>
      <c r="M64" s="174">
        <f>SUM(I64:L64)</f>
        <v>24</v>
      </c>
      <c r="N64" s="115">
        <v>43095</v>
      </c>
      <c r="O64" s="115">
        <v>43135</v>
      </c>
      <c r="P64" s="51">
        <v>93</v>
      </c>
      <c r="Q64" s="52">
        <v>55.8</v>
      </c>
      <c r="R64" s="53">
        <v>15</v>
      </c>
      <c r="S64" s="53">
        <v>9</v>
      </c>
      <c r="T64" s="135" t="s">
        <v>196</v>
      </c>
      <c r="U64" s="123">
        <v>24</v>
      </c>
      <c r="V64" s="104" t="s">
        <v>28</v>
      </c>
      <c r="W64" s="55">
        <v>502.2</v>
      </c>
      <c r="X64" s="54">
        <f>Q64*T64</f>
        <v>0</v>
      </c>
      <c r="Y64" s="54">
        <f>U64</f>
        <v>24</v>
      </c>
      <c r="Z64" s="56">
        <f>B64</f>
        <v>10081</v>
      </c>
      <c r="AA64" s="49" t="s">
        <v>198</v>
      </c>
      <c r="AB64" s="56">
        <v>739030</v>
      </c>
      <c r="AC64" s="89">
        <v>0</v>
      </c>
    </row>
    <row r="65" spans="1:29" ht="12">
      <c r="A65" s="85" t="s">
        <v>91</v>
      </c>
      <c r="B65" s="107">
        <f>VLOOKUP(A65,'[3]Summer Data Sheet 17-18'!$C$366:$D$488,2,0)</f>
        <v>10081</v>
      </c>
      <c r="C65" s="86"/>
      <c r="D65" s="87" t="s">
        <v>26</v>
      </c>
      <c r="E65" s="91" t="s">
        <v>173</v>
      </c>
      <c r="F65" s="96" t="s">
        <v>27</v>
      </c>
      <c r="G65" s="97">
        <v>1</v>
      </c>
      <c r="H65" s="91" t="s">
        <v>25</v>
      </c>
      <c r="I65" s="174">
        <v>0</v>
      </c>
      <c r="J65" s="174">
        <v>3</v>
      </c>
      <c r="K65" s="174">
        <v>21</v>
      </c>
      <c r="L65" s="174">
        <v>0</v>
      </c>
      <c r="M65" s="174">
        <f>SUM(I65:L65)</f>
        <v>24</v>
      </c>
      <c r="N65" s="115">
        <v>43157</v>
      </c>
      <c r="O65" s="115">
        <v>43190</v>
      </c>
      <c r="P65" s="51">
        <v>175</v>
      </c>
      <c r="Q65" s="52">
        <v>175</v>
      </c>
      <c r="R65" s="135">
        <v>15</v>
      </c>
      <c r="S65" s="135">
        <v>9</v>
      </c>
      <c r="T65" s="53" t="s">
        <v>196</v>
      </c>
      <c r="U65" s="123">
        <v>24</v>
      </c>
      <c r="V65" s="104" t="s">
        <v>28</v>
      </c>
      <c r="W65" s="55">
        <v>1575</v>
      </c>
      <c r="X65" s="54">
        <f>Q65*T65</f>
        <v>0</v>
      </c>
      <c r="Y65" s="54">
        <f>U65</f>
        <v>24</v>
      </c>
      <c r="Z65" s="56">
        <f>B65</f>
        <v>10081</v>
      </c>
      <c r="AA65" s="49" t="s">
        <v>197</v>
      </c>
      <c r="AB65" s="56">
        <v>739020</v>
      </c>
      <c r="AC65" s="89">
        <v>0</v>
      </c>
    </row>
    <row r="66" spans="1:29" ht="12">
      <c r="A66" s="85" t="s">
        <v>91</v>
      </c>
      <c r="B66" s="107">
        <f>VLOOKUP(A66,'[3]Summer Data Sheet 17-18'!$C$366:$D$488,2,0)</f>
        <v>10081</v>
      </c>
      <c r="C66" s="86"/>
      <c r="D66" s="86" t="s">
        <v>304</v>
      </c>
      <c r="E66" s="91" t="s">
        <v>173</v>
      </c>
      <c r="F66" s="96" t="s">
        <v>24</v>
      </c>
      <c r="G66" s="95">
        <v>0.2</v>
      </c>
      <c r="H66" s="91" t="s">
        <v>25</v>
      </c>
      <c r="I66" s="174">
        <v>0</v>
      </c>
      <c r="J66" s="174">
        <v>8</v>
      </c>
      <c r="K66" s="174">
        <v>21</v>
      </c>
      <c r="L66" s="174">
        <v>0</v>
      </c>
      <c r="M66" s="174">
        <f>SUM(I66:L66)</f>
        <v>29</v>
      </c>
      <c r="N66" s="115">
        <v>43150</v>
      </c>
      <c r="O66" s="115">
        <v>43190</v>
      </c>
      <c r="P66" s="51">
        <v>175</v>
      </c>
      <c r="Q66" s="52">
        <v>35</v>
      </c>
      <c r="R66" s="53">
        <v>0</v>
      </c>
      <c r="S66" s="53" t="s">
        <v>196</v>
      </c>
      <c r="T66" s="135" t="s">
        <v>196</v>
      </c>
      <c r="U66" s="123">
        <v>29</v>
      </c>
      <c r="V66" s="104" t="s">
        <v>264</v>
      </c>
      <c r="W66" s="55">
        <v>1015</v>
      </c>
      <c r="X66" s="54">
        <f>Q66*T66</f>
        <v>0</v>
      </c>
      <c r="Y66" s="54">
        <f>U66</f>
        <v>29</v>
      </c>
      <c r="Z66" s="56">
        <f>B66</f>
        <v>10081</v>
      </c>
      <c r="AA66" s="49" t="s">
        <v>197</v>
      </c>
      <c r="AB66" s="56">
        <v>739020</v>
      </c>
      <c r="AC66" s="89">
        <v>0</v>
      </c>
    </row>
    <row r="67" spans="1:29" ht="12">
      <c r="A67" s="85" t="s">
        <v>91</v>
      </c>
      <c r="B67" s="107">
        <f>VLOOKUP(A67,'[3]Summer Data Sheet 17-18'!$C$366:$D$488,2,0)</f>
        <v>10081</v>
      </c>
      <c r="C67" s="86"/>
      <c r="D67" s="87" t="s">
        <v>34</v>
      </c>
      <c r="E67" s="91" t="s">
        <v>173</v>
      </c>
      <c r="F67" s="96" t="s">
        <v>24</v>
      </c>
      <c r="G67" s="95">
        <v>1</v>
      </c>
      <c r="H67" s="91" t="s">
        <v>30</v>
      </c>
      <c r="I67" s="174">
        <v>22</v>
      </c>
      <c r="J67" s="174">
        <v>11</v>
      </c>
      <c r="K67" s="174">
        <v>0</v>
      </c>
      <c r="L67" s="174">
        <v>0</v>
      </c>
      <c r="M67" s="174">
        <f>SUM(I67:L67)</f>
        <v>33</v>
      </c>
      <c r="N67" s="115">
        <v>43101</v>
      </c>
      <c r="O67" s="115">
        <v>43190</v>
      </c>
      <c r="P67" s="51">
        <v>175</v>
      </c>
      <c r="Q67" s="52">
        <v>175</v>
      </c>
      <c r="R67" s="135" t="s">
        <v>196</v>
      </c>
      <c r="S67" s="135" t="s">
        <v>196</v>
      </c>
      <c r="T67" s="53" t="s">
        <v>196</v>
      </c>
      <c r="U67" s="123">
        <v>33</v>
      </c>
      <c r="V67" s="104" t="s">
        <v>264</v>
      </c>
      <c r="W67" s="55">
        <v>5775</v>
      </c>
      <c r="X67" s="54">
        <f>Q67*T67</f>
        <v>0</v>
      </c>
      <c r="Y67" s="54">
        <f>U67</f>
        <v>33</v>
      </c>
      <c r="Z67" s="56">
        <f>B67</f>
        <v>10081</v>
      </c>
      <c r="AA67" s="49" t="s">
        <v>197</v>
      </c>
      <c r="AB67" s="56">
        <v>739020</v>
      </c>
      <c r="AC67" s="89">
        <v>0</v>
      </c>
    </row>
    <row r="68" spans="1:29" ht="12">
      <c r="A68" s="85" t="s">
        <v>170</v>
      </c>
      <c r="B68" s="107">
        <f>VLOOKUP(A68,'[3]Summer Data Sheet 17-18'!$C$366:$D$488,2,0)</f>
        <v>10082</v>
      </c>
      <c r="C68" s="86"/>
      <c r="D68" s="87" t="s">
        <v>26</v>
      </c>
      <c r="E68" s="91" t="s">
        <v>173</v>
      </c>
      <c r="F68" s="96" t="s">
        <v>27</v>
      </c>
      <c r="G68" s="97">
        <v>1</v>
      </c>
      <c r="H68" s="91" t="s">
        <v>30</v>
      </c>
      <c r="I68" s="174">
        <v>7</v>
      </c>
      <c r="J68" s="174">
        <v>0</v>
      </c>
      <c r="K68" s="174">
        <v>0</v>
      </c>
      <c r="L68" s="174">
        <v>0</v>
      </c>
      <c r="M68" s="174">
        <f>SUM(I68:L68)</f>
        <v>7</v>
      </c>
      <c r="N68" s="115">
        <v>43101</v>
      </c>
      <c r="O68" s="115">
        <v>43149</v>
      </c>
      <c r="P68" s="51">
        <v>175</v>
      </c>
      <c r="Q68" s="52">
        <v>175</v>
      </c>
      <c r="R68" s="135" t="s">
        <v>196</v>
      </c>
      <c r="S68" s="135">
        <v>7</v>
      </c>
      <c r="T68" s="53" t="s">
        <v>196</v>
      </c>
      <c r="U68" s="123">
        <v>7</v>
      </c>
      <c r="V68" s="104" t="s">
        <v>28</v>
      </c>
      <c r="W68" s="55">
        <v>1225</v>
      </c>
      <c r="X68" s="54">
        <f>Q68*T68</f>
        <v>0</v>
      </c>
      <c r="Y68" s="54">
        <f>U68</f>
        <v>7</v>
      </c>
      <c r="Z68" s="56">
        <f>B68</f>
        <v>10082</v>
      </c>
      <c r="AA68" s="49" t="s">
        <v>197</v>
      </c>
      <c r="AB68" s="56">
        <v>739020</v>
      </c>
      <c r="AC68" s="89">
        <v>0</v>
      </c>
    </row>
    <row r="69" spans="1:29" ht="12">
      <c r="A69" s="85" t="s">
        <v>170</v>
      </c>
      <c r="B69" s="107">
        <f>VLOOKUP(A69,'[3]Summer Data Sheet 17-18'!$C$366:$D$488,2,0)</f>
        <v>10082</v>
      </c>
      <c r="C69" s="86"/>
      <c r="D69" s="87" t="s">
        <v>29</v>
      </c>
      <c r="E69" s="91" t="s">
        <v>173</v>
      </c>
      <c r="F69" s="96" t="s">
        <v>27</v>
      </c>
      <c r="G69" s="95">
        <v>1</v>
      </c>
      <c r="H69" s="91" t="s">
        <v>30</v>
      </c>
      <c r="I69" s="174">
        <v>15</v>
      </c>
      <c r="J69" s="174">
        <v>7</v>
      </c>
      <c r="K69" s="174">
        <v>0</v>
      </c>
      <c r="L69" s="174">
        <v>0</v>
      </c>
      <c r="M69" s="174">
        <f>SUM(I69:L69)</f>
        <v>22</v>
      </c>
      <c r="N69" s="115">
        <v>43101</v>
      </c>
      <c r="O69" s="115">
        <v>43149</v>
      </c>
      <c r="P69" s="51">
        <v>175</v>
      </c>
      <c r="Q69" s="52">
        <v>175</v>
      </c>
      <c r="R69" s="53" t="s">
        <v>196</v>
      </c>
      <c r="S69" s="53" t="s">
        <v>196</v>
      </c>
      <c r="T69" s="135">
        <v>22</v>
      </c>
      <c r="U69" s="123">
        <v>22</v>
      </c>
      <c r="V69" s="104" t="s">
        <v>31</v>
      </c>
      <c r="W69" s="55">
        <v>3850</v>
      </c>
      <c r="X69" s="54">
        <f>Q69*T69</f>
        <v>3850</v>
      </c>
      <c r="Y69" s="54">
        <f>U69</f>
        <v>22</v>
      </c>
      <c r="Z69" s="56">
        <f>B69</f>
        <v>10082</v>
      </c>
      <c r="AA69" s="49" t="s">
        <v>197</v>
      </c>
      <c r="AB69" s="56">
        <v>739020</v>
      </c>
      <c r="AC69" s="89">
        <v>0</v>
      </c>
    </row>
    <row r="70" spans="1:30" ht="12.75">
      <c r="A70" s="85" t="s">
        <v>60</v>
      </c>
      <c r="B70" s="107">
        <f>VLOOKUP(A70,'[3]Summer Data Sheet 17-18'!$C$366:$D$488,2,0)</f>
        <v>10083</v>
      </c>
      <c r="C70" s="87"/>
      <c r="D70" s="87" t="s">
        <v>303</v>
      </c>
      <c r="E70" s="91" t="s">
        <v>173</v>
      </c>
      <c r="F70" s="91" t="s">
        <v>98</v>
      </c>
      <c r="G70" s="95">
        <f>11/5</f>
        <v>2.2</v>
      </c>
      <c r="H70" s="91" t="s">
        <v>30</v>
      </c>
      <c r="I70" s="174">
        <f>22/2</f>
        <v>11</v>
      </c>
      <c r="J70" s="174">
        <f>15/2</f>
        <v>7.5</v>
      </c>
      <c r="K70" s="174">
        <f>21/2</f>
        <v>10.5</v>
      </c>
      <c r="L70" s="174">
        <v>0</v>
      </c>
      <c r="M70" s="174">
        <f>SUM(I70:L70)</f>
        <v>29</v>
      </c>
      <c r="N70" s="115">
        <v>43101</v>
      </c>
      <c r="O70" s="115">
        <v>43190</v>
      </c>
      <c r="P70" s="51">
        <v>9.45</v>
      </c>
      <c r="Q70" s="52">
        <v>20.79</v>
      </c>
      <c r="R70" s="135" t="s">
        <v>196</v>
      </c>
      <c r="S70" s="135" t="s">
        <v>196</v>
      </c>
      <c r="T70" s="53">
        <v>29</v>
      </c>
      <c r="U70" s="123">
        <v>29</v>
      </c>
      <c r="V70" s="104" t="s">
        <v>31</v>
      </c>
      <c r="W70" s="55">
        <v>602.91</v>
      </c>
      <c r="X70" s="54">
        <f>Q70*T70</f>
        <v>602.91</v>
      </c>
      <c r="Y70" s="54">
        <f>U70</f>
        <v>29</v>
      </c>
      <c r="Z70" s="56">
        <f>B70</f>
        <v>10083</v>
      </c>
      <c r="AA70" s="49" t="s">
        <v>198</v>
      </c>
      <c r="AB70" s="56">
        <v>739030</v>
      </c>
      <c r="AC70" s="89">
        <v>0</v>
      </c>
      <c r="AD70" s="57"/>
    </row>
    <row r="71" spans="1:29" ht="12">
      <c r="A71" s="85" t="s">
        <v>186</v>
      </c>
      <c r="B71" s="107">
        <f>VLOOKUP(A71,'[3]Summer Data Sheet 17-18'!$C$366:$D$488,2,0)</f>
        <v>10093</v>
      </c>
      <c r="C71" s="86"/>
      <c r="D71" s="87" t="s">
        <v>41</v>
      </c>
      <c r="E71" s="91" t="s">
        <v>173</v>
      </c>
      <c r="F71" s="96" t="s">
        <v>24</v>
      </c>
      <c r="G71" s="95">
        <v>0.52</v>
      </c>
      <c r="H71" s="91" t="s">
        <v>25</v>
      </c>
      <c r="I71" s="174">
        <v>22</v>
      </c>
      <c r="J71" s="174">
        <v>15</v>
      </c>
      <c r="K71" s="174">
        <v>18</v>
      </c>
      <c r="L71" s="174">
        <v>0</v>
      </c>
      <c r="M71" s="174">
        <f>SUM(I71:L71)</f>
        <v>55</v>
      </c>
      <c r="N71" s="115">
        <v>43102</v>
      </c>
      <c r="O71" s="115">
        <v>43190</v>
      </c>
      <c r="P71" s="51">
        <v>175</v>
      </c>
      <c r="Q71" s="52">
        <v>91</v>
      </c>
      <c r="R71" s="135">
        <v>0</v>
      </c>
      <c r="S71" s="135" t="s">
        <v>196</v>
      </c>
      <c r="T71" s="53" t="s">
        <v>196</v>
      </c>
      <c r="U71" s="123">
        <v>55</v>
      </c>
      <c r="V71" s="104" t="s">
        <v>264</v>
      </c>
      <c r="W71" s="55">
        <v>5005</v>
      </c>
      <c r="X71" s="54"/>
      <c r="Y71" s="54"/>
      <c r="Z71" s="56">
        <f>B71</f>
        <v>10093</v>
      </c>
      <c r="AA71" s="49" t="s">
        <v>197</v>
      </c>
      <c r="AB71" s="56">
        <v>739020</v>
      </c>
      <c r="AC71" s="89"/>
    </row>
    <row r="72" spans="1:29" ht="12">
      <c r="A72" s="85" t="s">
        <v>186</v>
      </c>
      <c r="B72" s="107">
        <f>VLOOKUP(A72,'[3]Summer Data Sheet 17-18'!$C$366:$D$488,2,0)</f>
        <v>10093</v>
      </c>
      <c r="C72" s="87"/>
      <c r="D72" s="87" t="s">
        <v>26</v>
      </c>
      <c r="E72" s="91" t="s">
        <v>173</v>
      </c>
      <c r="F72" s="96" t="s">
        <v>27</v>
      </c>
      <c r="G72" s="95">
        <v>0.6</v>
      </c>
      <c r="H72" s="91" t="s">
        <v>25</v>
      </c>
      <c r="I72" s="174">
        <v>17</v>
      </c>
      <c r="J72" s="174">
        <v>0</v>
      </c>
      <c r="K72" s="174">
        <v>0</v>
      </c>
      <c r="L72" s="174">
        <v>0</v>
      </c>
      <c r="M72" s="174">
        <f>SUM(I72:L72)</f>
        <v>17</v>
      </c>
      <c r="N72" s="115">
        <v>43108</v>
      </c>
      <c r="O72" s="115">
        <v>43130</v>
      </c>
      <c r="P72" s="51">
        <v>175</v>
      </c>
      <c r="Q72" s="52">
        <v>105</v>
      </c>
      <c r="R72" s="53">
        <v>15</v>
      </c>
      <c r="S72" s="53">
        <v>2</v>
      </c>
      <c r="T72" s="135" t="s">
        <v>196</v>
      </c>
      <c r="U72" s="123">
        <v>17</v>
      </c>
      <c r="V72" s="104" t="s">
        <v>28</v>
      </c>
      <c r="W72" s="55">
        <v>210</v>
      </c>
      <c r="X72" s="54"/>
      <c r="Y72" s="54">
        <f>U72</f>
        <v>17</v>
      </c>
      <c r="Z72" s="56">
        <f>B72</f>
        <v>10093</v>
      </c>
      <c r="AA72" s="49" t="s">
        <v>197</v>
      </c>
      <c r="AB72" s="56">
        <v>739020</v>
      </c>
      <c r="AC72" s="89">
        <v>0</v>
      </c>
    </row>
    <row r="73" spans="1:29" ht="12">
      <c r="A73" s="85" t="s">
        <v>190</v>
      </c>
      <c r="B73" s="107">
        <f>VLOOKUP(A73,'[3]Summer Data Sheet 17-18'!$C$366:$D$488,2,0)</f>
        <v>10094</v>
      </c>
      <c r="C73" s="86"/>
      <c r="D73" s="87" t="s">
        <v>29</v>
      </c>
      <c r="E73" s="91" t="s">
        <v>173</v>
      </c>
      <c r="F73" s="96" t="s">
        <v>27</v>
      </c>
      <c r="G73" s="95">
        <v>1</v>
      </c>
      <c r="H73" s="91" t="s">
        <v>30</v>
      </c>
      <c r="I73" s="174">
        <v>22</v>
      </c>
      <c r="J73" s="174">
        <v>15</v>
      </c>
      <c r="K73" s="174">
        <v>21</v>
      </c>
      <c r="L73" s="174">
        <v>0</v>
      </c>
      <c r="M73" s="174">
        <f>SUM(I73:L73)</f>
        <v>58</v>
      </c>
      <c r="N73" s="115">
        <v>43101</v>
      </c>
      <c r="O73" s="115">
        <v>43190</v>
      </c>
      <c r="P73" s="51">
        <v>175</v>
      </c>
      <c r="Q73" s="52">
        <v>175</v>
      </c>
      <c r="R73" s="53" t="s">
        <v>196</v>
      </c>
      <c r="S73" s="135" t="s">
        <v>196</v>
      </c>
      <c r="T73" s="53">
        <v>58</v>
      </c>
      <c r="U73" s="123">
        <v>58</v>
      </c>
      <c r="V73" s="104" t="s">
        <v>31</v>
      </c>
      <c r="W73" s="55">
        <v>10150</v>
      </c>
      <c r="X73" s="54">
        <f>Q73*T73</f>
        <v>10150</v>
      </c>
      <c r="Y73" s="54">
        <f>U73</f>
        <v>58</v>
      </c>
      <c r="Z73" s="56">
        <f>B73</f>
        <v>10094</v>
      </c>
      <c r="AA73" s="49" t="s">
        <v>197</v>
      </c>
      <c r="AB73" s="56">
        <v>739020</v>
      </c>
      <c r="AC73" s="89">
        <v>0</v>
      </c>
    </row>
    <row r="74" spans="1:29" ht="12">
      <c r="A74" s="85" t="s">
        <v>190</v>
      </c>
      <c r="B74" s="107">
        <f>VLOOKUP(A74,'[3]Summer Data Sheet 17-18'!$C$366:$D$488,2,0)</f>
        <v>10094</v>
      </c>
      <c r="C74" s="86"/>
      <c r="D74" s="87" t="s">
        <v>26</v>
      </c>
      <c r="E74" s="91" t="s">
        <v>173</v>
      </c>
      <c r="F74" s="96" t="s">
        <v>27</v>
      </c>
      <c r="G74" s="95">
        <v>0.6</v>
      </c>
      <c r="H74" s="91" t="s">
        <v>25</v>
      </c>
      <c r="I74" s="174">
        <f>12+14+9</f>
        <v>35</v>
      </c>
      <c r="J74" s="174">
        <v>0</v>
      </c>
      <c r="K74" s="174">
        <v>0</v>
      </c>
      <c r="L74" s="174">
        <v>0</v>
      </c>
      <c r="M74" s="174">
        <f>SUM(I74:L74)</f>
        <v>35</v>
      </c>
      <c r="N74" s="115">
        <v>43054</v>
      </c>
      <c r="O74" s="115">
        <v>43190</v>
      </c>
      <c r="P74" s="51">
        <v>175</v>
      </c>
      <c r="Q74" s="52">
        <v>105</v>
      </c>
      <c r="R74" s="53">
        <v>15</v>
      </c>
      <c r="S74" s="135">
        <v>20</v>
      </c>
      <c r="T74" s="135" t="s">
        <v>196</v>
      </c>
      <c r="U74" s="123">
        <v>35</v>
      </c>
      <c r="V74" s="104" t="s">
        <v>28</v>
      </c>
      <c r="W74" s="55">
        <v>2100</v>
      </c>
      <c r="X74" s="54">
        <f>Q74*T74</f>
        <v>0</v>
      </c>
      <c r="Y74" s="54">
        <f>U74</f>
        <v>35</v>
      </c>
      <c r="Z74" s="56">
        <f>B74</f>
        <v>10094</v>
      </c>
      <c r="AA74" s="49" t="s">
        <v>197</v>
      </c>
      <c r="AB74" s="56">
        <v>739020</v>
      </c>
      <c r="AC74" s="89">
        <v>0</v>
      </c>
    </row>
    <row r="75" spans="1:29" ht="12">
      <c r="A75" s="85" t="s">
        <v>190</v>
      </c>
      <c r="B75" s="107">
        <f>VLOOKUP(A75,'[3]Summer Data Sheet 17-18'!$C$366:$D$488,2,0)</f>
        <v>10094</v>
      </c>
      <c r="C75" s="87"/>
      <c r="D75" s="87" t="s">
        <v>29</v>
      </c>
      <c r="E75" s="91" t="s">
        <v>173</v>
      </c>
      <c r="F75" s="96" t="s">
        <v>27</v>
      </c>
      <c r="G75" s="95">
        <v>0.6</v>
      </c>
      <c r="H75" s="91" t="s">
        <v>30</v>
      </c>
      <c r="I75" s="174">
        <v>13</v>
      </c>
      <c r="J75" s="174">
        <v>15</v>
      </c>
      <c r="K75" s="174">
        <v>21</v>
      </c>
      <c r="L75" s="174">
        <v>0</v>
      </c>
      <c r="M75" s="174">
        <f>SUM(I75:L75)</f>
        <v>49</v>
      </c>
      <c r="N75" s="115">
        <v>43054</v>
      </c>
      <c r="O75" s="115">
        <v>43190</v>
      </c>
      <c r="P75" s="51">
        <v>175</v>
      </c>
      <c r="Q75" s="52">
        <v>105</v>
      </c>
      <c r="R75" s="53" t="s">
        <v>196</v>
      </c>
      <c r="S75" s="135" t="s">
        <v>196</v>
      </c>
      <c r="T75" s="135">
        <v>49</v>
      </c>
      <c r="U75" s="123">
        <v>49</v>
      </c>
      <c r="V75" s="104" t="s">
        <v>31</v>
      </c>
      <c r="W75" s="55">
        <v>5145</v>
      </c>
      <c r="X75" s="54">
        <f>Q75*T75</f>
        <v>5145</v>
      </c>
      <c r="Y75" s="54">
        <f>U75</f>
        <v>49</v>
      </c>
      <c r="Z75" s="56">
        <f>B75</f>
        <v>10094</v>
      </c>
      <c r="AA75" s="49" t="s">
        <v>197</v>
      </c>
      <c r="AB75" s="56">
        <v>739020</v>
      </c>
      <c r="AC75" s="89">
        <v>0</v>
      </c>
    </row>
    <row r="76" spans="1:29" ht="12">
      <c r="A76" s="85" t="s">
        <v>190</v>
      </c>
      <c r="B76" s="107">
        <f>VLOOKUP(A76,'[3]Summer Data Sheet 17-18'!$C$366:$D$488,2,0)</f>
        <v>10094</v>
      </c>
      <c r="C76" s="87"/>
      <c r="D76" s="87" t="s">
        <v>26</v>
      </c>
      <c r="E76" s="91" t="s">
        <v>173</v>
      </c>
      <c r="F76" s="96" t="s">
        <v>27</v>
      </c>
      <c r="G76" s="95">
        <v>1</v>
      </c>
      <c r="H76" s="91" t="s">
        <v>25</v>
      </c>
      <c r="I76" s="174">
        <f>13+22</f>
        <v>35</v>
      </c>
      <c r="J76" s="174">
        <v>0</v>
      </c>
      <c r="K76" s="174">
        <v>0</v>
      </c>
      <c r="L76" s="174">
        <v>0</v>
      </c>
      <c r="M76" s="174">
        <f>SUM(I76:L76)</f>
        <v>35</v>
      </c>
      <c r="N76" s="115">
        <v>43073</v>
      </c>
      <c r="O76" s="115">
        <v>43190</v>
      </c>
      <c r="P76" s="51">
        <v>175</v>
      </c>
      <c r="Q76" s="52">
        <v>175</v>
      </c>
      <c r="R76" s="135">
        <v>15</v>
      </c>
      <c r="S76" s="135">
        <v>20</v>
      </c>
      <c r="T76" s="135" t="s">
        <v>196</v>
      </c>
      <c r="U76" s="123">
        <v>35</v>
      </c>
      <c r="V76" s="104" t="s">
        <v>28</v>
      </c>
      <c r="W76" s="55">
        <v>3500</v>
      </c>
      <c r="X76" s="54">
        <f>Q76*T76</f>
        <v>0</v>
      </c>
      <c r="Y76" s="54">
        <f>U76</f>
        <v>35</v>
      </c>
      <c r="Z76" s="56">
        <f>B76</f>
        <v>10094</v>
      </c>
      <c r="AA76" s="49" t="s">
        <v>197</v>
      </c>
      <c r="AB76" s="56">
        <v>739020</v>
      </c>
      <c r="AC76" s="89">
        <v>0</v>
      </c>
    </row>
    <row r="77" spans="1:29" ht="12">
      <c r="A77" s="85" t="s">
        <v>190</v>
      </c>
      <c r="B77" s="107">
        <f>VLOOKUP(A77,'[3]Summer Data Sheet 17-18'!$C$366:$D$488,2,0)</f>
        <v>10094</v>
      </c>
      <c r="C77" s="86"/>
      <c r="D77" s="87" t="s">
        <v>29</v>
      </c>
      <c r="E77" s="91" t="s">
        <v>173</v>
      </c>
      <c r="F77" s="96" t="s">
        <v>27</v>
      </c>
      <c r="G77" s="95">
        <v>1</v>
      </c>
      <c r="H77" s="91" t="s">
        <v>30</v>
      </c>
      <c r="I77" s="174">
        <v>0</v>
      </c>
      <c r="J77" s="174">
        <v>15</v>
      </c>
      <c r="K77" s="174">
        <v>21</v>
      </c>
      <c r="L77" s="174">
        <v>0</v>
      </c>
      <c r="M77" s="174">
        <f>SUM(I77:L77)</f>
        <v>36</v>
      </c>
      <c r="N77" s="115">
        <v>43073</v>
      </c>
      <c r="O77" s="115">
        <v>43190</v>
      </c>
      <c r="P77" s="51">
        <v>175</v>
      </c>
      <c r="Q77" s="52">
        <v>175</v>
      </c>
      <c r="R77" s="53" t="s">
        <v>196</v>
      </c>
      <c r="S77" s="53" t="s">
        <v>196</v>
      </c>
      <c r="T77" s="135">
        <v>36</v>
      </c>
      <c r="U77" s="123">
        <v>36</v>
      </c>
      <c r="V77" s="104" t="s">
        <v>31</v>
      </c>
      <c r="W77" s="55">
        <v>6300</v>
      </c>
      <c r="X77" s="54">
        <f>Q77*T77</f>
        <v>6300</v>
      </c>
      <c r="Y77" s="54">
        <f>U77</f>
        <v>36</v>
      </c>
      <c r="Z77" s="56">
        <f>B77</f>
        <v>10094</v>
      </c>
      <c r="AA77" s="49" t="s">
        <v>197</v>
      </c>
      <c r="AB77" s="56">
        <v>739020</v>
      </c>
      <c r="AC77" s="89">
        <v>0</v>
      </c>
    </row>
    <row r="78" spans="1:29" ht="12">
      <c r="A78" s="85" t="s">
        <v>110</v>
      </c>
      <c r="B78" s="107">
        <f>VLOOKUP(A78,'[3]Summer Data Sheet 17-18'!$C$366:$D$488,2,0)</f>
        <v>10097</v>
      </c>
      <c r="C78" s="87"/>
      <c r="D78" s="87" t="s">
        <v>26</v>
      </c>
      <c r="E78" s="91" t="s">
        <v>173</v>
      </c>
      <c r="F78" s="96" t="s">
        <v>46</v>
      </c>
      <c r="G78" s="95">
        <v>1</v>
      </c>
      <c r="H78" s="91" t="s">
        <v>25</v>
      </c>
      <c r="I78" s="174">
        <v>1</v>
      </c>
      <c r="J78" s="174">
        <v>15</v>
      </c>
      <c r="K78" s="174">
        <v>19</v>
      </c>
      <c r="L78" s="174">
        <v>0</v>
      </c>
      <c r="M78" s="174">
        <f>SUM(I78:L78)</f>
        <v>35</v>
      </c>
      <c r="N78" s="115">
        <v>43131</v>
      </c>
      <c r="O78" s="115">
        <v>43190</v>
      </c>
      <c r="P78" s="51">
        <v>116</v>
      </c>
      <c r="Q78" s="52">
        <v>116</v>
      </c>
      <c r="R78" s="53">
        <v>15</v>
      </c>
      <c r="S78" s="135">
        <v>20</v>
      </c>
      <c r="T78" s="135" t="s">
        <v>196</v>
      </c>
      <c r="U78" s="123">
        <v>35</v>
      </c>
      <c r="V78" s="104" t="s">
        <v>28</v>
      </c>
      <c r="W78" s="55">
        <v>2320</v>
      </c>
      <c r="X78" s="54">
        <f>Q78*T78</f>
        <v>0</v>
      </c>
      <c r="Y78" s="54">
        <f>U78</f>
        <v>35</v>
      </c>
      <c r="Z78" s="56">
        <f>B78</f>
        <v>10097</v>
      </c>
      <c r="AA78" s="49" t="s">
        <v>198</v>
      </c>
      <c r="AB78" s="56">
        <v>739030</v>
      </c>
      <c r="AC78" s="89">
        <v>0</v>
      </c>
    </row>
    <row r="79" spans="1:29" ht="12">
      <c r="A79" s="85" t="s">
        <v>110</v>
      </c>
      <c r="B79" s="107">
        <f>VLOOKUP(A79,'[3]Summer Data Sheet 17-18'!$C$366:$D$488,2,0)</f>
        <v>10097</v>
      </c>
      <c r="C79" s="86"/>
      <c r="D79" s="87" t="s">
        <v>29</v>
      </c>
      <c r="E79" s="91" t="s">
        <v>173</v>
      </c>
      <c r="F79" s="96" t="s">
        <v>46</v>
      </c>
      <c r="G79" s="95">
        <v>1</v>
      </c>
      <c r="H79" s="91" t="s">
        <v>30</v>
      </c>
      <c r="I79" s="174">
        <v>0</v>
      </c>
      <c r="J79" s="174">
        <v>0</v>
      </c>
      <c r="K79" s="174">
        <v>2</v>
      </c>
      <c r="L79" s="174">
        <v>0</v>
      </c>
      <c r="M79" s="174">
        <f>SUM(I79:L79)</f>
        <v>2</v>
      </c>
      <c r="N79" s="115">
        <v>43131</v>
      </c>
      <c r="O79" s="115">
        <v>43190</v>
      </c>
      <c r="P79" s="51">
        <v>116</v>
      </c>
      <c r="Q79" s="52">
        <v>116</v>
      </c>
      <c r="R79" s="53" t="s">
        <v>196</v>
      </c>
      <c r="S79" s="135" t="s">
        <v>196</v>
      </c>
      <c r="T79" s="135">
        <v>2</v>
      </c>
      <c r="U79" s="123">
        <v>2</v>
      </c>
      <c r="V79" s="104" t="s">
        <v>31</v>
      </c>
      <c r="W79" s="55">
        <v>232</v>
      </c>
      <c r="X79" s="54">
        <f>Q79*T79</f>
        <v>232</v>
      </c>
      <c r="Y79" s="54">
        <f>U79</f>
        <v>2</v>
      </c>
      <c r="Z79" s="56">
        <f>B79</f>
        <v>10097</v>
      </c>
      <c r="AA79" s="49" t="s">
        <v>198</v>
      </c>
      <c r="AB79" s="56">
        <v>739030</v>
      </c>
      <c r="AC79" s="89">
        <v>0</v>
      </c>
    </row>
    <row r="80" spans="1:29" ht="12">
      <c r="A80" s="85" t="s">
        <v>132</v>
      </c>
      <c r="B80" s="107">
        <f>VLOOKUP(A80,'[3]Summer Data Sheet 17-18'!$C$366:$D$488,2,0)</f>
        <v>10100</v>
      </c>
      <c r="C80" s="86"/>
      <c r="D80" s="87" t="s">
        <v>26</v>
      </c>
      <c r="E80" s="91" t="s">
        <v>173</v>
      </c>
      <c r="F80" s="96" t="s">
        <v>123</v>
      </c>
      <c r="G80" s="95">
        <v>1</v>
      </c>
      <c r="H80" s="91" t="s">
        <v>30</v>
      </c>
      <c r="I80" s="174">
        <v>7</v>
      </c>
      <c r="J80" s="174">
        <v>0</v>
      </c>
      <c r="K80" s="174">
        <v>0</v>
      </c>
      <c r="L80" s="174">
        <v>0</v>
      </c>
      <c r="M80" s="174">
        <f>SUM(I80:L80)</f>
        <v>7</v>
      </c>
      <c r="N80" s="115">
        <v>43101</v>
      </c>
      <c r="O80" s="115">
        <v>43115</v>
      </c>
      <c r="P80" s="51">
        <v>82</v>
      </c>
      <c r="Q80" s="51">
        <v>82</v>
      </c>
      <c r="R80" s="53" t="s">
        <v>196</v>
      </c>
      <c r="S80" s="135">
        <v>7</v>
      </c>
      <c r="T80" s="135" t="s">
        <v>196</v>
      </c>
      <c r="U80" s="123">
        <v>7</v>
      </c>
      <c r="V80" s="104" t="s">
        <v>28</v>
      </c>
      <c r="W80" s="55">
        <v>574</v>
      </c>
      <c r="X80" s="54">
        <f>Q80*T80</f>
        <v>0</v>
      </c>
      <c r="Y80" s="54">
        <f>U80</f>
        <v>7</v>
      </c>
      <c r="Z80" s="56">
        <f>B80</f>
        <v>10100</v>
      </c>
      <c r="AA80" s="49" t="s">
        <v>198</v>
      </c>
      <c r="AB80" s="56">
        <v>739030</v>
      </c>
      <c r="AC80" s="89">
        <v>0</v>
      </c>
    </row>
    <row r="81" spans="1:29" ht="12">
      <c r="A81" s="85" t="s">
        <v>132</v>
      </c>
      <c r="B81" s="107">
        <f>VLOOKUP(A81,'[3]Summer Data Sheet 17-18'!$C$366:$D$488,2,0)</f>
        <v>10100</v>
      </c>
      <c r="C81" s="86"/>
      <c r="D81" s="87" t="s">
        <v>29</v>
      </c>
      <c r="E81" s="91" t="s">
        <v>173</v>
      </c>
      <c r="F81" s="96" t="s">
        <v>123</v>
      </c>
      <c r="G81" s="95">
        <v>1</v>
      </c>
      <c r="H81" s="91" t="s">
        <v>30</v>
      </c>
      <c r="I81" s="174">
        <v>3</v>
      </c>
      <c r="J81" s="174">
        <v>0</v>
      </c>
      <c r="K81" s="174">
        <v>0</v>
      </c>
      <c r="L81" s="174">
        <v>0</v>
      </c>
      <c r="M81" s="174">
        <f>SUM(I81:L81)</f>
        <v>3</v>
      </c>
      <c r="N81" s="115">
        <v>43101</v>
      </c>
      <c r="O81" s="115">
        <v>43115</v>
      </c>
      <c r="P81" s="51">
        <v>82</v>
      </c>
      <c r="Q81" s="51">
        <v>82</v>
      </c>
      <c r="R81" s="53" t="s">
        <v>196</v>
      </c>
      <c r="S81" s="135" t="s">
        <v>196</v>
      </c>
      <c r="T81" s="135">
        <v>3</v>
      </c>
      <c r="U81" s="123">
        <v>3</v>
      </c>
      <c r="V81" s="104" t="s">
        <v>31</v>
      </c>
      <c r="W81" s="55">
        <v>246</v>
      </c>
      <c r="X81" s="54">
        <f>Q81*T81</f>
        <v>246</v>
      </c>
      <c r="Y81" s="54">
        <f>U81</f>
        <v>3</v>
      </c>
      <c r="Z81" s="56">
        <f>B81</f>
        <v>10100</v>
      </c>
      <c r="AA81" s="49" t="s">
        <v>198</v>
      </c>
      <c r="AB81" s="56">
        <v>739030</v>
      </c>
      <c r="AC81" s="89">
        <v>0</v>
      </c>
    </row>
    <row r="82" spans="1:30" ht="12.75">
      <c r="A82" s="85" t="s">
        <v>132</v>
      </c>
      <c r="B82" s="107">
        <f>VLOOKUP(A82,'[3]Summer Data Sheet 17-18'!$C$366:$D$488,2,0)</f>
        <v>10100</v>
      </c>
      <c r="C82" s="86"/>
      <c r="D82" s="87" t="s">
        <v>29</v>
      </c>
      <c r="E82" s="91" t="s">
        <v>173</v>
      </c>
      <c r="F82" s="91" t="s">
        <v>27</v>
      </c>
      <c r="G82" s="95">
        <v>0.6</v>
      </c>
      <c r="H82" s="91" t="s">
        <v>30</v>
      </c>
      <c r="I82" s="174">
        <v>2</v>
      </c>
      <c r="J82" s="174">
        <v>0</v>
      </c>
      <c r="K82" s="174">
        <v>0</v>
      </c>
      <c r="L82" s="174">
        <v>0</v>
      </c>
      <c r="M82" s="174">
        <f>SUM(I82:L82)</f>
        <v>2</v>
      </c>
      <c r="N82" s="115">
        <v>43101</v>
      </c>
      <c r="O82" s="115">
        <v>43103</v>
      </c>
      <c r="P82" s="51">
        <v>175</v>
      </c>
      <c r="Q82" s="52">
        <v>105</v>
      </c>
      <c r="R82" s="135" t="s">
        <v>196</v>
      </c>
      <c r="S82" s="135" t="s">
        <v>196</v>
      </c>
      <c r="T82" s="135">
        <v>2</v>
      </c>
      <c r="U82" s="123">
        <v>2</v>
      </c>
      <c r="V82" s="104" t="s">
        <v>31</v>
      </c>
      <c r="W82" s="55">
        <v>210</v>
      </c>
      <c r="X82" s="54">
        <f>Q82*T82</f>
        <v>210</v>
      </c>
      <c r="Y82" s="54">
        <f>U82</f>
        <v>2</v>
      </c>
      <c r="Z82" s="56">
        <f>B82</f>
        <v>10100</v>
      </c>
      <c r="AA82" s="49" t="s">
        <v>197</v>
      </c>
      <c r="AB82" s="56">
        <v>739020</v>
      </c>
      <c r="AC82" s="89">
        <v>0</v>
      </c>
      <c r="AD82" s="57"/>
    </row>
    <row r="83" spans="1:29" ht="12">
      <c r="A83" s="85" t="s">
        <v>132</v>
      </c>
      <c r="B83" s="107">
        <f>VLOOKUP(A83,'[3]Summer Data Sheet 17-18'!$C$366:$D$488,2,0)</f>
        <v>10100</v>
      </c>
      <c r="C83" s="86"/>
      <c r="D83" s="86" t="s">
        <v>279</v>
      </c>
      <c r="E83" s="91" t="s">
        <v>173</v>
      </c>
      <c r="F83" s="91" t="s">
        <v>24</v>
      </c>
      <c r="G83" s="95">
        <v>0.6</v>
      </c>
      <c r="H83" s="91" t="s">
        <v>25</v>
      </c>
      <c r="I83" s="174">
        <v>0</v>
      </c>
      <c r="J83" s="174">
        <v>3</v>
      </c>
      <c r="K83" s="174">
        <v>21</v>
      </c>
      <c r="L83" s="174">
        <v>0</v>
      </c>
      <c r="M83" s="174">
        <f>SUM(I83:L83)</f>
        <v>24</v>
      </c>
      <c r="N83" s="115">
        <v>43157</v>
      </c>
      <c r="O83" s="115">
        <v>43190</v>
      </c>
      <c r="P83" s="51">
        <v>175</v>
      </c>
      <c r="Q83" s="52">
        <v>105</v>
      </c>
      <c r="R83" s="135">
        <v>0</v>
      </c>
      <c r="S83" s="135" t="s">
        <v>196</v>
      </c>
      <c r="T83" s="135" t="s">
        <v>196</v>
      </c>
      <c r="U83" s="123">
        <v>24</v>
      </c>
      <c r="V83" s="104" t="s">
        <v>264</v>
      </c>
      <c r="W83" s="55">
        <v>2520</v>
      </c>
      <c r="X83" s="54">
        <f>Q83*T83</f>
        <v>0</v>
      </c>
      <c r="Y83" s="54">
        <f>U83</f>
        <v>24</v>
      </c>
      <c r="Z83" s="56">
        <f>B83</f>
        <v>10100</v>
      </c>
      <c r="AA83" s="49" t="s">
        <v>197</v>
      </c>
      <c r="AB83" s="56">
        <v>739020</v>
      </c>
      <c r="AC83" s="89">
        <v>0</v>
      </c>
    </row>
    <row r="84" spans="1:29" ht="12">
      <c r="A84" s="85" t="s">
        <v>271</v>
      </c>
      <c r="B84" s="107">
        <f>VLOOKUP(A84,'[3]Summer Data Sheet 17-18'!$C$366:$D$488,2,0)</f>
        <v>10103</v>
      </c>
      <c r="C84" s="86"/>
      <c r="D84" s="87" t="s">
        <v>34</v>
      </c>
      <c r="E84" s="91" t="s">
        <v>173</v>
      </c>
      <c r="F84" s="91" t="s">
        <v>65</v>
      </c>
      <c r="G84" s="95">
        <v>0.92</v>
      </c>
      <c r="H84" s="91" t="s">
        <v>30</v>
      </c>
      <c r="I84" s="174">
        <v>18</v>
      </c>
      <c r="J84" s="174">
        <v>0</v>
      </c>
      <c r="K84" s="174">
        <v>0</v>
      </c>
      <c r="L84" s="174">
        <v>0</v>
      </c>
      <c r="M84" s="174">
        <f>SUM(I84:L84)</f>
        <v>18</v>
      </c>
      <c r="N84" s="115">
        <v>43101</v>
      </c>
      <c r="O84" s="115">
        <v>43190</v>
      </c>
      <c r="P84" s="51">
        <v>93</v>
      </c>
      <c r="Q84" s="52">
        <v>85.56</v>
      </c>
      <c r="R84" s="135" t="s">
        <v>196</v>
      </c>
      <c r="S84" s="135" t="s">
        <v>196</v>
      </c>
      <c r="T84" s="135" t="s">
        <v>196</v>
      </c>
      <c r="U84" s="123">
        <v>18</v>
      </c>
      <c r="V84" s="104" t="s">
        <v>264</v>
      </c>
      <c r="W84" s="55">
        <v>1540.08</v>
      </c>
      <c r="X84" s="54">
        <f>Q84*T84</f>
        <v>0</v>
      </c>
      <c r="Y84" s="54">
        <f>U84</f>
        <v>18</v>
      </c>
      <c r="Z84" s="56">
        <f>B84</f>
        <v>10103</v>
      </c>
      <c r="AA84" s="49" t="s">
        <v>198</v>
      </c>
      <c r="AB84" s="56">
        <v>739030</v>
      </c>
      <c r="AC84" s="89">
        <v>0</v>
      </c>
    </row>
    <row r="85" spans="1:29" ht="12">
      <c r="A85" s="85" t="s">
        <v>271</v>
      </c>
      <c r="B85" s="107">
        <f>VLOOKUP(A85,'[3]Summer Data Sheet 17-18'!$C$366:$D$488,2,0)</f>
        <v>10103</v>
      </c>
      <c r="C85" s="86"/>
      <c r="D85" s="87" t="s">
        <v>26</v>
      </c>
      <c r="E85" s="91" t="s">
        <v>173</v>
      </c>
      <c r="F85" s="91" t="s">
        <v>63</v>
      </c>
      <c r="G85" s="95">
        <v>0.53</v>
      </c>
      <c r="H85" s="91" t="s">
        <v>25</v>
      </c>
      <c r="I85" s="174">
        <v>8</v>
      </c>
      <c r="J85" s="174">
        <v>15</v>
      </c>
      <c r="K85" s="174">
        <v>5</v>
      </c>
      <c r="L85" s="174">
        <v>0</v>
      </c>
      <c r="M85" s="174">
        <f>SUM(I85:L85)</f>
        <v>28</v>
      </c>
      <c r="N85" s="115">
        <v>43122</v>
      </c>
      <c r="O85" s="115">
        <v>43166</v>
      </c>
      <c r="P85" s="51">
        <v>93</v>
      </c>
      <c r="Q85" s="52">
        <v>49.29</v>
      </c>
      <c r="R85" s="53">
        <v>15</v>
      </c>
      <c r="S85" s="135">
        <v>13</v>
      </c>
      <c r="T85" s="135" t="s">
        <v>196</v>
      </c>
      <c r="U85" s="123">
        <v>28</v>
      </c>
      <c r="V85" s="104" t="s">
        <v>28</v>
      </c>
      <c r="W85" s="55">
        <v>640.77</v>
      </c>
      <c r="X85" s="54">
        <f>Q85*T85</f>
        <v>0</v>
      </c>
      <c r="Y85" s="54">
        <f>U85</f>
        <v>28</v>
      </c>
      <c r="Z85" s="56">
        <f>B85</f>
        <v>10103</v>
      </c>
      <c r="AA85" s="49" t="s">
        <v>198</v>
      </c>
      <c r="AB85" s="56">
        <v>739030</v>
      </c>
      <c r="AC85" s="89">
        <v>0</v>
      </c>
    </row>
    <row r="86" spans="1:30" ht="12.75">
      <c r="A86" s="85" t="s">
        <v>271</v>
      </c>
      <c r="B86" s="107">
        <f>VLOOKUP(A86,'[3]Summer Data Sheet 17-18'!$C$366:$D$488,2,0)</f>
        <v>10103</v>
      </c>
      <c r="C86" s="86"/>
      <c r="D86" s="86" t="s">
        <v>314</v>
      </c>
      <c r="E86" s="91" t="s">
        <v>173</v>
      </c>
      <c r="F86" s="91" t="s">
        <v>65</v>
      </c>
      <c r="G86" s="95">
        <v>0.9</v>
      </c>
      <c r="H86" s="91" t="s">
        <v>25</v>
      </c>
      <c r="I86" s="174">
        <v>0</v>
      </c>
      <c r="J86" s="174">
        <v>0</v>
      </c>
      <c r="K86" s="174">
        <v>21</v>
      </c>
      <c r="L86" s="174">
        <v>0</v>
      </c>
      <c r="M86" s="174">
        <f>SUM(I86:L86)</f>
        <v>21</v>
      </c>
      <c r="N86" s="115">
        <v>43160</v>
      </c>
      <c r="O86" s="115">
        <v>43190</v>
      </c>
      <c r="P86" s="51">
        <v>93</v>
      </c>
      <c r="Q86" s="52">
        <v>83.7</v>
      </c>
      <c r="R86" s="53">
        <v>0</v>
      </c>
      <c r="S86" s="135" t="s">
        <v>196</v>
      </c>
      <c r="T86" s="135" t="s">
        <v>196</v>
      </c>
      <c r="U86" s="123">
        <v>21</v>
      </c>
      <c r="V86" s="104" t="s">
        <v>264</v>
      </c>
      <c r="W86" s="55">
        <v>1757.7</v>
      </c>
      <c r="X86" s="54">
        <f>Q86*T86</f>
        <v>0</v>
      </c>
      <c r="Y86" s="54">
        <f>U86</f>
        <v>21</v>
      </c>
      <c r="Z86" s="56">
        <f>B86</f>
        <v>10103</v>
      </c>
      <c r="AA86" s="49" t="s">
        <v>198</v>
      </c>
      <c r="AB86" s="56">
        <v>739030</v>
      </c>
      <c r="AC86" s="89">
        <v>0</v>
      </c>
      <c r="AD86" s="57"/>
    </row>
    <row r="87" spans="1:29" ht="12">
      <c r="A87" s="85" t="s">
        <v>115</v>
      </c>
      <c r="B87" s="107">
        <f>VLOOKUP(A87,'[3]Summer Data Sheet 17-18'!$C$366:$D$488,2,0)</f>
        <v>10105</v>
      </c>
      <c r="C87" s="86"/>
      <c r="D87" s="87" t="s">
        <v>29</v>
      </c>
      <c r="E87" s="91" t="s">
        <v>173</v>
      </c>
      <c r="F87" s="91" t="s">
        <v>63</v>
      </c>
      <c r="G87" s="95">
        <v>0.692</v>
      </c>
      <c r="H87" s="91" t="s">
        <v>30</v>
      </c>
      <c r="I87" s="174">
        <v>22</v>
      </c>
      <c r="J87" s="174">
        <v>7</v>
      </c>
      <c r="K87" s="174">
        <v>0</v>
      </c>
      <c r="L87" s="174">
        <v>0</v>
      </c>
      <c r="M87" s="174">
        <f>SUM(I87:L87)</f>
        <v>29</v>
      </c>
      <c r="N87" s="115">
        <v>43101</v>
      </c>
      <c r="O87" s="115">
        <v>43148</v>
      </c>
      <c r="P87" s="51">
        <v>93</v>
      </c>
      <c r="Q87" s="52">
        <v>64.36</v>
      </c>
      <c r="R87" s="135" t="s">
        <v>196</v>
      </c>
      <c r="S87" s="135" t="s">
        <v>196</v>
      </c>
      <c r="T87" s="53">
        <v>29</v>
      </c>
      <c r="U87" s="123">
        <v>29</v>
      </c>
      <c r="V87" s="104" t="s">
        <v>31</v>
      </c>
      <c r="W87" s="55">
        <v>1866.44</v>
      </c>
      <c r="X87" s="54">
        <f>Q87*T87</f>
        <v>1866.44</v>
      </c>
      <c r="Y87" s="54">
        <f>U87</f>
        <v>29</v>
      </c>
      <c r="Z87" s="56">
        <f>B87</f>
        <v>10105</v>
      </c>
      <c r="AA87" s="49" t="s">
        <v>198</v>
      </c>
      <c r="AB87" s="56">
        <v>739030</v>
      </c>
      <c r="AC87" s="89">
        <v>0</v>
      </c>
    </row>
    <row r="88" spans="1:29" ht="12">
      <c r="A88" s="85" t="s">
        <v>115</v>
      </c>
      <c r="B88" s="107">
        <f>VLOOKUP(A88,'[3]Summer Data Sheet 17-18'!$C$366:$D$488,2,0)</f>
        <v>10105</v>
      </c>
      <c r="C88" s="86"/>
      <c r="D88" s="87" t="s">
        <v>315</v>
      </c>
      <c r="E88" s="91" t="s">
        <v>173</v>
      </c>
      <c r="F88" s="91" t="s">
        <v>63</v>
      </c>
      <c r="G88" s="95">
        <v>0.692</v>
      </c>
      <c r="H88" s="91" t="s">
        <v>30</v>
      </c>
      <c r="I88" s="174">
        <v>0</v>
      </c>
      <c r="J88" s="174">
        <f>8/2</f>
        <v>4</v>
      </c>
      <c r="K88" s="174">
        <f>21/2</f>
        <v>10.5</v>
      </c>
      <c r="L88" s="174">
        <v>0</v>
      </c>
      <c r="M88" s="174">
        <f>SUM(I88:L88)</f>
        <v>14.5</v>
      </c>
      <c r="N88" s="115">
        <v>43101</v>
      </c>
      <c r="O88" s="115">
        <v>43190</v>
      </c>
      <c r="P88" s="51">
        <v>93</v>
      </c>
      <c r="Q88" s="51">
        <v>64.36</v>
      </c>
      <c r="R88" s="53" t="s">
        <v>196</v>
      </c>
      <c r="S88" s="135" t="s">
        <v>196</v>
      </c>
      <c r="T88" s="135">
        <v>14.5</v>
      </c>
      <c r="U88" s="123">
        <v>14.5</v>
      </c>
      <c r="V88" s="104" t="s">
        <v>31</v>
      </c>
      <c r="W88" s="55">
        <v>933.22</v>
      </c>
      <c r="X88" s="54">
        <f>Q88*T88</f>
        <v>933.22</v>
      </c>
      <c r="Y88" s="54">
        <f>U88</f>
        <v>14.5</v>
      </c>
      <c r="Z88" s="56">
        <f>B88</f>
        <v>10105</v>
      </c>
      <c r="AA88" s="49" t="s">
        <v>198</v>
      </c>
      <c r="AB88" s="56">
        <v>739030</v>
      </c>
      <c r="AC88" s="89">
        <v>0</v>
      </c>
    </row>
    <row r="89" spans="1:29" ht="12">
      <c r="A89" s="85" t="s">
        <v>115</v>
      </c>
      <c r="B89" s="107">
        <f>VLOOKUP(A89,'[3]Summer Data Sheet 17-18'!$C$366:$D$488,2,0)</f>
        <v>10105</v>
      </c>
      <c r="C89" s="86"/>
      <c r="D89" s="87" t="s">
        <v>26</v>
      </c>
      <c r="E89" s="91" t="s">
        <v>173</v>
      </c>
      <c r="F89" s="96" t="s">
        <v>27</v>
      </c>
      <c r="G89" s="95">
        <v>0.6</v>
      </c>
      <c r="H89" s="91" t="s">
        <v>25</v>
      </c>
      <c r="I89" s="174">
        <v>21</v>
      </c>
      <c r="J89" s="174">
        <v>14</v>
      </c>
      <c r="K89" s="174">
        <v>0</v>
      </c>
      <c r="L89" s="174">
        <v>0</v>
      </c>
      <c r="M89" s="174">
        <f>SUM(I89:L89)</f>
        <v>35</v>
      </c>
      <c r="N89" s="115">
        <v>43103</v>
      </c>
      <c r="O89" s="115">
        <v>43190</v>
      </c>
      <c r="P89" s="51">
        <v>175</v>
      </c>
      <c r="Q89" s="52">
        <v>105</v>
      </c>
      <c r="R89" s="53">
        <v>15</v>
      </c>
      <c r="S89" s="135">
        <v>20</v>
      </c>
      <c r="T89" s="135" t="s">
        <v>196</v>
      </c>
      <c r="U89" s="123">
        <v>35</v>
      </c>
      <c r="V89" s="104" t="s">
        <v>28</v>
      </c>
      <c r="W89" s="55">
        <v>2100</v>
      </c>
      <c r="X89" s="54">
        <f>Q89*T89</f>
        <v>0</v>
      </c>
      <c r="Y89" s="54">
        <f>U89</f>
        <v>35</v>
      </c>
      <c r="Z89" s="56">
        <f>B89</f>
        <v>10105</v>
      </c>
      <c r="AA89" s="49" t="s">
        <v>197</v>
      </c>
      <c r="AB89" s="56">
        <v>739020</v>
      </c>
      <c r="AC89" s="89">
        <v>0</v>
      </c>
    </row>
    <row r="90" spans="1:30" ht="12.75">
      <c r="A90" s="85" t="s">
        <v>115</v>
      </c>
      <c r="B90" s="107">
        <f>VLOOKUP(A90,'[3]Summer Data Sheet 17-18'!$C$366:$D$488,2,0)</f>
        <v>10105</v>
      </c>
      <c r="C90" s="86"/>
      <c r="D90" s="87" t="s">
        <v>29</v>
      </c>
      <c r="E90" s="91" t="s">
        <v>173</v>
      </c>
      <c r="F90" s="96" t="s">
        <v>27</v>
      </c>
      <c r="G90" s="95">
        <v>0.6</v>
      </c>
      <c r="H90" s="91" t="s">
        <v>30</v>
      </c>
      <c r="I90" s="174">
        <v>0</v>
      </c>
      <c r="J90" s="174">
        <v>1</v>
      </c>
      <c r="K90" s="174">
        <v>21</v>
      </c>
      <c r="L90" s="174">
        <v>0</v>
      </c>
      <c r="M90" s="174">
        <f>SUM(I90:L90)+AC90</f>
        <v>22</v>
      </c>
      <c r="N90" s="115">
        <v>43103</v>
      </c>
      <c r="O90" s="115">
        <v>43190</v>
      </c>
      <c r="P90" s="51">
        <v>175</v>
      </c>
      <c r="Q90" s="52">
        <v>105</v>
      </c>
      <c r="R90" s="53" t="s">
        <v>196</v>
      </c>
      <c r="S90" s="135" t="s">
        <v>196</v>
      </c>
      <c r="T90" s="135">
        <v>22</v>
      </c>
      <c r="U90" s="123">
        <v>22</v>
      </c>
      <c r="V90" s="104" t="s">
        <v>31</v>
      </c>
      <c r="W90" s="55">
        <v>2310</v>
      </c>
      <c r="X90" s="54">
        <f>Q90*T90</f>
        <v>2310</v>
      </c>
      <c r="Y90" s="54">
        <f>U90</f>
        <v>22</v>
      </c>
      <c r="Z90" s="56">
        <f>B90</f>
        <v>10105</v>
      </c>
      <c r="AA90" s="49" t="s">
        <v>197</v>
      </c>
      <c r="AB90" s="56">
        <v>739020</v>
      </c>
      <c r="AC90" s="89">
        <v>0</v>
      </c>
      <c r="AD90" s="57"/>
    </row>
    <row r="91" spans="1:30" ht="12.75">
      <c r="A91" s="85" t="s">
        <v>115</v>
      </c>
      <c r="B91" s="107">
        <f>VLOOKUP(A91,'[3]Summer Data Sheet 17-18'!$C$366:$D$488,2,0)</f>
        <v>10105</v>
      </c>
      <c r="C91" s="86"/>
      <c r="D91" s="87" t="s">
        <v>26</v>
      </c>
      <c r="E91" s="91" t="s">
        <v>173</v>
      </c>
      <c r="F91" s="96" t="s">
        <v>82</v>
      </c>
      <c r="G91" s="95">
        <f>7.5/5</f>
        <v>1.5</v>
      </c>
      <c r="H91" s="91" t="s">
        <v>25</v>
      </c>
      <c r="I91" s="174">
        <f>3+22</f>
        <v>25</v>
      </c>
      <c r="J91" s="174">
        <v>10</v>
      </c>
      <c r="K91" s="174">
        <v>0</v>
      </c>
      <c r="L91" s="174">
        <v>0</v>
      </c>
      <c r="M91" s="174">
        <f>SUM(I91:L91)</f>
        <v>35</v>
      </c>
      <c r="N91" s="115">
        <v>43087</v>
      </c>
      <c r="O91" s="115">
        <v>43190</v>
      </c>
      <c r="P91" s="51">
        <v>9.45</v>
      </c>
      <c r="Q91" s="51">
        <v>14.18</v>
      </c>
      <c r="R91" s="53">
        <v>15</v>
      </c>
      <c r="S91" s="53">
        <v>20</v>
      </c>
      <c r="T91" s="135" t="s">
        <v>196</v>
      </c>
      <c r="U91" s="123">
        <v>35</v>
      </c>
      <c r="V91" s="104" t="s">
        <v>28</v>
      </c>
      <c r="W91" s="55">
        <v>283.6</v>
      </c>
      <c r="X91" s="54">
        <f>Q91*T91</f>
        <v>0</v>
      </c>
      <c r="Y91" s="54">
        <f>U91</f>
        <v>35</v>
      </c>
      <c r="Z91" s="56">
        <f>B91</f>
        <v>10105</v>
      </c>
      <c r="AA91" s="49" t="s">
        <v>198</v>
      </c>
      <c r="AB91" s="56">
        <v>739030</v>
      </c>
      <c r="AC91" s="89">
        <v>0</v>
      </c>
      <c r="AD91" s="57"/>
    </row>
    <row r="92" spans="1:29" ht="12">
      <c r="A92" s="85" t="s">
        <v>115</v>
      </c>
      <c r="B92" s="107">
        <f>VLOOKUP(A92,'[3]Summer Data Sheet 17-18'!$C$366:$D$488,2,0)</f>
        <v>10105</v>
      </c>
      <c r="C92" s="86"/>
      <c r="D92" s="87" t="s">
        <v>29</v>
      </c>
      <c r="E92" s="91" t="s">
        <v>173</v>
      </c>
      <c r="F92" s="96" t="s">
        <v>82</v>
      </c>
      <c r="G92" s="95">
        <f>7.5/5</f>
        <v>1.5</v>
      </c>
      <c r="H92" s="91" t="s">
        <v>30</v>
      </c>
      <c r="I92" s="174">
        <v>0</v>
      </c>
      <c r="J92" s="174">
        <v>5</v>
      </c>
      <c r="K92" s="174">
        <v>21</v>
      </c>
      <c r="L92" s="174">
        <v>0</v>
      </c>
      <c r="M92" s="174">
        <f>SUM(I92:L92)</f>
        <v>26</v>
      </c>
      <c r="N92" s="115">
        <v>43087</v>
      </c>
      <c r="O92" s="115">
        <v>43190</v>
      </c>
      <c r="P92" s="51">
        <v>9.45</v>
      </c>
      <c r="Q92" s="51">
        <v>14.18</v>
      </c>
      <c r="R92" s="53" t="s">
        <v>196</v>
      </c>
      <c r="S92" s="135" t="s">
        <v>196</v>
      </c>
      <c r="T92" s="135">
        <v>26</v>
      </c>
      <c r="U92" s="123">
        <v>26</v>
      </c>
      <c r="V92" s="104" t="s">
        <v>31</v>
      </c>
      <c r="W92" s="55">
        <v>368.68</v>
      </c>
      <c r="X92" s="54">
        <f>Q92*T92</f>
        <v>368.68</v>
      </c>
      <c r="Y92" s="54">
        <f>U92</f>
        <v>26</v>
      </c>
      <c r="Z92" s="56">
        <f>B92</f>
        <v>10105</v>
      </c>
      <c r="AA92" s="49" t="s">
        <v>198</v>
      </c>
      <c r="AB92" s="56">
        <v>739030</v>
      </c>
      <c r="AC92" s="89">
        <v>0</v>
      </c>
    </row>
    <row r="93" spans="1:29" ht="12">
      <c r="A93" s="85" t="s">
        <v>115</v>
      </c>
      <c r="B93" s="107">
        <f>VLOOKUP(A93,'[3]Summer Data Sheet 17-18'!$C$366:$D$488,2,0)</f>
        <v>10105</v>
      </c>
      <c r="C93" s="86"/>
      <c r="D93" s="87" t="s">
        <v>26</v>
      </c>
      <c r="E93" s="91" t="s">
        <v>173</v>
      </c>
      <c r="F93" s="96" t="s">
        <v>63</v>
      </c>
      <c r="G93" s="95">
        <v>0.8</v>
      </c>
      <c r="H93" s="91" t="s">
        <v>25</v>
      </c>
      <c r="I93" s="174">
        <v>21</v>
      </c>
      <c r="J93" s="174">
        <v>7</v>
      </c>
      <c r="K93" s="174">
        <v>0</v>
      </c>
      <c r="L93" s="174">
        <v>0</v>
      </c>
      <c r="M93" s="174">
        <f>SUM(I93:L93)</f>
        <v>28</v>
      </c>
      <c r="N93" s="115">
        <v>43103</v>
      </c>
      <c r="O93" s="115">
        <v>43140</v>
      </c>
      <c r="P93" s="51">
        <v>93</v>
      </c>
      <c r="Q93" s="52">
        <v>74.4</v>
      </c>
      <c r="R93" s="135">
        <v>15</v>
      </c>
      <c r="S93" s="53">
        <v>13</v>
      </c>
      <c r="T93" s="135" t="s">
        <v>196</v>
      </c>
      <c r="U93" s="123">
        <v>28</v>
      </c>
      <c r="V93" s="104" t="s">
        <v>28</v>
      </c>
      <c r="W93" s="55">
        <v>967.2</v>
      </c>
      <c r="X93" s="54">
        <f>Q93*T93</f>
        <v>0</v>
      </c>
      <c r="Y93" s="54">
        <f>U93</f>
        <v>28</v>
      </c>
      <c r="Z93" s="56">
        <f>B93</f>
        <v>10105</v>
      </c>
      <c r="AA93" s="49" t="s">
        <v>198</v>
      </c>
      <c r="AB93" s="56">
        <v>739030</v>
      </c>
      <c r="AC93" s="89">
        <v>0</v>
      </c>
    </row>
    <row r="94" spans="1:30" ht="12.75">
      <c r="A94" s="85" t="s">
        <v>248</v>
      </c>
      <c r="B94" s="107">
        <f>VLOOKUP(A94,'[3]Summer Data Sheet 17-18'!$C$366:$D$488,2,0)</f>
        <v>10107</v>
      </c>
      <c r="C94" s="86"/>
      <c r="D94" s="86" t="s">
        <v>309</v>
      </c>
      <c r="E94" s="91" t="s">
        <v>173</v>
      </c>
      <c r="F94" s="96" t="s">
        <v>141</v>
      </c>
      <c r="G94" s="95">
        <f>15/5</f>
        <v>3</v>
      </c>
      <c r="H94" s="91" t="s">
        <v>25</v>
      </c>
      <c r="I94" s="174">
        <v>8</v>
      </c>
      <c r="J94" s="174">
        <v>15</v>
      </c>
      <c r="K94" s="174">
        <v>21</v>
      </c>
      <c r="L94" s="174">
        <v>0</v>
      </c>
      <c r="M94" s="174">
        <f>SUM(I94:L94)</f>
        <v>44</v>
      </c>
      <c r="N94" s="115">
        <v>43122</v>
      </c>
      <c r="O94" s="115">
        <v>43190</v>
      </c>
      <c r="P94" s="51">
        <v>9.45</v>
      </c>
      <c r="Q94" s="51">
        <v>28.35</v>
      </c>
      <c r="R94" s="53">
        <v>0</v>
      </c>
      <c r="S94" s="53" t="s">
        <v>196</v>
      </c>
      <c r="T94" s="135" t="s">
        <v>196</v>
      </c>
      <c r="U94" s="123">
        <v>44</v>
      </c>
      <c r="V94" s="104" t="s">
        <v>264</v>
      </c>
      <c r="W94" s="55">
        <v>1247.4</v>
      </c>
      <c r="X94" s="54"/>
      <c r="Y94" s="54"/>
      <c r="Z94" s="56">
        <f>B94</f>
        <v>10107</v>
      </c>
      <c r="AA94" s="49" t="s">
        <v>198</v>
      </c>
      <c r="AB94" s="56">
        <v>739030</v>
      </c>
      <c r="AC94" s="89"/>
      <c r="AD94" s="57"/>
    </row>
    <row r="95" spans="1:30" ht="12.75">
      <c r="A95" s="85" t="s">
        <v>248</v>
      </c>
      <c r="B95" s="107">
        <f>VLOOKUP(A95,'[3]Summer Data Sheet 17-18'!$C$366:$D$488,2,0)</f>
        <v>10107</v>
      </c>
      <c r="C95" s="86"/>
      <c r="D95" s="87" t="s">
        <v>26</v>
      </c>
      <c r="E95" s="91" t="s">
        <v>173</v>
      </c>
      <c r="F95" s="96" t="s">
        <v>82</v>
      </c>
      <c r="G95" s="95">
        <f>6.25/5</f>
        <v>1.25</v>
      </c>
      <c r="H95" s="91" t="s">
        <v>25</v>
      </c>
      <c r="I95" s="174">
        <v>8</v>
      </c>
      <c r="J95" s="174">
        <v>14</v>
      </c>
      <c r="K95" s="174">
        <v>0</v>
      </c>
      <c r="L95" s="174">
        <v>0</v>
      </c>
      <c r="M95" s="174">
        <f>SUM(I95:L95)</f>
        <v>22</v>
      </c>
      <c r="N95" s="115">
        <v>43122</v>
      </c>
      <c r="O95" s="115">
        <v>43158</v>
      </c>
      <c r="P95" s="51">
        <v>9.45</v>
      </c>
      <c r="Q95" s="51">
        <v>11.81</v>
      </c>
      <c r="R95" s="53">
        <v>15</v>
      </c>
      <c r="S95" s="53">
        <v>7</v>
      </c>
      <c r="T95" s="135" t="s">
        <v>196</v>
      </c>
      <c r="U95" s="123">
        <v>22</v>
      </c>
      <c r="V95" s="104" t="s">
        <v>28</v>
      </c>
      <c r="W95" s="55">
        <v>82.67</v>
      </c>
      <c r="X95" s="54"/>
      <c r="Y95" s="54"/>
      <c r="Z95" s="56">
        <f>B95</f>
        <v>10107</v>
      </c>
      <c r="AA95" s="49" t="s">
        <v>198</v>
      </c>
      <c r="AB95" s="56">
        <v>739030</v>
      </c>
      <c r="AC95" s="89"/>
      <c r="AD95" s="57"/>
    </row>
    <row r="96" spans="1:29" ht="12">
      <c r="A96" s="85" t="s">
        <v>192</v>
      </c>
      <c r="B96" s="107">
        <f>VLOOKUP(A96,'[3]Summer Data Sheet 17-18'!$C$366:$D$488,2,0)</f>
        <v>10108</v>
      </c>
      <c r="C96" s="86"/>
      <c r="D96" s="87" t="s">
        <v>29</v>
      </c>
      <c r="E96" s="91" t="s">
        <v>173</v>
      </c>
      <c r="F96" s="96" t="s">
        <v>27</v>
      </c>
      <c r="G96" s="95">
        <v>1</v>
      </c>
      <c r="H96" s="91" t="s">
        <v>25</v>
      </c>
      <c r="I96" s="174">
        <v>18</v>
      </c>
      <c r="J96" s="174">
        <v>15</v>
      </c>
      <c r="K96" s="174">
        <v>21</v>
      </c>
      <c r="L96" s="174">
        <v>0</v>
      </c>
      <c r="M96" s="174">
        <f>SUM(I96:L96)</f>
        <v>54</v>
      </c>
      <c r="N96" s="115">
        <v>43108</v>
      </c>
      <c r="O96" s="115">
        <v>43190</v>
      </c>
      <c r="P96" s="51">
        <v>175</v>
      </c>
      <c r="Q96" s="52">
        <v>175</v>
      </c>
      <c r="R96" s="53">
        <v>35</v>
      </c>
      <c r="S96" s="135" t="s">
        <v>196</v>
      </c>
      <c r="T96" s="135">
        <v>19</v>
      </c>
      <c r="U96" s="123">
        <v>54</v>
      </c>
      <c r="V96" s="104" t="s">
        <v>31</v>
      </c>
      <c r="W96" s="55">
        <v>3325</v>
      </c>
      <c r="X96" s="54"/>
      <c r="Y96" s="54"/>
      <c r="Z96" s="56">
        <f>B96</f>
        <v>10108</v>
      </c>
      <c r="AA96" s="49" t="s">
        <v>197</v>
      </c>
      <c r="AB96" s="56">
        <v>739020</v>
      </c>
      <c r="AC96" s="89"/>
    </row>
    <row r="97" spans="1:29" ht="12">
      <c r="A97" s="85" t="s">
        <v>192</v>
      </c>
      <c r="B97" s="107">
        <f>VLOOKUP(A97,'[3]Summer Data Sheet 17-18'!$C$366:$D$488,2,0)</f>
        <v>10108</v>
      </c>
      <c r="C97" s="86"/>
      <c r="D97" s="87" t="s">
        <v>29</v>
      </c>
      <c r="E97" s="91" t="s">
        <v>173</v>
      </c>
      <c r="F97" s="96" t="s">
        <v>123</v>
      </c>
      <c r="G97" s="95">
        <v>1</v>
      </c>
      <c r="H97" s="91" t="s">
        <v>30</v>
      </c>
      <c r="I97" s="174">
        <v>22</v>
      </c>
      <c r="J97" s="174">
        <v>15</v>
      </c>
      <c r="K97" s="174">
        <v>21</v>
      </c>
      <c r="L97" s="174">
        <v>0</v>
      </c>
      <c r="M97" s="174">
        <f>SUM(I97:L97)</f>
        <v>58</v>
      </c>
      <c r="N97" s="115">
        <v>43101</v>
      </c>
      <c r="O97" s="115">
        <v>43190</v>
      </c>
      <c r="P97" s="51">
        <v>82</v>
      </c>
      <c r="Q97" s="52">
        <v>82</v>
      </c>
      <c r="R97" s="135" t="s">
        <v>196</v>
      </c>
      <c r="S97" s="135" t="s">
        <v>196</v>
      </c>
      <c r="T97" s="53">
        <v>58</v>
      </c>
      <c r="U97" s="123">
        <v>58</v>
      </c>
      <c r="V97" s="104" t="s">
        <v>31</v>
      </c>
      <c r="W97" s="55">
        <v>4756</v>
      </c>
      <c r="X97" s="54">
        <f>Q97*T97</f>
        <v>4756</v>
      </c>
      <c r="Y97" s="54">
        <f>U97</f>
        <v>58</v>
      </c>
      <c r="Z97" s="56">
        <f>B97</f>
        <v>10108</v>
      </c>
      <c r="AA97" s="49" t="s">
        <v>198</v>
      </c>
      <c r="AB97" s="56">
        <v>739030</v>
      </c>
      <c r="AC97" s="89">
        <v>0</v>
      </c>
    </row>
    <row r="98" spans="1:29" ht="12">
      <c r="A98" s="85" t="s">
        <v>89</v>
      </c>
      <c r="B98" s="107">
        <f>VLOOKUP(A98,'[3]Summer Data Sheet 17-18'!$C$366:$D$488,2,0)</f>
        <v>10114</v>
      </c>
      <c r="C98" s="86"/>
      <c r="D98" s="87" t="s">
        <v>41</v>
      </c>
      <c r="E98" s="91" t="s">
        <v>173</v>
      </c>
      <c r="F98" s="96" t="s">
        <v>24</v>
      </c>
      <c r="G98" s="95">
        <v>0.5</v>
      </c>
      <c r="H98" s="91" t="s">
        <v>25</v>
      </c>
      <c r="I98" s="174">
        <v>22</v>
      </c>
      <c r="J98" s="174">
        <v>15</v>
      </c>
      <c r="K98" s="174">
        <v>17</v>
      </c>
      <c r="L98" s="174">
        <v>0</v>
      </c>
      <c r="M98" s="174">
        <f>SUM(I98:L98)</f>
        <v>54</v>
      </c>
      <c r="N98" s="115">
        <v>43102</v>
      </c>
      <c r="O98" s="115">
        <v>43190</v>
      </c>
      <c r="P98" s="51">
        <v>175</v>
      </c>
      <c r="Q98" s="52">
        <v>87.5</v>
      </c>
      <c r="R98" s="53">
        <v>0</v>
      </c>
      <c r="S98" s="53" t="s">
        <v>196</v>
      </c>
      <c r="T98" s="135" t="s">
        <v>196</v>
      </c>
      <c r="U98" s="123">
        <v>54</v>
      </c>
      <c r="V98" s="104" t="s">
        <v>264</v>
      </c>
      <c r="W98" s="55">
        <v>4725</v>
      </c>
      <c r="X98" s="54">
        <f>Q98*T98</f>
        <v>0</v>
      </c>
      <c r="Y98" s="54">
        <f>U98</f>
        <v>54</v>
      </c>
      <c r="Z98" s="56">
        <f>B98</f>
        <v>10114</v>
      </c>
      <c r="AA98" s="49" t="s">
        <v>197</v>
      </c>
      <c r="AB98" s="56">
        <v>739020</v>
      </c>
      <c r="AC98" s="89">
        <v>0</v>
      </c>
    </row>
    <row r="99" spans="1:29" ht="12">
      <c r="A99" s="85" t="s">
        <v>127</v>
      </c>
      <c r="B99" s="107">
        <f>VLOOKUP(A99,'[3]Summer Data Sheet 17-18'!$C$366:$D$488,2,0)</f>
        <v>10117</v>
      </c>
      <c r="C99" s="86"/>
      <c r="D99" s="87" t="s">
        <v>29</v>
      </c>
      <c r="E99" s="91" t="s">
        <v>173</v>
      </c>
      <c r="F99" s="96" t="s">
        <v>27</v>
      </c>
      <c r="G99" s="95">
        <f>11/27.5</f>
        <v>0.4</v>
      </c>
      <c r="H99" s="91" t="s">
        <v>25</v>
      </c>
      <c r="I99" s="174">
        <f>7+22</f>
        <v>29</v>
      </c>
      <c r="J99" s="174">
        <v>15</v>
      </c>
      <c r="K99" s="174">
        <v>21</v>
      </c>
      <c r="L99" s="174">
        <v>0</v>
      </c>
      <c r="M99" s="174">
        <f>SUM(I99:L99)</f>
        <v>65</v>
      </c>
      <c r="N99" s="115">
        <v>43081</v>
      </c>
      <c r="O99" s="115">
        <v>43190</v>
      </c>
      <c r="P99" s="51">
        <v>175</v>
      </c>
      <c r="Q99" s="52">
        <v>70</v>
      </c>
      <c r="R99" s="53">
        <v>35</v>
      </c>
      <c r="S99" s="135" t="s">
        <v>196</v>
      </c>
      <c r="T99" s="53">
        <v>30</v>
      </c>
      <c r="U99" s="123">
        <v>65</v>
      </c>
      <c r="V99" s="104" t="s">
        <v>31</v>
      </c>
      <c r="W99" s="55">
        <v>2100</v>
      </c>
      <c r="X99" s="54">
        <f>Q99*T99</f>
        <v>2100</v>
      </c>
      <c r="Y99" s="54">
        <f>U99</f>
        <v>65</v>
      </c>
      <c r="Z99" s="56">
        <f>B99</f>
        <v>10117</v>
      </c>
      <c r="AA99" s="49" t="s">
        <v>197</v>
      </c>
      <c r="AB99" s="56">
        <v>739020</v>
      </c>
      <c r="AC99" s="89">
        <v>0</v>
      </c>
    </row>
    <row r="100" spans="1:29" ht="12">
      <c r="A100" s="85" t="s">
        <v>177</v>
      </c>
      <c r="B100" s="107">
        <f>VLOOKUP(A100,'[3]Summer Data Sheet 17-18'!$C$366:$D$488,2,0)</f>
        <v>10119</v>
      </c>
      <c r="C100" s="86"/>
      <c r="D100" s="87" t="s">
        <v>26</v>
      </c>
      <c r="E100" s="91" t="s">
        <v>173</v>
      </c>
      <c r="F100" s="96" t="s">
        <v>46</v>
      </c>
      <c r="G100" s="95">
        <f>(32*40)/1728</f>
        <v>0.7407407407407407</v>
      </c>
      <c r="H100" s="91" t="s">
        <v>25</v>
      </c>
      <c r="I100" s="174">
        <v>22</v>
      </c>
      <c r="J100" s="174">
        <v>12</v>
      </c>
      <c r="K100" s="174">
        <v>0</v>
      </c>
      <c r="L100" s="174">
        <v>0</v>
      </c>
      <c r="M100" s="174">
        <f>SUM(I100:L100)</f>
        <v>34</v>
      </c>
      <c r="N100" s="115">
        <v>43102</v>
      </c>
      <c r="O100" s="115">
        <v>43156</v>
      </c>
      <c r="P100" s="51">
        <v>116</v>
      </c>
      <c r="Q100" s="51">
        <v>85.93</v>
      </c>
      <c r="R100" s="135">
        <v>15</v>
      </c>
      <c r="S100" s="135">
        <v>19</v>
      </c>
      <c r="T100" s="53" t="s">
        <v>196</v>
      </c>
      <c r="U100" s="123">
        <v>34</v>
      </c>
      <c r="V100" s="104" t="s">
        <v>28</v>
      </c>
      <c r="W100" s="55">
        <v>1632.67</v>
      </c>
      <c r="X100" s="54">
        <f>Q100*T100</f>
        <v>0</v>
      </c>
      <c r="Y100" s="54">
        <f>U100</f>
        <v>34</v>
      </c>
      <c r="Z100" s="56">
        <f>B100</f>
        <v>10119</v>
      </c>
      <c r="AA100" s="49" t="s">
        <v>198</v>
      </c>
      <c r="AB100" s="56">
        <v>739030</v>
      </c>
      <c r="AC100" s="89">
        <v>0</v>
      </c>
    </row>
    <row r="101" spans="1:29" ht="12">
      <c r="A101" s="85" t="s">
        <v>177</v>
      </c>
      <c r="B101" s="107">
        <f>VLOOKUP(A101,'[3]Summer Data Sheet 17-18'!$C$366:$D$488,2,0)</f>
        <v>10119</v>
      </c>
      <c r="C101" s="87"/>
      <c r="D101" s="87" t="s">
        <v>312</v>
      </c>
      <c r="E101" s="91" t="s">
        <v>173</v>
      </c>
      <c r="F101" s="96" t="s">
        <v>46</v>
      </c>
      <c r="G101" s="95">
        <f>12/36</f>
        <v>0.3333333333333333</v>
      </c>
      <c r="H101" s="91" t="s">
        <v>30</v>
      </c>
      <c r="I101" s="174">
        <v>0</v>
      </c>
      <c r="J101" s="174">
        <v>1</v>
      </c>
      <c r="K101" s="174">
        <v>0</v>
      </c>
      <c r="L101" s="174">
        <v>0</v>
      </c>
      <c r="M101" s="174">
        <f>SUM(I101:L101)</f>
        <v>1</v>
      </c>
      <c r="N101" s="115">
        <v>43157</v>
      </c>
      <c r="O101" s="115">
        <v>43182</v>
      </c>
      <c r="P101" s="51">
        <v>116</v>
      </c>
      <c r="Q101" s="51">
        <v>38.67</v>
      </c>
      <c r="R101" s="53" t="s">
        <v>196</v>
      </c>
      <c r="S101" s="53">
        <v>1</v>
      </c>
      <c r="T101" s="135" t="s">
        <v>196</v>
      </c>
      <c r="U101" s="123">
        <v>1</v>
      </c>
      <c r="V101" s="104" t="s">
        <v>28</v>
      </c>
      <c r="W101" s="55">
        <v>38.67</v>
      </c>
      <c r="X101" s="54">
        <f>Q101*T101</f>
        <v>0</v>
      </c>
      <c r="Y101" s="54">
        <f>U101</f>
        <v>1</v>
      </c>
      <c r="Z101" s="56">
        <f>B101</f>
        <v>10119</v>
      </c>
      <c r="AA101" s="49" t="s">
        <v>198</v>
      </c>
      <c r="AB101" s="56">
        <v>739030</v>
      </c>
      <c r="AC101" s="89">
        <v>0</v>
      </c>
    </row>
    <row r="102" spans="1:29" ht="12">
      <c r="A102" s="85" t="s">
        <v>177</v>
      </c>
      <c r="B102" s="107">
        <f>VLOOKUP(A102,'[3]Summer Data Sheet 17-18'!$C$366:$D$488,2,0)</f>
        <v>10119</v>
      </c>
      <c r="C102" s="87"/>
      <c r="D102" s="87" t="s">
        <v>313</v>
      </c>
      <c r="E102" s="91" t="s">
        <v>173</v>
      </c>
      <c r="F102" s="96" t="s">
        <v>46</v>
      </c>
      <c r="G102" s="95">
        <f>12/36</f>
        <v>0.3333333333333333</v>
      </c>
      <c r="H102" s="91" t="s">
        <v>30</v>
      </c>
      <c r="I102" s="174">
        <v>0</v>
      </c>
      <c r="J102" s="174">
        <v>2</v>
      </c>
      <c r="K102" s="174">
        <v>17</v>
      </c>
      <c r="L102" s="174">
        <v>0</v>
      </c>
      <c r="M102" s="174">
        <f>SUM(I102:L102)</f>
        <v>19</v>
      </c>
      <c r="N102" s="115">
        <v>43157</v>
      </c>
      <c r="O102" s="115">
        <v>43182</v>
      </c>
      <c r="P102" s="51">
        <v>116</v>
      </c>
      <c r="Q102" s="52">
        <v>38.67</v>
      </c>
      <c r="R102" s="53" t="s">
        <v>196</v>
      </c>
      <c r="S102" s="135" t="s">
        <v>196</v>
      </c>
      <c r="T102" s="135">
        <v>19</v>
      </c>
      <c r="U102" s="123">
        <v>19</v>
      </c>
      <c r="V102" s="104" t="s">
        <v>31</v>
      </c>
      <c r="W102" s="55">
        <v>734.73</v>
      </c>
      <c r="X102" s="54">
        <f>Q102*T102</f>
        <v>734.73</v>
      </c>
      <c r="Y102" s="54">
        <f>U102</f>
        <v>19</v>
      </c>
      <c r="Z102" s="56">
        <f>B102</f>
        <v>10119</v>
      </c>
      <c r="AA102" s="49" t="s">
        <v>198</v>
      </c>
      <c r="AB102" s="56">
        <v>739030</v>
      </c>
      <c r="AC102" s="89">
        <v>0</v>
      </c>
    </row>
    <row r="103" spans="1:29" ht="12">
      <c r="A103" s="85" t="s">
        <v>177</v>
      </c>
      <c r="B103" s="107">
        <f>VLOOKUP(A103,'[3]Summer Data Sheet 17-18'!$C$366:$D$488,2,0)</f>
        <v>10119</v>
      </c>
      <c r="C103" s="86"/>
      <c r="D103" s="86" t="s">
        <v>282</v>
      </c>
      <c r="E103" s="91" t="s">
        <v>173</v>
      </c>
      <c r="F103" s="96" t="s">
        <v>24</v>
      </c>
      <c r="G103" s="95">
        <f>16.5/27.5</f>
        <v>0.6</v>
      </c>
      <c r="H103" s="91" t="s">
        <v>25</v>
      </c>
      <c r="I103" s="174">
        <v>0</v>
      </c>
      <c r="J103" s="174">
        <v>14</v>
      </c>
      <c r="K103" s="174">
        <v>21</v>
      </c>
      <c r="L103" s="174">
        <v>0</v>
      </c>
      <c r="M103" s="174">
        <f>SUM(I103:L103)</f>
        <v>35</v>
      </c>
      <c r="N103" s="115">
        <v>43133</v>
      </c>
      <c r="O103" s="115">
        <v>43190</v>
      </c>
      <c r="P103" s="51">
        <v>175</v>
      </c>
      <c r="Q103" s="52">
        <v>105</v>
      </c>
      <c r="R103" s="53">
        <v>0</v>
      </c>
      <c r="S103" s="53" t="s">
        <v>196</v>
      </c>
      <c r="T103" s="135" t="s">
        <v>196</v>
      </c>
      <c r="U103" s="123">
        <v>35</v>
      </c>
      <c r="V103" s="104" t="s">
        <v>264</v>
      </c>
      <c r="W103" s="55">
        <v>3675</v>
      </c>
      <c r="X103" s="54">
        <f>Q103*T103</f>
        <v>0</v>
      </c>
      <c r="Y103" s="54">
        <f>U103</f>
        <v>35</v>
      </c>
      <c r="Z103" s="56">
        <f>B103</f>
        <v>10119</v>
      </c>
      <c r="AA103" s="49" t="s">
        <v>197</v>
      </c>
      <c r="AB103" s="56">
        <v>739020</v>
      </c>
      <c r="AC103" s="89">
        <v>0</v>
      </c>
    </row>
    <row r="104" spans="1:29" ht="12">
      <c r="A104" s="85" t="s">
        <v>116</v>
      </c>
      <c r="B104" s="107">
        <f>VLOOKUP(A104,'[3]Summer Data Sheet 17-18'!$C$366:$D$488,2,0)</f>
        <v>10123</v>
      </c>
      <c r="C104" s="86"/>
      <c r="D104" s="87" t="s">
        <v>26</v>
      </c>
      <c r="E104" s="91" t="s">
        <v>173</v>
      </c>
      <c r="F104" s="96" t="s">
        <v>63</v>
      </c>
      <c r="G104" s="95">
        <f>(36*40)/1728</f>
        <v>0.8333333333333334</v>
      </c>
      <c r="H104" s="91" t="s">
        <v>25</v>
      </c>
      <c r="I104" s="174">
        <v>8</v>
      </c>
      <c r="J104" s="174">
        <v>15</v>
      </c>
      <c r="K104" s="174">
        <v>7</v>
      </c>
      <c r="L104" s="174">
        <v>0</v>
      </c>
      <c r="M104" s="174">
        <f>SUM(I104:L104)</f>
        <v>30</v>
      </c>
      <c r="N104" s="115">
        <v>43122</v>
      </c>
      <c r="O104" s="115">
        <v>43168</v>
      </c>
      <c r="P104" s="51">
        <v>93</v>
      </c>
      <c r="Q104" s="52">
        <v>77.5</v>
      </c>
      <c r="R104" s="135">
        <v>15</v>
      </c>
      <c r="S104" s="135">
        <v>15</v>
      </c>
      <c r="T104" s="53" t="s">
        <v>196</v>
      </c>
      <c r="U104" s="123">
        <v>30</v>
      </c>
      <c r="V104" s="104" t="s">
        <v>28</v>
      </c>
      <c r="W104" s="55">
        <v>1162.5</v>
      </c>
      <c r="X104" s="54">
        <f>Q104*T104</f>
        <v>0</v>
      </c>
      <c r="Y104" s="54">
        <f>U104</f>
        <v>30</v>
      </c>
      <c r="Z104" s="56">
        <f>B104</f>
        <v>10123</v>
      </c>
      <c r="AA104" s="49" t="s">
        <v>198</v>
      </c>
      <c r="AB104" s="56">
        <v>739030</v>
      </c>
      <c r="AC104" s="89">
        <v>0</v>
      </c>
    </row>
    <row r="105" spans="1:29" ht="12">
      <c r="A105" s="85" t="s">
        <v>116</v>
      </c>
      <c r="B105" s="107">
        <f>VLOOKUP(A105,'[3]Summer Data Sheet 17-18'!$C$366:$D$488,2,0)</f>
        <v>10123</v>
      </c>
      <c r="C105" s="86"/>
      <c r="D105" s="87" t="s">
        <v>316</v>
      </c>
      <c r="E105" s="91" t="s">
        <v>173</v>
      </c>
      <c r="F105" s="96" t="s">
        <v>63</v>
      </c>
      <c r="G105" s="95">
        <f>18.5/36</f>
        <v>0.5138888888888888</v>
      </c>
      <c r="H105" s="91" t="s">
        <v>30</v>
      </c>
      <c r="I105" s="174">
        <v>0</v>
      </c>
      <c r="J105" s="174">
        <v>0</v>
      </c>
      <c r="K105" s="174">
        <v>5</v>
      </c>
      <c r="L105" s="174">
        <v>0</v>
      </c>
      <c r="M105" s="174">
        <f>SUM(I105:L105)</f>
        <v>5</v>
      </c>
      <c r="N105" s="115">
        <v>43171</v>
      </c>
      <c r="O105" s="115">
        <v>43190</v>
      </c>
      <c r="P105" s="51">
        <v>93</v>
      </c>
      <c r="Q105" s="52">
        <v>47.79</v>
      </c>
      <c r="R105" s="53" t="s">
        <v>196</v>
      </c>
      <c r="S105" s="53">
        <v>5</v>
      </c>
      <c r="T105" s="135" t="s">
        <v>196</v>
      </c>
      <c r="U105" s="123">
        <v>5</v>
      </c>
      <c r="V105" s="104" t="s">
        <v>28</v>
      </c>
      <c r="W105" s="55">
        <v>238.95</v>
      </c>
      <c r="X105" s="54">
        <f>Q105*T105</f>
        <v>0</v>
      </c>
      <c r="Y105" s="54">
        <f>U105</f>
        <v>5</v>
      </c>
      <c r="Z105" s="56">
        <f>B105</f>
        <v>10123</v>
      </c>
      <c r="AA105" s="49" t="s">
        <v>198</v>
      </c>
      <c r="AB105" s="56">
        <v>739030</v>
      </c>
      <c r="AC105" s="89">
        <v>0</v>
      </c>
    </row>
    <row r="106" spans="1:30" ht="12.75">
      <c r="A106" s="85" t="s">
        <v>87</v>
      </c>
      <c r="B106" s="107">
        <f>VLOOKUP(A106,'[3]Summer Data Sheet 17-18'!$C$366:$D$488,2,0)</f>
        <v>10125</v>
      </c>
      <c r="C106" s="86"/>
      <c r="D106" s="87" t="s">
        <v>34</v>
      </c>
      <c r="E106" s="91" t="s">
        <v>173</v>
      </c>
      <c r="F106" s="91" t="s">
        <v>24</v>
      </c>
      <c r="G106" s="97">
        <f>5.5/27.5</f>
        <v>0.2</v>
      </c>
      <c r="H106" s="91" t="s">
        <v>30</v>
      </c>
      <c r="I106" s="174">
        <v>22</v>
      </c>
      <c r="J106" s="174">
        <v>7</v>
      </c>
      <c r="K106" s="174">
        <v>0</v>
      </c>
      <c r="L106" s="174">
        <v>0</v>
      </c>
      <c r="M106" s="174">
        <f>SUM(I106:L106)</f>
        <v>29</v>
      </c>
      <c r="N106" s="115">
        <v>43101</v>
      </c>
      <c r="O106" s="115">
        <v>43190</v>
      </c>
      <c r="P106" s="51">
        <v>175</v>
      </c>
      <c r="Q106" s="52">
        <v>35</v>
      </c>
      <c r="R106" s="53" t="s">
        <v>196</v>
      </c>
      <c r="S106" s="53" t="s">
        <v>196</v>
      </c>
      <c r="T106" s="135" t="s">
        <v>196</v>
      </c>
      <c r="U106" s="123">
        <v>29</v>
      </c>
      <c r="V106" s="104" t="s">
        <v>264</v>
      </c>
      <c r="W106" s="55">
        <v>1015</v>
      </c>
      <c r="X106" s="54">
        <f>Q106*T106</f>
        <v>0</v>
      </c>
      <c r="Y106" s="54">
        <f>U106</f>
        <v>29</v>
      </c>
      <c r="Z106" s="56">
        <f>B106</f>
        <v>10125</v>
      </c>
      <c r="AA106" s="49" t="s">
        <v>197</v>
      </c>
      <c r="AB106" s="56">
        <v>739020</v>
      </c>
      <c r="AC106" s="89">
        <v>0</v>
      </c>
      <c r="AD106" s="57"/>
    </row>
    <row r="107" spans="1:29" ht="12">
      <c r="A107" s="85" t="s">
        <v>88</v>
      </c>
      <c r="B107" s="107">
        <f>VLOOKUP(A107,'[3]Summer Data Sheet 17-18'!$C$366:$D$488,2,0)</f>
        <v>10126</v>
      </c>
      <c r="C107" s="86"/>
      <c r="D107" s="87" t="s">
        <v>29</v>
      </c>
      <c r="E107" s="91" t="s">
        <v>173</v>
      </c>
      <c r="F107" s="96" t="s">
        <v>63</v>
      </c>
      <c r="G107" s="95">
        <v>0.33</v>
      </c>
      <c r="H107" s="91" t="s">
        <v>25</v>
      </c>
      <c r="I107" s="174">
        <f>9+14+16</f>
        <v>39</v>
      </c>
      <c r="J107" s="174">
        <v>0</v>
      </c>
      <c r="K107" s="174">
        <v>0</v>
      </c>
      <c r="L107" s="174">
        <v>0</v>
      </c>
      <c r="M107" s="174">
        <f>SUM(I107:L107)</f>
        <v>39</v>
      </c>
      <c r="N107" s="115">
        <v>43059</v>
      </c>
      <c r="O107" s="115">
        <v>43123</v>
      </c>
      <c r="P107" s="51">
        <v>93</v>
      </c>
      <c r="Q107" s="52">
        <v>30.69</v>
      </c>
      <c r="R107" s="53">
        <v>35</v>
      </c>
      <c r="S107" s="135" t="s">
        <v>196</v>
      </c>
      <c r="T107" s="135">
        <v>4</v>
      </c>
      <c r="U107" s="123">
        <v>39</v>
      </c>
      <c r="V107" s="104" t="s">
        <v>31</v>
      </c>
      <c r="W107" s="55">
        <v>122.76</v>
      </c>
      <c r="X107" s="54">
        <f>Q107*T107</f>
        <v>122.76</v>
      </c>
      <c r="Y107" s="54">
        <f>U107</f>
        <v>39</v>
      </c>
      <c r="Z107" s="56">
        <f>B107</f>
        <v>10126</v>
      </c>
      <c r="AA107" s="49" t="s">
        <v>198</v>
      </c>
      <c r="AB107" s="56">
        <v>739030</v>
      </c>
      <c r="AC107" s="89">
        <v>0</v>
      </c>
    </row>
    <row r="108" spans="1:29" ht="12" customHeight="1">
      <c r="A108" s="85" t="s">
        <v>88</v>
      </c>
      <c r="B108" s="107">
        <f>VLOOKUP(A108,'[3]Summer Data Sheet 17-18'!$C$366:$D$488,2,0)</f>
        <v>10126</v>
      </c>
      <c r="C108" s="86"/>
      <c r="D108" s="87" t="s">
        <v>34</v>
      </c>
      <c r="E108" s="91" t="s">
        <v>173</v>
      </c>
      <c r="F108" s="96" t="s">
        <v>24</v>
      </c>
      <c r="G108" s="95">
        <v>1</v>
      </c>
      <c r="H108" s="91" t="s">
        <v>30</v>
      </c>
      <c r="I108" s="174">
        <v>22</v>
      </c>
      <c r="J108" s="174">
        <v>12</v>
      </c>
      <c r="K108" s="174">
        <v>0</v>
      </c>
      <c r="L108" s="174">
        <v>0</v>
      </c>
      <c r="M108" s="174">
        <f>SUM(I108:L108)</f>
        <v>34</v>
      </c>
      <c r="N108" s="115">
        <v>43101</v>
      </c>
      <c r="O108" s="115">
        <v>43190</v>
      </c>
      <c r="P108" s="51">
        <v>175</v>
      </c>
      <c r="Q108" s="52">
        <v>175</v>
      </c>
      <c r="R108" s="53" t="s">
        <v>196</v>
      </c>
      <c r="S108" s="135" t="s">
        <v>196</v>
      </c>
      <c r="T108" s="135" t="s">
        <v>196</v>
      </c>
      <c r="U108" s="123">
        <v>34</v>
      </c>
      <c r="V108" s="104" t="s">
        <v>264</v>
      </c>
      <c r="W108" s="55">
        <v>5950</v>
      </c>
      <c r="X108" s="54">
        <f>Q108*T108</f>
        <v>0</v>
      </c>
      <c r="Y108" s="54">
        <f>U108</f>
        <v>34</v>
      </c>
      <c r="Z108" s="56">
        <f>B108</f>
        <v>10126</v>
      </c>
      <c r="AA108" s="49" t="s">
        <v>197</v>
      </c>
      <c r="AB108" s="56">
        <v>739020</v>
      </c>
      <c r="AC108" s="89">
        <v>0</v>
      </c>
    </row>
    <row r="109" spans="1:29" ht="12" customHeight="1">
      <c r="A109" s="85" t="s">
        <v>88</v>
      </c>
      <c r="B109" s="107">
        <f>VLOOKUP(A109,'[3]Summer Data Sheet 17-18'!$C$366:$D$488,2,0)</f>
        <v>10126</v>
      </c>
      <c r="C109" s="86"/>
      <c r="D109" s="87" t="s">
        <v>34</v>
      </c>
      <c r="E109" s="91" t="s">
        <v>173</v>
      </c>
      <c r="F109" s="96" t="s">
        <v>24</v>
      </c>
      <c r="G109" s="95">
        <v>0.2</v>
      </c>
      <c r="H109" s="91" t="s">
        <v>30</v>
      </c>
      <c r="I109" s="174">
        <v>22</v>
      </c>
      <c r="J109" s="174">
        <v>12</v>
      </c>
      <c r="K109" s="174">
        <v>0</v>
      </c>
      <c r="L109" s="174">
        <v>0</v>
      </c>
      <c r="M109" s="174">
        <f>SUM(I109:L109)</f>
        <v>34</v>
      </c>
      <c r="N109" s="115">
        <v>43101</v>
      </c>
      <c r="O109" s="115">
        <v>43190</v>
      </c>
      <c r="P109" s="51">
        <v>175</v>
      </c>
      <c r="Q109" s="52">
        <v>35</v>
      </c>
      <c r="R109" s="53" t="s">
        <v>196</v>
      </c>
      <c r="S109" s="53" t="s">
        <v>196</v>
      </c>
      <c r="T109" s="135" t="s">
        <v>196</v>
      </c>
      <c r="U109" s="123">
        <v>34</v>
      </c>
      <c r="V109" s="104" t="s">
        <v>264</v>
      </c>
      <c r="W109" s="55">
        <v>1190</v>
      </c>
      <c r="X109" s="54">
        <f>Q109*T109</f>
        <v>0</v>
      </c>
      <c r="Y109" s="54">
        <f>U109</f>
        <v>34</v>
      </c>
      <c r="Z109" s="56">
        <f>B109</f>
        <v>10126</v>
      </c>
      <c r="AA109" s="49" t="s">
        <v>197</v>
      </c>
      <c r="AB109" s="56">
        <v>739020</v>
      </c>
      <c r="AC109" s="89">
        <v>0</v>
      </c>
    </row>
    <row r="110" spans="1:29" ht="12" customHeight="1">
      <c r="A110" s="85" t="s">
        <v>88</v>
      </c>
      <c r="B110" s="107">
        <f>VLOOKUP(A110,'[3]Summer Data Sheet 17-18'!$C$366:$D$488,2,0)</f>
        <v>10126</v>
      </c>
      <c r="C110" s="86"/>
      <c r="D110" s="87" t="s">
        <v>29</v>
      </c>
      <c r="E110" s="91" t="s">
        <v>173</v>
      </c>
      <c r="F110" s="96" t="s">
        <v>27</v>
      </c>
      <c r="G110" s="95">
        <v>1</v>
      </c>
      <c r="H110" s="91" t="s">
        <v>25</v>
      </c>
      <c r="I110" s="174">
        <f>20+17+22+14</f>
        <v>73</v>
      </c>
      <c r="J110" s="174">
        <v>0</v>
      </c>
      <c r="K110" s="174">
        <v>0</v>
      </c>
      <c r="L110" s="174">
        <v>0</v>
      </c>
      <c r="M110" s="174">
        <f>SUM(I110:L110)</f>
        <v>73</v>
      </c>
      <c r="N110" s="115">
        <v>42979</v>
      </c>
      <c r="O110" s="115">
        <v>43100</v>
      </c>
      <c r="P110" s="51">
        <v>175</v>
      </c>
      <c r="Q110" s="51">
        <v>175</v>
      </c>
      <c r="R110" s="53">
        <v>35</v>
      </c>
      <c r="S110" s="53" t="s">
        <v>196</v>
      </c>
      <c r="T110" s="135">
        <v>38</v>
      </c>
      <c r="U110" s="123">
        <v>73</v>
      </c>
      <c r="V110" s="104" t="s">
        <v>31</v>
      </c>
      <c r="W110" s="55">
        <v>6650</v>
      </c>
      <c r="X110" s="54">
        <f>Q110*T110</f>
        <v>6650</v>
      </c>
      <c r="Y110" s="54">
        <f>U110</f>
        <v>73</v>
      </c>
      <c r="Z110" s="56">
        <f>B110</f>
        <v>10126</v>
      </c>
      <c r="AA110" s="49" t="s">
        <v>197</v>
      </c>
      <c r="AB110" s="56">
        <v>739020</v>
      </c>
      <c r="AC110" s="89">
        <v>0</v>
      </c>
    </row>
    <row r="111" spans="1:29" ht="12" customHeight="1">
      <c r="A111" s="85" t="s">
        <v>88</v>
      </c>
      <c r="B111" s="107">
        <f>VLOOKUP(A111,'[3]Summer Data Sheet 17-18'!$C$366:$D$488,2,0)</f>
        <v>10126</v>
      </c>
      <c r="C111" s="87"/>
      <c r="D111" s="86" t="s">
        <v>306</v>
      </c>
      <c r="E111" s="91" t="s">
        <v>173</v>
      </c>
      <c r="F111" s="96" t="s">
        <v>24</v>
      </c>
      <c r="G111" s="95">
        <v>1</v>
      </c>
      <c r="H111" s="91" t="s">
        <v>25</v>
      </c>
      <c r="I111" s="174">
        <v>0</v>
      </c>
      <c r="J111" s="174">
        <v>0</v>
      </c>
      <c r="K111" s="174">
        <v>12</v>
      </c>
      <c r="L111" s="174">
        <v>0</v>
      </c>
      <c r="M111" s="174">
        <f>SUM(I111:L111)</f>
        <v>12</v>
      </c>
      <c r="N111" s="115">
        <v>43173</v>
      </c>
      <c r="O111" s="115">
        <v>43190</v>
      </c>
      <c r="P111" s="51">
        <v>175</v>
      </c>
      <c r="Q111" s="52">
        <v>175</v>
      </c>
      <c r="R111" s="135">
        <v>0</v>
      </c>
      <c r="S111" s="135" t="s">
        <v>196</v>
      </c>
      <c r="T111" s="53" t="s">
        <v>196</v>
      </c>
      <c r="U111" s="123">
        <v>12</v>
      </c>
      <c r="V111" s="104" t="s">
        <v>264</v>
      </c>
      <c r="W111" s="55">
        <v>2100</v>
      </c>
      <c r="X111" s="54">
        <f>Q111*T111</f>
        <v>0</v>
      </c>
      <c r="Y111" s="54">
        <f>U111</f>
        <v>12</v>
      </c>
      <c r="Z111" s="56">
        <f>B111</f>
        <v>10126</v>
      </c>
      <c r="AA111" s="49" t="s">
        <v>197</v>
      </c>
      <c r="AB111" s="56">
        <v>739020</v>
      </c>
      <c r="AC111" s="89">
        <v>0</v>
      </c>
    </row>
    <row r="112" spans="1:29" ht="12" customHeight="1">
      <c r="A112" s="85" t="s">
        <v>99</v>
      </c>
      <c r="B112" s="107">
        <f>VLOOKUP(A112,'[3]Summer Data Sheet 17-18'!$C$366:$D$488,2,0)</f>
        <v>10129</v>
      </c>
      <c r="C112" s="87"/>
      <c r="D112" s="87" t="s">
        <v>29</v>
      </c>
      <c r="E112" s="91" t="s">
        <v>173</v>
      </c>
      <c r="F112" s="96" t="s">
        <v>63</v>
      </c>
      <c r="G112" s="95">
        <f>(30.167*40)/1728</f>
        <v>0.6983101851851852</v>
      </c>
      <c r="H112" s="91" t="s">
        <v>25</v>
      </c>
      <c r="I112" s="174">
        <f>4+14+22</f>
        <v>40</v>
      </c>
      <c r="J112" s="174">
        <v>15</v>
      </c>
      <c r="K112" s="174">
        <v>21</v>
      </c>
      <c r="L112" s="174">
        <v>0</v>
      </c>
      <c r="M112" s="174">
        <f>SUM(I112:L112)</f>
        <v>76</v>
      </c>
      <c r="N112" s="115">
        <v>43431</v>
      </c>
      <c r="O112" s="115">
        <v>43190</v>
      </c>
      <c r="P112" s="51">
        <v>93</v>
      </c>
      <c r="Q112" s="51">
        <v>64.94</v>
      </c>
      <c r="R112" s="53">
        <v>35</v>
      </c>
      <c r="S112" s="135" t="s">
        <v>196</v>
      </c>
      <c r="T112" s="135">
        <v>41</v>
      </c>
      <c r="U112" s="123">
        <v>76</v>
      </c>
      <c r="V112" s="104" t="s">
        <v>31</v>
      </c>
      <c r="W112" s="55">
        <v>2662.54</v>
      </c>
      <c r="X112" s="54">
        <f>Q112*T112</f>
        <v>2662.54</v>
      </c>
      <c r="Y112" s="54">
        <f>U112</f>
        <v>76</v>
      </c>
      <c r="Z112" s="56">
        <f>B112</f>
        <v>10129</v>
      </c>
      <c r="AA112" s="49" t="s">
        <v>198</v>
      </c>
      <c r="AB112" s="56">
        <v>739030</v>
      </c>
      <c r="AC112" s="89">
        <v>0</v>
      </c>
    </row>
    <row r="113" spans="1:29" ht="12" customHeight="1">
      <c r="A113" s="85" t="s">
        <v>99</v>
      </c>
      <c r="B113" s="107">
        <f>VLOOKUP(A113,'[3]Summer Data Sheet 17-18'!$C$366:$D$488,2,0)</f>
        <v>10129</v>
      </c>
      <c r="C113" s="86"/>
      <c r="D113" s="87" t="s">
        <v>29</v>
      </c>
      <c r="E113" s="91" t="s">
        <v>173</v>
      </c>
      <c r="F113" s="96" t="s">
        <v>46</v>
      </c>
      <c r="G113" s="95">
        <v>1</v>
      </c>
      <c r="H113" s="91" t="s">
        <v>25</v>
      </c>
      <c r="I113" s="174">
        <v>15</v>
      </c>
      <c r="J113" s="174">
        <v>15</v>
      </c>
      <c r="K113" s="174">
        <v>21</v>
      </c>
      <c r="L113" s="174">
        <v>0</v>
      </c>
      <c r="M113" s="174">
        <f>SUM(I113:L113)</f>
        <v>51</v>
      </c>
      <c r="N113" s="115">
        <v>43111</v>
      </c>
      <c r="O113" s="115">
        <v>43190</v>
      </c>
      <c r="P113" s="51">
        <v>116</v>
      </c>
      <c r="Q113" s="52">
        <v>116</v>
      </c>
      <c r="R113" s="135">
        <v>35</v>
      </c>
      <c r="S113" s="53" t="s">
        <v>196</v>
      </c>
      <c r="T113" s="135">
        <v>16</v>
      </c>
      <c r="U113" s="123">
        <v>51</v>
      </c>
      <c r="V113" s="104" t="s">
        <v>31</v>
      </c>
      <c r="W113" s="55">
        <v>1856</v>
      </c>
      <c r="X113" s="54">
        <f>Q113*T113</f>
        <v>1856</v>
      </c>
      <c r="Y113" s="54">
        <f>U113</f>
        <v>51</v>
      </c>
      <c r="Z113" s="56">
        <f>B113</f>
        <v>10129</v>
      </c>
      <c r="AA113" s="49" t="s">
        <v>198</v>
      </c>
      <c r="AB113" s="56">
        <v>739030</v>
      </c>
      <c r="AC113" s="89">
        <v>0</v>
      </c>
    </row>
    <row r="114" spans="1:29" ht="12" customHeight="1">
      <c r="A114" s="85" t="s">
        <v>99</v>
      </c>
      <c r="B114" s="107">
        <f>VLOOKUP(A114,'[3]Summer Data Sheet 17-18'!$C$366:$D$488,2,0)</f>
        <v>10129</v>
      </c>
      <c r="C114" s="87"/>
      <c r="D114" s="86" t="s">
        <v>311</v>
      </c>
      <c r="E114" s="91" t="s">
        <v>173</v>
      </c>
      <c r="F114" s="96" t="s">
        <v>24</v>
      </c>
      <c r="G114" s="95">
        <v>1</v>
      </c>
      <c r="H114" s="91" t="s">
        <v>25</v>
      </c>
      <c r="I114" s="174">
        <v>9</v>
      </c>
      <c r="J114" s="174">
        <v>0</v>
      </c>
      <c r="K114" s="174">
        <v>0</v>
      </c>
      <c r="L114" s="174">
        <v>0</v>
      </c>
      <c r="M114" s="174">
        <f>SUM(I114:L114)</f>
        <v>9</v>
      </c>
      <c r="N114" s="115">
        <v>43178</v>
      </c>
      <c r="O114" s="115">
        <v>43190</v>
      </c>
      <c r="P114" s="51">
        <v>175</v>
      </c>
      <c r="Q114" s="52">
        <v>175</v>
      </c>
      <c r="R114" s="135">
        <v>0</v>
      </c>
      <c r="S114" s="135" t="s">
        <v>196</v>
      </c>
      <c r="T114" s="53" t="s">
        <v>196</v>
      </c>
      <c r="U114" s="123">
        <v>9</v>
      </c>
      <c r="V114" s="104" t="s">
        <v>264</v>
      </c>
      <c r="W114" s="55">
        <v>1575</v>
      </c>
      <c r="X114" s="54">
        <f>Q114*T114</f>
        <v>0</v>
      </c>
      <c r="Y114" s="54">
        <f>U114</f>
        <v>9</v>
      </c>
      <c r="Z114" s="56">
        <f>B114</f>
        <v>10129</v>
      </c>
      <c r="AA114" s="49" t="s">
        <v>197</v>
      </c>
      <c r="AB114" s="56">
        <v>739020</v>
      </c>
      <c r="AC114" s="89">
        <v>0</v>
      </c>
    </row>
    <row r="115" spans="1:29" ht="12" customHeight="1">
      <c r="A115" s="85" t="s">
        <v>184</v>
      </c>
      <c r="B115" s="107">
        <f>VLOOKUP(A115,'[3]Summer Data Sheet 17-18'!$C$366:$D$488,2,0)</f>
        <v>10133</v>
      </c>
      <c r="C115" s="86"/>
      <c r="D115" s="87" t="s">
        <v>26</v>
      </c>
      <c r="E115" s="91" t="s">
        <v>173</v>
      </c>
      <c r="F115" s="96" t="s">
        <v>98</v>
      </c>
      <c r="G115" s="95">
        <f>16/5</f>
        <v>3.2</v>
      </c>
      <c r="H115" s="91" t="s">
        <v>25</v>
      </c>
      <c r="I115" s="174">
        <v>13</v>
      </c>
      <c r="J115" s="174">
        <v>15</v>
      </c>
      <c r="K115" s="174">
        <v>7</v>
      </c>
      <c r="L115" s="174">
        <v>0</v>
      </c>
      <c r="M115" s="174">
        <f>SUM(I115:L115)</f>
        <v>35</v>
      </c>
      <c r="N115" s="115">
        <v>43115</v>
      </c>
      <c r="O115" s="115">
        <v>43174</v>
      </c>
      <c r="P115" s="51">
        <v>9.45</v>
      </c>
      <c r="Q115" s="52">
        <v>30.24</v>
      </c>
      <c r="R115" s="53">
        <v>15</v>
      </c>
      <c r="S115" s="135">
        <v>20</v>
      </c>
      <c r="T115" s="135" t="s">
        <v>196</v>
      </c>
      <c r="U115" s="123">
        <v>35</v>
      </c>
      <c r="V115" s="104" t="s">
        <v>28</v>
      </c>
      <c r="W115" s="55">
        <v>604.8</v>
      </c>
      <c r="X115" s="54">
        <f>Q115*T115</f>
        <v>0</v>
      </c>
      <c r="Y115" s="54">
        <f>U115</f>
        <v>35</v>
      </c>
      <c r="Z115" s="56">
        <f>B115</f>
        <v>10133</v>
      </c>
      <c r="AA115" s="49" t="s">
        <v>198</v>
      </c>
      <c r="AB115" s="56">
        <v>739030</v>
      </c>
      <c r="AC115" s="89">
        <v>0</v>
      </c>
    </row>
    <row r="116" spans="1:29" ht="12" customHeight="1">
      <c r="A116" s="85" t="s">
        <v>184</v>
      </c>
      <c r="B116" s="107">
        <f>VLOOKUP(A116,'[3]Summer Data Sheet 17-18'!$C$366:$D$488,2,0)</f>
        <v>10133</v>
      </c>
      <c r="C116" s="86"/>
      <c r="D116" s="87" t="s">
        <v>29</v>
      </c>
      <c r="E116" s="91" t="s">
        <v>173</v>
      </c>
      <c r="F116" s="96" t="s">
        <v>98</v>
      </c>
      <c r="G116" s="95">
        <f>16/5</f>
        <v>3.2</v>
      </c>
      <c r="H116" s="91" t="s">
        <v>30</v>
      </c>
      <c r="I116" s="174">
        <v>0</v>
      </c>
      <c r="J116" s="174">
        <v>0</v>
      </c>
      <c r="K116" s="174">
        <v>4</v>
      </c>
      <c r="L116" s="174">
        <v>0</v>
      </c>
      <c r="M116" s="174">
        <f>SUM(I116:L116)</f>
        <v>4</v>
      </c>
      <c r="N116" s="115">
        <v>43115</v>
      </c>
      <c r="O116" s="115">
        <v>43174</v>
      </c>
      <c r="P116" s="51">
        <v>9.45</v>
      </c>
      <c r="Q116" s="51">
        <v>30.24</v>
      </c>
      <c r="R116" s="53" t="s">
        <v>196</v>
      </c>
      <c r="S116" s="53" t="s">
        <v>196</v>
      </c>
      <c r="T116" s="135">
        <v>4</v>
      </c>
      <c r="U116" s="123">
        <v>4</v>
      </c>
      <c r="V116" s="104" t="s">
        <v>31</v>
      </c>
      <c r="W116" s="55">
        <v>120.96</v>
      </c>
      <c r="X116" s="54">
        <f>Q116*T116</f>
        <v>120.96</v>
      </c>
      <c r="Y116" s="54">
        <f>U116</f>
        <v>4</v>
      </c>
      <c r="Z116" s="56">
        <f>B116</f>
        <v>10133</v>
      </c>
      <c r="AA116" s="49" t="s">
        <v>198</v>
      </c>
      <c r="AB116" s="56">
        <v>739030</v>
      </c>
      <c r="AC116" s="89">
        <v>0</v>
      </c>
    </row>
    <row r="117" spans="1:29" ht="12" customHeight="1">
      <c r="A117" s="85" t="s">
        <v>184</v>
      </c>
      <c r="B117" s="107">
        <f>VLOOKUP(A117,'[3]Summer Data Sheet 17-18'!$C$366:$D$488,2,0)</f>
        <v>10133</v>
      </c>
      <c r="C117" s="87"/>
      <c r="D117" s="87" t="s">
        <v>41</v>
      </c>
      <c r="E117" s="91" t="s">
        <v>173</v>
      </c>
      <c r="F117" s="96" t="s">
        <v>141</v>
      </c>
      <c r="G117" s="95">
        <f>20/5</f>
        <v>4</v>
      </c>
      <c r="H117" s="91" t="s">
        <v>25</v>
      </c>
      <c r="I117" s="174">
        <f>5+22</f>
        <v>27</v>
      </c>
      <c r="J117" s="174">
        <v>15</v>
      </c>
      <c r="K117" s="174">
        <v>5</v>
      </c>
      <c r="L117" s="174">
        <v>0</v>
      </c>
      <c r="M117" s="174">
        <f>SUM(I117:L117)</f>
        <v>47</v>
      </c>
      <c r="N117" s="115">
        <v>43083</v>
      </c>
      <c r="O117" s="115">
        <v>43190</v>
      </c>
      <c r="P117" s="51">
        <v>9.45</v>
      </c>
      <c r="Q117" s="52">
        <v>37.8</v>
      </c>
      <c r="R117" s="135">
        <v>0</v>
      </c>
      <c r="S117" s="135" t="s">
        <v>196</v>
      </c>
      <c r="T117" s="53" t="s">
        <v>196</v>
      </c>
      <c r="U117" s="123">
        <v>47</v>
      </c>
      <c r="V117" s="104" t="s">
        <v>264</v>
      </c>
      <c r="W117" s="55">
        <v>1776.6</v>
      </c>
      <c r="X117" s="54">
        <f>Q117*T117</f>
        <v>0</v>
      </c>
      <c r="Y117" s="54">
        <f>U117</f>
        <v>47</v>
      </c>
      <c r="Z117" s="56">
        <f>B117</f>
        <v>10133</v>
      </c>
      <c r="AA117" s="49" t="s">
        <v>198</v>
      </c>
      <c r="AB117" s="56">
        <v>739030</v>
      </c>
      <c r="AC117" s="89">
        <v>0</v>
      </c>
    </row>
    <row r="118" spans="1:29" ht="12" customHeight="1">
      <c r="A118" s="85" t="s">
        <v>184</v>
      </c>
      <c r="B118" s="108">
        <f>VLOOKUP(A118,'[3]Summer Data Sheet 17-18'!$C$366:$D$488,2,0)</f>
        <v>10133</v>
      </c>
      <c r="C118" s="86"/>
      <c r="D118" s="87" t="s">
        <v>26</v>
      </c>
      <c r="E118" s="96" t="s">
        <v>173</v>
      </c>
      <c r="F118" s="96" t="s">
        <v>27</v>
      </c>
      <c r="G118" s="95">
        <v>1</v>
      </c>
      <c r="H118" s="96" t="s">
        <v>25</v>
      </c>
      <c r="I118" s="174">
        <f>20+2</f>
        <v>22</v>
      </c>
      <c r="J118" s="174">
        <v>0</v>
      </c>
      <c r="K118" s="174">
        <v>0</v>
      </c>
      <c r="L118" s="174">
        <v>0</v>
      </c>
      <c r="M118" s="174">
        <f>SUM(I118:L118)</f>
        <v>22</v>
      </c>
      <c r="N118" s="115">
        <v>43347</v>
      </c>
      <c r="O118" s="115">
        <v>43376</v>
      </c>
      <c r="P118" s="51">
        <v>175</v>
      </c>
      <c r="Q118" s="52">
        <v>175</v>
      </c>
      <c r="R118" s="53">
        <v>15</v>
      </c>
      <c r="S118" s="53">
        <v>7</v>
      </c>
      <c r="T118" s="135" t="s">
        <v>196</v>
      </c>
      <c r="U118" s="123">
        <v>22</v>
      </c>
      <c r="V118" s="104" t="s">
        <v>28</v>
      </c>
      <c r="W118" s="55">
        <v>1225</v>
      </c>
      <c r="X118" s="54">
        <f>Q118*T118</f>
        <v>0</v>
      </c>
      <c r="Y118" s="54">
        <f>U118</f>
        <v>22</v>
      </c>
      <c r="Z118" s="56">
        <f>B118</f>
        <v>10133</v>
      </c>
      <c r="AA118" s="49" t="s">
        <v>197</v>
      </c>
      <c r="AB118" s="56">
        <v>739020</v>
      </c>
      <c r="AC118" s="89">
        <v>0</v>
      </c>
    </row>
    <row r="119" spans="1:29" ht="12" customHeight="1">
      <c r="A119" s="85" t="s">
        <v>94</v>
      </c>
      <c r="B119" s="107">
        <f>VLOOKUP(A119,'[3]Summer Data Sheet 17-18'!$C$366:$D$488,2,0)</f>
        <v>10158</v>
      </c>
      <c r="C119" s="87"/>
      <c r="D119" s="87" t="s">
        <v>26</v>
      </c>
      <c r="E119" s="91" t="s">
        <v>173</v>
      </c>
      <c r="F119" s="96" t="s">
        <v>63</v>
      </c>
      <c r="G119" s="95">
        <f>(30*40)/1728</f>
        <v>0.6944444444444444</v>
      </c>
      <c r="H119" s="91" t="s">
        <v>25</v>
      </c>
      <c r="I119" s="174">
        <v>8</v>
      </c>
      <c r="J119" s="174">
        <v>7</v>
      </c>
      <c r="K119" s="174">
        <v>0</v>
      </c>
      <c r="L119" s="174">
        <v>0</v>
      </c>
      <c r="M119" s="174">
        <f>SUM(I119:L119)</f>
        <v>15</v>
      </c>
      <c r="N119" s="115">
        <v>43122</v>
      </c>
      <c r="O119" s="115">
        <v>43140</v>
      </c>
      <c r="P119" s="51">
        <v>93</v>
      </c>
      <c r="Q119" s="52">
        <v>64.58</v>
      </c>
      <c r="R119" s="53">
        <v>15</v>
      </c>
      <c r="S119" s="53">
        <v>0</v>
      </c>
      <c r="T119" s="135" t="s">
        <v>196</v>
      </c>
      <c r="U119" s="123">
        <v>15</v>
      </c>
      <c r="V119" s="104" t="s">
        <v>28</v>
      </c>
      <c r="W119" s="55">
        <v>0</v>
      </c>
      <c r="X119" s="54">
        <f>Q119*T119</f>
        <v>0</v>
      </c>
      <c r="Y119" s="54">
        <f>U119</f>
        <v>15</v>
      </c>
      <c r="Z119" s="56">
        <f>B119</f>
        <v>10158</v>
      </c>
      <c r="AA119" s="49" t="s">
        <v>198</v>
      </c>
      <c r="AB119" s="56">
        <v>739030</v>
      </c>
      <c r="AC119" s="89">
        <v>0</v>
      </c>
    </row>
    <row r="120" spans="1:29" ht="12" customHeight="1">
      <c r="A120" s="85" t="s">
        <v>94</v>
      </c>
      <c r="B120" s="107">
        <f>VLOOKUP(A120,'[3]Summer Data Sheet 17-18'!$C$366:$D$488,2,0)</f>
        <v>10158</v>
      </c>
      <c r="C120" s="86"/>
      <c r="D120" s="87" t="s">
        <v>26</v>
      </c>
      <c r="E120" s="91" t="s">
        <v>173</v>
      </c>
      <c r="F120" s="96" t="s">
        <v>63</v>
      </c>
      <c r="G120" s="95">
        <f>(35*40)/1728</f>
        <v>0.8101851851851852</v>
      </c>
      <c r="H120" s="91" t="s">
        <v>25</v>
      </c>
      <c r="I120" s="174">
        <v>10</v>
      </c>
      <c r="J120" s="174">
        <v>7</v>
      </c>
      <c r="K120" s="174">
        <v>0</v>
      </c>
      <c r="L120" s="174">
        <v>0</v>
      </c>
      <c r="M120" s="174">
        <f>SUM(I120:L120)</f>
        <v>17</v>
      </c>
      <c r="N120" s="115">
        <v>43118</v>
      </c>
      <c r="O120" s="115">
        <v>43140</v>
      </c>
      <c r="P120" s="51">
        <v>93</v>
      </c>
      <c r="Q120" s="52">
        <v>75.35</v>
      </c>
      <c r="R120" s="53">
        <v>15</v>
      </c>
      <c r="S120" s="53">
        <v>2</v>
      </c>
      <c r="T120" s="135" t="s">
        <v>196</v>
      </c>
      <c r="U120" s="123">
        <v>17</v>
      </c>
      <c r="V120" s="104" t="s">
        <v>28</v>
      </c>
      <c r="W120" s="55">
        <v>150.7</v>
      </c>
      <c r="X120" s="54">
        <f>Q120*T120</f>
        <v>0</v>
      </c>
      <c r="Y120" s="54">
        <f>U120</f>
        <v>17</v>
      </c>
      <c r="Z120" s="56">
        <f>B120</f>
        <v>10158</v>
      </c>
      <c r="AA120" s="49" t="s">
        <v>198</v>
      </c>
      <c r="AB120" s="56">
        <v>739030</v>
      </c>
      <c r="AC120" s="89">
        <v>0</v>
      </c>
    </row>
    <row r="121" spans="1:29" ht="12" customHeight="1">
      <c r="A121" s="85" t="s">
        <v>94</v>
      </c>
      <c r="B121" s="107">
        <f>VLOOKUP(A121,'[3]Summer Data Sheet 17-18'!$C$366:$D$488,2,0)</f>
        <v>10158</v>
      </c>
      <c r="C121" s="86"/>
      <c r="D121" s="87" t="s">
        <v>26</v>
      </c>
      <c r="E121" s="91" t="s">
        <v>173</v>
      </c>
      <c r="F121" s="96" t="s">
        <v>27</v>
      </c>
      <c r="G121" s="97">
        <v>1</v>
      </c>
      <c r="H121" s="91" t="s">
        <v>25</v>
      </c>
      <c r="I121" s="174">
        <v>8</v>
      </c>
      <c r="J121" s="174">
        <v>15</v>
      </c>
      <c r="K121" s="174">
        <v>12</v>
      </c>
      <c r="L121" s="174">
        <v>0</v>
      </c>
      <c r="M121" s="174">
        <f>SUM(I121:L121)</f>
        <v>35</v>
      </c>
      <c r="N121" s="115">
        <v>43122</v>
      </c>
      <c r="O121" s="115">
        <v>43190</v>
      </c>
      <c r="P121" s="51">
        <v>175</v>
      </c>
      <c r="Q121" s="52">
        <v>175</v>
      </c>
      <c r="R121" s="53">
        <v>15</v>
      </c>
      <c r="S121" s="53">
        <v>20</v>
      </c>
      <c r="T121" s="135" t="s">
        <v>196</v>
      </c>
      <c r="U121" s="123">
        <v>35</v>
      </c>
      <c r="V121" s="104" t="s">
        <v>28</v>
      </c>
      <c r="W121" s="55">
        <v>3500</v>
      </c>
      <c r="X121" s="54">
        <f>Q121*T121</f>
        <v>0</v>
      </c>
      <c r="Y121" s="54">
        <f>U121</f>
        <v>35</v>
      </c>
      <c r="Z121" s="56">
        <f>B121</f>
        <v>10158</v>
      </c>
      <c r="AA121" s="49" t="s">
        <v>197</v>
      </c>
      <c r="AB121" s="56">
        <v>739020</v>
      </c>
      <c r="AC121" s="89">
        <v>0</v>
      </c>
    </row>
    <row r="122" spans="1:29" ht="12" customHeight="1">
      <c r="A122" s="85" t="s">
        <v>94</v>
      </c>
      <c r="B122" s="107">
        <f>VLOOKUP(A122,'[3]Summer Data Sheet 17-18'!$C$366:$D$488,2,0)</f>
        <v>10158</v>
      </c>
      <c r="C122" s="87"/>
      <c r="D122" s="87" t="s">
        <v>29</v>
      </c>
      <c r="E122" s="91" t="s">
        <v>173</v>
      </c>
      <c r="F122" s="96" t="s">
        <v>27</v>
      </c>
      <c r="G122" s="97">
        <v>1</v>
      </c>
      <c r="H122" s="91" t="s">
        <v>30</v>
      </c>
      <c r="I122" s="174">
        <v>0</v>
      </c>
      <c r="J122" s="174">
        <v>0</v>
      </c>
      <c r="K122" s="174">
        <v>9</v>
      </c>
      <c r="L122" s="174">
        <v>0</v>
      </c>
      <c r="M122" s="174">
        <f>SUM(I122:L122)</f>
        <v>9</v>
      </c>
      <c r="N122" s="115">
        <v>43122</v>
      </c>
      <c r="O122" s="115">
        <v>43190</v>
      </c>
      <c r="P122" s="51">
        <v>175</v>
      </c>
      <c r="Q122" s="52">
        <v>175</v>
      </c>
      <c r="R122" s="135" t="s">
        <v>196</v>
      </c>
      <c r="S122" s="135" t="s">
        <v>196</v>
      </c>
      <c r="T122" s="53">
        <v>9</v>
      </c>
      <c r="U122" s="123">
        <v>9</v>
      </c>
      <c r="V122" s="104" t="s">
        <v>31</v>
      </c>
      <c r="W122" s="55">
        <v>1575</v>
      </c>
      <c r="X122" s="54">
        <f>Q122*T122</f>
        <v>1575</v>
      </c>
      <c r="Y122" s="54">
        <f>U122</f>
        <v>9</v>
      </c>
      <c r="Z122" s="56">
        <f>B122</f>
        <v>10158</v>
      </c>
      <c r="AA122" s="49" t="s">
        <v>197</v>
      </c>
      <c r="AB122" s="56">
        <v>739020</v>
      </c>
      <c r="AC122" s="89">
        <v>0</v>
      </c>
    </row>
    <row r="123" spans="1:29" ht="12" customHeight="1">
      <c r="A123" s="85" t="s">
        <v>94</v>
      </c>
      <c r="B123" s="107">
        <f>VLOOKUP(A123,'[3]Summer Data Sheet 17-18'!$C$366:$D$488,2,0)</f>
        <v>10158</v>
      </c>
      <c r="C123" s="86"/>
      <c r="D123" s="87" t="s">
        <v>34</v>
      </c>
      <c r="E123" s="91" t="s">
        <v>173</v>
      </c>
      <c r="F123" s="96" t="s">
        <v>65</v>
      </c>
      <c r="G123" s="95">
        <f>(35*40)/1728</f>
        <v>0.8101851851851852</v>
      </c>
      <c r="H123" s="91" t="s">
        <v>30</v>
      </c>
      <c r="I123" s="174">
        <v>22</v>
      </c>
      <c r="J123" s="174">
        <v>5</v>
      </c>
      <c r="K123" s="174">
        <v>0</v>
      </c>
      <c r="L123" s="174">
        <v>0</v>
      </c>
      <c r="M123" s="174">
        <f>SUM(I123:L123)</f>
        <v>27</v>
      </c>
      <c r="N123" s="115">
        <v>43101</v>
      </c>
      <c r="O123" s="115">
        <v>43190</v>
      </c>
      <c r="P123" s="51">
        <v>93</v>
      </c>
      <c r="Q123" s="52">
        <v>75.35</v>
      </c>
      <c r="R123" s="135" t="s">
        <v>196</v>
      </c>
      <c r="S123" s="53" t="s">
        <v>196</v>
      </c>
      <c r="T123" s="53" t="s">
        <v>196</v>
      </c>
      <c r="U123" s="123">
        <v>27</v>
      </c>
      <c r="V123" s="104" t="s">
        <v>264</v>
      </c>
      <c r="W123" s="55">
        <v>2034.45</v>
      </c>
      <c r="X123" s="54">
        <f>Q123*T123</f>
        <v>0</v>
      </c>
      <c r="Y123" s="54">
        <f>U123</f>
        <v>27</v>
      </c>
      <c r="Z123" s="56">
        <f>B123</f>
        <v>10158</v>
      </c>
      <c r="AA123" s="49" t="s">
        <v>198</v>
      </c>
      <c r="AB123" s="56">
        <v>739030</v>
      </c>
      <c r="AC123" s="89">
        <v>0</v>
      </c>
    </row>
    <row r="124" spans="1:29" ht="12" customHeight="1">
      <c r="A124" s="85" t="s">
        <v>94</v>
      </c>
      <c r="B124" s="107">
        <f>VLOOKUP(A124,'[3]Summer Data Sheet 17-18'!$C$366:$D$488,2,0)</f>
        <v>10158</v>
      </c>
      <c r="C124" s="86"/>
      <c r="D124" s="87" t="s">
        <v>26</v>
      </c>
      <c r="E124" s="91" t="s">
        <v>173</v>
      </c>
      <c r="F124" s="96" t="s">
        <v>63</v>
      </c>
      <c r="G124" s="95">
        <v>0.75</v>
      </c>
      <c r="H124" s="91" t="s">
        <v>25</v>
      </c>
      <c r="I124" s="174">
        <v>0</v>
      </c>
      <c r="J124" s="174">
        <v>8</v>
      </c>
      <c r="K124" s="174">
        <v>21</v>
      </c>
      <c r="L124" s="174">
        <v>0</v>
      </c>
      <c r="M124" s="174">
        <f>SUM(I124:L124)</f>
        <v>29</v>
      </c>
      <c r="N124" s="115">
        <v>43150</v>
      </c>
      <c r="O124" s="115">
        <v>43190</v>
      </c>
      <c r="P124" s="51">
        <v>93</v>
      </c>
      <c r="Q124" s="51">
        <v>69.75</v>
      </c>
      <c r="R124" s="135">
        <v>15</v>
      </c>
      <c r="S124" s="53">
        <v>14</v>
      </c>
      <c r="T124" s="53" t="s">
        <v>196</v>
      </c>
      <c r="U124" s="123">
        <v>29</v>
      </c>
      <c r="V124" s="104" t="s">
        <v>28</v>
      </c>
      <c r="W124" s="55">
        <v>976.5</v>
      </c>
      <c r="X124" s="54">
        <f>Q124*T124</f>
        <v>0</v>
      </c>
      <c r="Y124" s="54">
        <f>U124</f>
        <v>29</v>
      </c>
      <c r="Z124" s="56">
        <f>B124</f>
        <v>10158</v>
      </c>
      <c r="AA124" s="49" t="s">
        <v>198</v>
      </c>
      <c r="AB124" s="56">
        <v>739030</v>
      </c>
      <c r="AC124" s="89">
        <v>0</v>
      </c>
    </row>
    <row r="125" spans="1:30" ht="12" customHeight="1">
      <c r="A125" s="85" t="s">
        <v>94</v>
      </c>
      <c r="B125" s="107">
        <f>VLOOKUP(A125,'[3]Summer Data Sheet 17-18'!$C$366:$D$488,2,0)</f>
        <v>10158</v>
      </c>
      <c r="C125" s="86"/>
      <c r="D125" s="87" t="s">
        <v>26</v>
      </c>
      <c r="E125" s="91" t="s">
        <v>173</v>
      </c>
      <c r="F125" s="96" t="s">
        <v>63</v>
      </c>
      <c r="G125" s="95">
        <v>0.87</v>
      </c>
      <c r="H125" s="91" t="s">
        <v>25</v>
      </c>
      <c r="I125" s="174">
        <v>0</v>
      </c>
      <c r="J125" s="174">
        <v>8</v>
      </c>
      <c r="K125" s="174">
        <v>21</v>
      </c>
      <c r="L125" s="174">
        <v>0</v>
      </c>
      <c r="M125" s="174">
        <f>SUM(I125:L125)</f>
        <v>29</v>
      </c>
      <c r="N125" s="115">
        <v>43150</v>
      </c>
      <c r="O125" s="115">
        <v>43190</v>
      </c>
      <c r="P125" s="51">
        <v>93</v>
      </c>
      <c r="Q125" s="52">
        <v>80.91</v>
      </c>
      <c r="R125" s="135">
        <v>15</v>
      </c>
      <c r="S125" s="53">
        <v>14</v>
      </c>
      <c r="T125" s="53" t="s">
        <v>196</v>
      </c>
      <c r="U125" s="123">
        <v>29</v>
      </c>
      <c r="V125" s="104" t="s">
        <v>28</v>
      </c>
      <c r="W125" s="55">
        <v>1132.74</v>
      </c>
      <c r="X125" s="54">
        <f>Q125*T125</f>
        <v>0</v>
      </c>
      <c r="Y125" s="54">
        <f>U125</f>
        <v>29</v>
      </c>
      <c r="Z125" s="56">
        <f>B125</f>
        <v>10158</v>
      </c>
      <c r="AA125" s="49" t="s">
        <v>198</v>
      </c>
      <c r="AB125" s="56">
        <v>739030</v>
      </c>
      <c r="AC125" s="89">
        <v>0</v>
      </c>
      <c r="AD125" s="57"/>
    </row>
    <row r="126" spans="1:29" ht="12" customHeight="1">
      <c r="A126" s="85" t="s">
        <v>85</v>
      </c>
      <c r="B126" s="107">
        <f>VLOOKUP(A126,'[3]Summer Data Sheet 17-18'!$C$366:$D$488,2,0)</f>
        <v>10159</v>
      </c>
      <c r="C126" s="87"/>
      <c r="D126" s="87" t="s">
        <v>29</v>
      </c>
      <c r="E126" s="91" t="s">
        <v>173</v>
      </c>
      <c r="F126" s="96" t="s">
        <v>63</v>
      </c>
      <c r="G126" s="95">
        <v>0.77</v>
      </c>
      <c r="H126" s="91" t="s">
        <v>30</v>
      </c>
      <c r="I126" s="174">
        <v>22</v>
      </c>
      <c r="J126" s="174">
        <v>15</v>
      </c>
      <c r="K126" s="174">
        <v>21</v>
      </c>
      <c r="L126" s="174">
        <v>0</v>
      </c>
      <c r="M126" s="174">
        <f>SUM(I126:L126)</f>
        <v>58</v>
      </c>
      <c r="N126" s="115">
        <v>43101</v>
      </c>
      <c r="O126" s="115">
        <v>43190</v>
      </c>
      <c r="P126" s="51">
        <v>93</v>
      </c>
      <c r="Q126" s="52">
        <v>71.61</v>
      </c>
      <c r="R126" s="135" t="s">
        <v>196</v>
      </c>
      <c r="S126" s="135" t="s">
        <v>196</v>
      </c>
      <c r="T126" s="53">
        <v>58</v>
      </c>
      <c r="U126" s="123">
        <v>58</v>
      </c>
      <c r="V126" s="104" t="s">
        <v>31</v>
      </c>
      <c r="W126" s="55">
        <v>4153.38</v>
      </c>
      <c r="X126" s="54">
        <f>Q126*T126</f>
        <v>4153.38</v>
      </c>
      <c r="Y126" s="54">
        <f>U126</f>
        <v>58</v>
      </c>
      <c r="Z126" s="56">
        <f>B126</f>
        <v>10159</v>
      </c>
      <c r="AA126" s="49" t="s">
        <v>198</v>
      </c>
      <c r="AB126" s="56">
        <v>739030</v>
      </c>
      <c r="AC126" s="89">
        <v>0</v>
      </c>
    </row>
    <row r="127" spans="1:30" ht="12" customHeight="1">
      <c r="A127" s="85" t="s">
        <v>85</v>
      </c>
      <c r="B127" s="107">
        <f>VLOOKUP(A127,'[3]Summer Data Sheet 17-18'!$C$366:$D$488,2,0)</f>
        <v>10159</v>
      </c>
      <c r="C127" s="86"/>
      <c r="D127" s="87" t="s">
        <v>26</v>
      </c>
      <c r="E127" s="91" t="s">
        <v>173</v>
      </c>
      <c r="F127" s="96" t="s">
        <v>63</v>
      </c>
      <c r="G127" s="95">
        <v>0.62</v>
      </c>
      <c r="H127" s="91" t="s">
        <v>25</v>
      </c>
      <c r="I127" s="174">
        <f>3+14</f>
        <v>17</v>
      </c>
      <c r="J127" s="174">
        <v>0</v>
      </c>
      <c r="K127" s="174">
        <v>0</v>
      </c>
      <c r="L127" s="174">
        <v>0</v>
      </c>
      <c r="M127" s="174">
        <f>SUM(I127:L127)</f>
        <v>17</v>
      </c>
      <c r="N127" s="115">
        <v>43087</v>
      </c>
      <c r="O127" s="115">
        <v>43119</v>
      </c>
      <c r="P127" s="51">
        <v>93</v>
      </c>
      <c r="Q127" s="52">
        <v>57.66</v>
      </c>
      <c r="R127" s="53">
        <v>15</v>
      </c>
      <c r="S127" s="53">
        <v>2</v>
      </c>
      <c r="T127" s="135" t="s">
        <v>196</v>
      </c>
      <c r="U127" s="123">
        <v>17</v>
      </c>
      <c r="V127" s="104" t="s">
        <v>28</v>
      </c>
      <c r="W127" s="55">
        <v>115.32</v>
      </c>
      <c r="X127" s="54">
        <f>Q127*T127</f>
        <v>0</v>
      </c>
      <c r="Y127" s="54">
        <f>U127</f>
        <v>17</v>
      </c>
      <c r="Z127" s="56">
        <f>B127</f>
        <v>10159</v>
      </c>
      <c r="AA127" s="49" t="s">
        <v>198</v>
      </c>
      <c r="AB127" s="56">
        <v>739030</v>
      </c>
      <c r="AC127" s="89">
        <v>0</v>
      </c>
      <c r="AD127" s="57"/>
    </row>
    <row r="128" spans="1:29" ht="12" customHeight="1">
      <c r="A128" s="85" t="s">
        <v>85</v>
      </c>
      <c r="B128" s="107">
        <f>VLOOKUP(A128,'[3]Summer Data Sheet 17-18'!$C$366:$D$488,2,0)</f>
        <v>10159</v>
      </c>
      <c r="C128" s="87"/>
      <c r="D128" s="87" t="s">
        <v>29</v>
      </c>
      <c r="E128" s="91" t="s">
        <v>173</v>
      </c>
      <c r="F128" s="96" t="s">
        <v>63</v>
      </c>
      <c r="G128" s="95">
        <v>0.77</v>
      </c>
      <c r="H128" s="91" t="s">
        <v>30</v>
      </c>
      <c r="I128" s="174">
        <v>9</v>
      </c>
      <c r="J128" s="174">
        <v>0</v>
      </c>
      <c r="K128" s="174">
        <v>0</v>
      </c>
      <c r="L128" s="174">
        <v>0</v>
      </c>
      <c r="M128" s="174">
        <f>SUM(I128:L128)</f>
        <v>9</v>
      </c>
      <c r="N128" s="115">
        <v>43101</v>
      </c>
      <c r="O128" s="115">
        <v>43112</v>
      </c>
      <c r="P128" s="51">
        <v>93</v>
      </c>
      <c r="Q128" s="52">
        <v>71.61</v>
      </c>
      <c r="R128" s="135" t="s">
        <v>196</v>
      </c>
      <c r="S128" s="135" t="s">
        <v>196</v>
      </c>
      <c r="T128" s="53">
        <v>9</v>
      </c>
      <c r="U128" s="123">
        <v>9</v>
      </c>
      <c r="V128" s="104" t="s">
        <v>31</v>
      </c>
      <c r="W128" s="55">
        <v>644.49</v>
      </c>
      <c r="X128" s="54">
        <f>Q128*T128</f>
        <v>644.49</v>
      </c>
      <c r="Y128" s="54">
        <f>U128</f>
        <v>9</v>
      </c>
      <c r="Z128" s="56">
        <f>B128</f>
        <v>10159</v>
      </c>
      <c r="AA128" s="49" t="s">
        <v>198</v>
      </c>
      <c r="AB128" s="56">
        <v>739030</v>
      </c>
      <c r="AC128" s="89">
        <v>0</v>
      </c>
    </row>
    <row r="129" spans="1:29" ht="12" customHeight="1">
      <c r="A129" s="85" t="s">
        <v>85</v>
      </c>
      <c r="B129" s="107">
        <f>VLOOKUP(A129,'[3]Summer Data Sheet 17-18'!$C$366:$D$488,2,0)</f>
        <v>10159</v>
      </c>
      <c r="C129" s="87"/>
      <c r="D129" s="87" t="s">
        <v>26</v>
      </c>
      <c r="E129" s="91" t="s">
        <v>173</v>
      </c>
      <c r="F129" s="96" t="s">
        <v>27</v>
      </c>
      <c r="G129" s="95">
        <v>1</v>
      </c>
      <c r="H129" s="91" t="s">
        <v>25</v>
      </c>
      <c r="I129" s="174">
        <v>18</v>
      </c>
      <c r="J129" s="174">
        <v>2</v>
      </c>
      <c r="K129" s="174">
        <v>0</v>
      </c>
      <c r="L129" s="174">
        <v>0</v>
      </c>
      <c r="M129" s="174">
        <f>SUM(I129:L129)</f>
        <v>20</v>
      </c>
      <c r="N129" s="115">
        <v>43108</v>
      </c>
      <c r="O129" s="115">
        <v>43133</v>
      </c>
      <c r="P129" s="51">
        <v>175</v>
      </c>
      <c r="Q129" s="52">
        <v>175</v>
      </c>
      <c r="R129" s="135">
        <v>15</v>
      </c>
      <c r="S129" s="135">
        <v>5</v>
      </c>
      <c r="T129" s="53" t="s">
        <v>196</v>
      </c>
      <c r="U129" s="123">
        <v>20</v>
      </c>
      <c r="V129" s="104" t="s">
        <v>28</v>
      </c>
      <c r="W129" s="55">
        <v>875</v>
      </c>
      <c r="X129" s="54">
        <f>Q129*T129</f>
        <v>0</v>
      </c>
      <c r="Y129" s="54">
        <f>U129</f>
        <v>20</v>
      </c>
      <c r="Z129" s="56">
        <f>B129</f>
        <v>10159</v>
      </c>
      <c r="AA129" s="49" t="s">
        <v>197</v>
      </c>
      <c r="AB129" s="56">
        <v>739020</v>
      </c>
      <c r="AC129" s="89">
        <v>0</v>
      </c>
    </row>
    <row r="130" spans="1:29" ht="12" customHeight="1">
      <c r="A130" s="85" t="s">
        <v>270</v>
      </c>
      <c r="B130" s="107">
        <f>VLOOKUP(A130,'[3]Summer Data Sheet 17-18'!$C$366:$D$488,2,0)</f>
        <v>10185</v>
      </c>
      <c r="C130" s="86"/>
      <c r="D130" s="87" t="s">
        <v>29</v>
      </c>
      <c r="E130" s="91" t="s">
        <v>173</v>
      </c>
      <c r="F130" s="96" t="s">
        <v>27</v>
      </c>
      <c r="G130" s="95">
        <v>1</v>
      </c>
      <c r="H130" s="91" t="s">
        <v>30</v>
      </c>
      <c r="I130" s="174">
        <v>14</v>
      </c>
      <c r="J130" s="174">
        <v>0</v>
      </c>
      <c r="K130" s="174">
        <v>0</v>
      </c>
      <c r="L130" s="174">
        <v>0</v>
      </c>
      <c r="M130" s="174">
        <f>SUM(I130:L130)</f>
        <v>14</v>
      </c>
      <c r="N130" s="115">
        <v>43101</v>
      </c>
      <c r="O130" s="115">
        <v>43121</v>
      </c>
      <c r="P130" s="51">
        <v>175</v>
      </c>
      <c r="Q130" s="52">
        <v>175</v>
      </c>
      <c r="R130" s="53" t="s">
        <v>196</v>
      </c>
      <c r="S130" s="53" t="s">
        <v>196</v>
      </c>
      <c r="T130" s="135">
        <v>14</v>
      </c>
      <c r="U130" s="123">
        <v>14</v>
      </c>
      <c r="V130" s="104" t="s">
        <v>31</v>
      </c>
      <c r="W130" s="55">
        <v>2450</v>
      </c>
      <c r="X130" s="54">
        <f>Q130*T130</f>
        <v>2450</v>
      </c>
      <c r="Y130" s="54">
        <f>U130</f>
        <v>14</v>
      </c>
      <c r="Z130" s="56">
        <f>B130</f>
        <v>10185</v>
      </c>
      <c r="AA130" s="49" t="s">
        <v>197</v>
      </c>
      <c r="AB130" s="56">
        <v>739020</v>
      </c>
      <c r="AC130" s="89">
        <v>0</v>
      </c>
    </row>
    <row r="131" spans="1:29" ht="12" customHeight="1">
      <c r="A131" s="85" t="s">
        <v>270</v>
      </c>
      <c r="B131" s="107">
        <f>VLOOKUP(A131,'[3]Summer Data Sheet 17-18'!$C$366:$D$488,2,0)</f>
        <v>10185</v>
      </c>
      <c r="C131" s="86"/>
      <c r="D131" s="87" t="s">
        <v>318</v>
      </c>
      <c r="E131" s="91" t="s">
        <v>173</v>
      </c>
      <c r="F131" s="96" t="s">
        <v>27</v>
      </c>
      <c r="G131" s="95">
        <f>22.5/27.5</f>
        <v>0.8181818181818182</v>
      </c>
      <c r="H131" s="91" t="s">
        <v>30</v>
      </c>
      <c r="I131" s="174">
        <v>5</v>
      </c>
      <c r="J131" s="174">
        <v>0</v>
      </c>
      <c r="K131" s="174">
        <v>0</v>
      </c>
      <c r="L131" s="174">
        <v>0</v>
      </c>
      <c r="M131" s="174">
        <f>SUM(I131:L131)</f>
        <v>5</v>
      </c>
      <c r="N131" s="115">
        <v>43122</v>
      </c>
      <c r="O131" s="115">
        <v>43156</v>
      </c>
      <c r="P131" s="51">
        <v>175</v>
      </c>
      <c r="Q131" s="52">
        <v>143.18</v>
      </c>
      <c r="R131" s="135" t="s">
        <v>196</v>
      </c>
      <c r="S131" s="53" t="s">
        <v>196</v>
      </c>
      <c r="T131" s="53">
        <v>5</v>
      </c>
      <c r="U131" s="123">
        <v>5</v>
      </c>
      <c r="V131" s="104" t="s">
        <v>31</v>
      </c>
      <c r="W131" s="55">
        <v>715.9</v>
      </c>
      <c r="X131" s="54">
        <f>Q131*T131</f>
        <v>715.9000000000001</v>
      </c>
      <c r="Y131" s="54">
        <f>U131</f>
        <v>5</v>
      </c>
      <c r="Z131" s="56">
        <f>B131</f>
        <v>10185</v>
      </c>
      <c r="AA131" s="49" t="s">
        <v>197</v>
      </c>
      <c r="AB131" s="56">
        <v>739020</v>
      </c>
      <c r="AC131" s="89">
        <v>0</v>
      </c>
    </row>
    <row r="132" spans="1:29" ht="12" customHeight="1">
      <c r="A132" s="85" t="s">
        <v>270</v>
      </c>
      <c r="B132" s="107">
        <f>VLOOKUP(A132,'[3]Summer Data Sheet 17-18'!$C$366:$D$488,2,0)</f>
        <v>10185</v>
      </c>
      <c r="C132" s="86"/>
      <c r="D132" s="87" t="s">
        <v>319</v>
      </c>
      <c r="E132" s="91" t="s">
        <v>173</v>
      </c>
      <c r="F132" s="96" t="s">
        <v>27</v>
      </c>
      <c r="G132" s="95">
        <f>22.5/27.5</f>
        <v>0.8181818181818182</v>
      </c>
      <c r="H132" s="91" t="s">
        <v>30</v>
      </c>
      <c r="I132" s="174">
        <v>3</v>
      </c>
      <c r="J132" s="174">
        <v>2</v>
      </c>
      <c r="K132" s="174">
        <v>0</v>
      </c>
      <c r="L132" s="174">
        <v>0</v>
      </c>
      <c r="M132" s="174">
        <f>SUM(I132:L132)</f>
        <v>5</v>
      </c>
      <c r="N132" s="115">
        <v>43122</v>
      </c>
      <c r="O132" s="115">
        <v>43156</v>
      </c>
      <c r="P132" s="51">
        <v>175</v>
      </c>
      <c r="Q132" s="51">
        <v>143.18</v>
      </c>
      <c r="R132" s="135" t="s">
        <v>196</v>
      </c>
      <c r="S132" s="53" t="s">
        <v>196</v>
      </c>
      <c r="T132" s="135">
        <v>5</v>
      </c>
      <c r="U132" s="123">
        <v>5</v>
      </c>
      <c r="V132" s="104" t="s">
        <v>31</v>
      </c>
      <c r="W132" s="55">
        <v>715.9</v>
      </c>
      <c r="X132" s="54">
        <f>Q132*T132</f>
        <v>715.9000000000001</v>
      </c>
      <c r="Y132" s="54">
        <f>U132</f>
        <v>5</v>
      </c>
      <c r="Z132" s="56">
        <f>B132</f>
        <v>10185</v>
      </c>
      <c r="AA132" s="49" t="s">
        <v>197</v>
      </c>
      <c r="AB132" s="56">
        <v>739020</v>
      </c>
      <c r="AC132" s="89">
        <v>0</v>
      </c>
    </row>
    <row r="133" spans="1:29" ht="12" customHeight="1">
      <c r="A133" s="85" t="s">
        <v>270</v>
      </c>
      <c r="B133" s="107">
        <f>VLOOKUP(A133,'[3]Summer Data Sheet 17-18'!$C$366:$D$488,2,0)</f>
        <v>10185</v>
      </c>
      <c r="C133" s="87"/>
      <c r="D133" s="87" t="s">
        <v>320</v>
      </c>
      <c r="E133" s="91" t="s">
        <v>173</v>
      </c>
      <c r="F133" s="96" t="s">
        <v>27</v>
      </c>
      <c r="G133" s="95">
        <f>15/27.5</f>
        <v>0.5454545454545454</v>
      </c>
      <c r="H133" s="91" t="s">
        <v>30</v>
      </c>
      <c r="I133" s="174">
        <v>0</v>
      </c>
      <c r="J133" s="174">
        <v>5</v>
      </c>
      <c r="K133" s="174">
        <v>0</v>
      </c>
      <c r="L133" s="174">
        <v>0</v>
      </c>
      <c r="M133" s="174">
        <f>SUM(I133:L133)</f>
        <v>5</v>
      </c>
      <c r="N133" s="115">
        <v>43122</v>
      </c>
      <c r="O133" s="115">
        <v>43156</v>
      </c>
      <c r="P133" s="51">
        <v>175</v>
      </c>
      <c r="Q133" s="52">
        <v>95.45</v>
      </c>
      <c r="R133" s="135" t="s">
        <v>196</v>
      </c>
      <c r="S133" s="53" t="s">
        <v>196</v>
      </c>
      <c r="T133" s="53">
        <v>5</v>
      </c>
      <c r="U133" s="123">
        <v>5</v>
      </c>
      <c r="V133" s="104" t="s">
        <v>31</v>
      </c>
      <c r="W133" s="55">
        <v>477.25</v>
      </c>
      <c r="X133" s="54">
        <f>Q133*T133</f>
        <v>477.25</v>
      </c>
      <c r="Y133" s="54">
        <f>U133</f>
        <v>5</v>
      </c>
      <c r="Z133" s="56">
        <f>B133</f>
        <v>10185</v>
      </c>
      <c r="AA133" s="49" t="s">
        <v>197</v>
      </c>
      <c r="AB133" s="56">
        <v>739020</v>
      </c>
      <c r="AC133" s="89">
        <v>0</v>
      </c>
    </row>
    <row r="134" spans="1:29" ht="12" customHeight="1">
      <c r="A134" s="85" t="s">
        <v>270</v>
      </c>
      <c r="B134" s="107">
        <f>VLOOKUP(A134,'[3]Summer Data Sheet 17-18'!$C$366:$D$488,2,0)</f>
        <v>10185</v>
      </c>
      <c r="C134" s="86"/>
      <c r="D134" s="87" t="s">
        <v>321</v>
      </c>
      <c r="E134" s="91" t="s">
        <v>173</v>
      </c>
      <c r="F134" s="96" t="s">
        <v>27</v>
      </c>
      <c r="G134" s="95">
        <f>6/27.5</f>
        <v>0.21818181818181817</v>
      </c>
      <c r="H134" s="91" t="s">
        <v>30</v>
      </c>
      <c r="I134" s="174">
        <v>0</v>
      </c>
      <c r="J134" s="174">
        <v>5</v>
      </c>
      <c r="K134" s="174">
        <v>0</v>
      </c>
      <c r="L134" s="174">
        <v>0</v>
      </c>
      <c r="M134" s="174">
        <f>SUM(I134:L134)</f>
        <v>5</v>
      </c>
      <c r="N134" s="115">
        <v>43122</v>
      </c>
      <c r="O134" s="115">
        <v>43156</v>
      </c>
      <c r="P134" s="51">
        <v>175</v>
      </c>
      <c r="Q134" s="52">
        <v>38.18</v>
      </c>
      <c r="R134" s="135" t="s">
        <v>196</v>
      </c>
      <c r="S134" s="53" t="s">
        <v>196</v>
      </c>
      <c r="T134" s="53">
        <v>5</v>
      </c>
      <c r="U134" s="123">
        <v>5</v>
      </c>
      <c r="V134" s="104" t="s">
        <v>31</v>
      </c>
      <c r="W134" s="55">
        <v>190.9</v>
      </c>
      <c r="X134" s="54">
        <f>Q134*T134</f>
        <v>190.9</v>
      </c>
      <c r="Y134" s="54">
        <f>U134</f>
        <v>5</v>
      </c>
      <c r="Z134" s="56">
        <f>B134</f>
        <v>10185</v>
      </c>
      <c r="AA134" s="49" t="s">
        <v>197</v>
      </c>
      <c r="AB134" s="56">
        <v>739020</v>
      </c>
      <c r="AC134" s="89">
        <v>0</v>
      </c>
    </row>
    <row r="135" spans="1:29" ht="12" customHeight="1">
      <c r="A135" s="85" t="s">
        <v>260</v>
      </c>
      <c r="B135" s="107">
        <f>VLOOKUP(A135,'[3]Summer Data Sheet 17-18'!$C$366:$D$488,2,0)</f>
        <v>10188</v>
      </c>
      <c r="C135" s="86"/>
      <c r="D135" s="87" t="s">
        <v>29</v>
      </c>
      <c r="E135" s="91" t="s">
        <v>173</v>
      </c>
      <c r="F135" s="96" t="s">
        <v>27</v>
      </c>
      <c r="G135" s="97">
        <v>1</v>
      </c>
      <c r="H135" s="91" t="s">
        <v>30</v>
      </c>
      <c r="I135" s="174">
        <v>22</v>
      </c>
      <c r="J135" s="174">
        <v>12</v>
      </c>
      <c r="K135" s="174">
        <v>0</v>
      </c>
      <c r="L135" s="174">
        <v>0</v>
      </c>
      <c r="M135" s="174">
        <f>SUM(I135:L135)</f>
        <v>34</v>
      </c>
      <c r="N135" s="115">
        <v>43101</v>
      </c>
      <c r="O135" s="115">
        <v>43156</v>
      </c>
      <c r="P135" s="51">
        <v>175</v>
      </c>
      <c r="Q135" s="52">
        <v>175</v>
      </c>
      <c r="R135" s="135" t="s">
        <v>196</v>
      </c>
      <c r="S135" s="53" t="s">
        <v>196</v>
      </c>
      <c r="T135" s="53">
        <v>34</v>
      </c>
      <c r="U135" s="123">
        <v>34</v>
      </c>
      <c r="V135" s="104" t="s">
        <v>31</v>
      </c>
      <c r="W135" s="55">
        <v>5950</v>
      </c>
      <c r="X135" s="54">
        <f>Q135*T135</f>
        <v>5950</v>
      </c>
      <c r="Y135" s="54">
        <f>U135</f>
        <v>34</v>
      </c>
      <c r="Z135" s="56">
        <f>B135</f>
        <v>10188</v>
      </c>
      <c r="AA135" s="49" t="s">
        <v>197</v>
      </c>
      <c r="AB135" s="56">
        <v>739020</v>
      </c>
      <c r="AC135" s="89">
        <v>0</v>
      </c>
    </row>
    <row r="136" spans="1:29" ht="12" customHeight="1">
      <c r="A136" s="85" t="s">
        <v>260</v>
      </c>
      <c r="B136" s="107">
        <f>VLOOKUP(A136,'[3]Summer Data Sheet 17-18'!$C$366:$D$488,2,0)</f>
        <v>10188</v>
      </c>
      <c r="C136" s="87"/>
      <c r="D136" s="87" t="s">
        <v>322</v>
      </c>
      <c r="E136" s="91" t="s">
        <v>173</v>
      </c>
      <c r="F136" s="96" t="s">
        <v>27</v>
      </c>
      <c r="G136" s="97">
        <f>16.5/27.5</f>
        <v>0.6</v>
      </c>
      <c r="H136" s="91" t="s">
        <v>30</v>
      </c>
      <c r="I136" s="174">
        <v>0</v>
      </c>
      <c r="J136" s="174">
        <v>3</v>
      </c>
      <c r="K136" s="174">
        <v>2</v>
      </c>
      <c r="L136" s="174">
        <v>0</v>
      </c>
      <c r="M136" s="174">
        <f>SUM(I136:L136)</f>
        <v>5</v>
      </c>
      <c r="N136" s="115">
        <v>43157</v>
      </c>
      <c r="O136" s="115">
        <v>43190</v>
      </c>
      <c r="P136" s="51">
        <v>175</v>
      </c>
      <c r="Q136" s="52">
        <v>105</v>
      </c>
      <c r="R136" s="135" t="s">
        <v>196</v>
      </c>
      <c r="S136" s="53" t="s">
        <v>196</v>
      </c>
      <c r="T136" s="53">
        <v>5</v>
      </c>
      <c r="U136" s="123">
        <v>5</v>
      </c>
      <c r="V136" s="104" t="s">
        <v>31</v>
      </c>
      <c r="W136" s="55">
        <v>525</v>
      </c>
      <c r="X136" s="54">
        <f>Q136*T136</f>
        <v>525</v>
      </c>
      <c r="Y136" s="54">
        <f>U136</f>
        <v>5</v>
      </c>
      <c r="Z136" s="56">
        <f>B136</f>
        <v>10188</v>
      </c>
      <c r="AA136" s="49" t="s">
        <v>197</v>
      </c>
      <c r="AB136" s="56">
        <v>739020</v>
      </c>
      <c r="AC136" s="89">
        <v>0</v>
      </c>
    </row>
    <row r="137" spans="1:29" ht="12" customHeight="1">
      <c r="A137" s="85" t="s">
        <v>260</v>
      </c>
      <c r="B137" s="107">
        <f>VLOOKUP(A137,'[3]Summer Data Sheet 17-18'!$C$366:$D$488,2,0)</f>
        <v>10188</v>
      </c>
      <c r="C137" s="86"/>
      <c r="D137" s="87" t="s">
        <v>301</v>
      </c>
      <c r="E137" s="91" t="s">
        <v>173</v>
      </c>
      <c r="F137" s="96" t="s">
        <v>27</v>
      </c>
      <c r="G137" s="97">
        <f>11/27.5</f>
        <v>0.4</v>
      </c>
      <c r="H137" s="91" t="s">
        <v>30</v>
      </c>
      <c r="I137" s="174">
        <v>0</v>
      </c>
      <c r="J137" s="174">
        <v>0</v>
      </c>
      <c r="K137" s="174">
        <v>10</v>
      </c>
      <c r="L137" s="174">
        <v>0</v>
      </c>
      <c r="M137" s="174">
        <f>SUM(I137:L137)</f>
        <v>10</v>
      </c>
      <c r="N137" s="115">
        <v>43157</v>
      </c>
      <c r="O137" s="115">
        <v>43190</v>
      </c>
      <c r="P137" s="51">
        <v>175</v>
      </c>
      <c r="Q137" s="52">
        <v>70</v>
      </c>
      <c r="R137" s="135" t="s">
        <v>196</v>
      </c>
      <c r="S137" s="53" t="s">
        <v>196</v>
      </c>
      <c r="T137" s="53">
        <v>10</v>
      </c>
      <c r="U137" s="123">
        <v>10</v>
      </c>
      <c r="V137" s="104" t="s">
        <v>31</v>
      </c>
      <c r="W137" s="55">
        <v>700</v>
      </c>
      <c r="X137" s="54">
        <f>Q137*T137</f>
        <v>700</v>
      </c>
      <c r="Y137" s="54">
        <f>U137</f>
        <v>10</v>
      </c>
      <c r="Z137" s="56">
        <f>B137</f>
        <v>10188</v>
      </c>
      <c r="AA137" s="49" t="s">
        <v>197</v>
      </c>
      <c r="AB137" s="56">
        <v>739020</v>
      </c>
      <c r="AC137" s="89">
        <v>0</v>
      </c>
    </row>
    <row r="138" spans="1:29" ht="12" customHeight="1">
      <c r="A138" s="85" t="s">
        <v>260</v>
      </c>
      <c r="B138" s="107">
        <f>VLOOKUP(A138,'[3]Summer Data Sheet 17-18'!$C$366:$D$488,2,0)</f>
        <v>10188</v>
      </c>
      <c r="C138" s="86"/>
      <c r="D138" s="87" t="s">
        <v>323</v>
      </c>
      <c r="E138" s="91" t="s">
        <v>173</v>
      </c>
      <c r="F138" s="96" t="s">
        <v>27</v>
      </c>
      <c r="G138" s="97">
        <f>5.5/27.5</f>
        <v>0.2</v>
      </c>
      <c r="H138" s="91" t="s">
        <v>30</v>
      </c>
      <c r="I138" s="174">
        <v>0</v>
      </c>
      <c r="J138" s="174">
        <v>0</v>
      </c>
      <c r="K138" s="174">
        <v>10</v>
      </c>
      <c r="L138" s="174">
        <v>0</v>
      </c>
      <c r="M138" s="174">
        <f>SUM(I138:L138)</f>
        <v>10</v>
      </c>
      <c r="N138" s="115">
        <v>43157</v>
      </c>
      <c r="O138" s="115">
        <v>43190</v>
      </c>
      <c r="P138" s="51">
        <v>175</v>
      </c>
      <c r="Q138" s="52">
        <v>35</v>
      </c>
      <c r="R138" s="53" t="s">
        <v>196</v>
      </c>
      <c r="S138" s="53" t="s">
        <v>196</v>
      </c>
      <c r="T138" s="135">
        <v>10</v>
      </c>
      <c r="U138" s="123">
        <v>10</v>
      </c>
      <c r="V138" s="104" t="s">
        <v>31</v>
      </c>
      <c r="W138" s="55">
        <v>350</v>
      </c>
      <c r="X138" s="54">
        <f>Q138*T138</f>
        <v>350</v>
      </c>
      <c r="Y138" s="54">
        <f>U138</f>
        <v>10</v>
      </c>
      <c r="Z138" s="56">
        <f>B138</f>
        <v>10188</v>
      </c>
      <c r="AA138" s="49" t="s">
        <v>197</v>
      </c>
      <c r="AB138" s="56">
        <v>739020</v>
      </c>
      <c r="AC138" s="89">
        <v>0</v>
      </c>
    </row>
    <row r="139" spans="1:29" ht="12" customHeight="1">
      <c r="A139" s="85" t="s">
        <v>260</v>
      </c>
      <c r="B139" s="107">
        <f>VLOOKUP(A139,'[3]Summer Data Sheet 17-18'!$C$366:$D$488,2,0)</f>
        <v>10188</v>
      </c>
      <c r="C139" s="86"/>
      <c r="D139" s="87" t="s">
        <v>29</v>
      </c>
      <c r="E139" s="91" t="s">
        <v>173</v>
      </c>
      <c r="F139" s="96" t="s">
        <v>27</v>
      </c>
      <c r="G139" s="97">
        <v>1</v>
      </c>
      <c r="H139" s="91" t="s">
        <v>30</v>
      </c>
      <c r="I139" s="174">
        <v>22</v>
      </c>
      <c r="J139" s="174">
        <v>15</v>
      </c>
      <c r="K139" s="174">
        <v>21</v>
      </c>
      <c r="L139" s="174">
        <v>0</v>
      </c>
      <c r="M139" s="174">
        <f>SUM(I139:L139)</f>
        <v>58</v>
      </c>
      <c r="N139" s="115">
        <v>43101</v>
      </c>
      <c r="O139" s="115">
        <v>43190</v>
      </c>
      <c r="P139" s="51">
        <v>175</v>
      </c>
      <c r="Q139" s="52">
        <v>175</v>
      </c>
      <c r="R139" s="135" t="s">
        <v>196</v>
      </c>
      <c r="S139" s="53" t="s">
        <v>196</v>
      </c>
      <c r="T139" s="135">
        <v>58</v>
      </c>
      <c r="U139" s="123">
        <v>58</v>
      </c>
      <c r="V139" s="104" t="s">
        <v>31</v>
      </c>
      <c r="W139" s="55">
        <v>10150</v>
      </c>
      <c r="X139" s="54">
        <f>Q139*T139</f>
        <v>10150</v>
      </c>
      <c r="Y139" s="54">
        <f>U139</f>
        <v>58</v>
      </c>
      <c r="Z139" s="56">
        <f>B139</f>
        <v>10188</v>
      </c>
      <c r="AA139" s="49" t="s">
        <v>197</v>
      </c>
      <c r="AB139" s="56">
        <v>739020</v>
      </c>
      <c r="AC139" s="89">
        <v>0</v>
      </c>
    </row>
    <row r="140" spans="1:29" ht="12" customHeight="1">
      <c r="A140" s="85" t="s">
        <v>260</v>
      </c>
      <c r="B140" s="107">
        <f>VLOOKUP(A140,'[3]Summer Data Sheet 17-18'!$C$366:$D$488,2,0)</f>
        <v>10188</v>
      </c>
      <c r="C140" s="86"/>
      <c r="D140" s="87" t="s">
        <v>41</v>
      </c>
      <c r="E140" s="91" t="s">
        <v>173</v>
      </c>
      <c r="F140" s="96" t="s">
        <v>24</v>
      </c>
      <c r="G140" s="97">
        <v>1</v>
      </c>
      <c r="H140" s="91" t="s">
        <v>25</v>
      </c>
      <c r="I140" s="174">
        <f>20+17+17</f>
        <v>54</v>
      </c>
      <c r="J140" s="174">
        <v>0</v>
      </c>
      <c r="K140" s="174">
        <v>0</v>
      </c>
      <c r="L140" s="174">
        <v>0</v>
      </c>
      <c r="M140" s="174">
        <f>SUM(I140:L140)</f>
        <v>54</v>
      </c>
      <c r="N140" s="115">
        <v>43344</v>
      </c>
      <c r="O140" s="115">
        <v>43100</v>
      </c>
      <c r="P140" s="51">
        <v>175</v>
      </c>
      <c r="Q140" s="51">
        <v>175</v>
      </c>
      <c r="R140" s="135">
        <v>0</v>
      </c>
      <c r="S140" s="53" t="s">
        <v>196</v>
      </c>
      <c r="T140" s="53" t="s">
        <v>196</v>
      </c>
      <c r="U140" s="123">
        <v>54</v>
      </c>
      <c r="V140" s="104" t="s">
        <v>264</v>
      </c>
      <c r="W140" s="55">
        <v>9450</v>
      </c>
      <c r="X140" s="54">
        <f>Q140*T140</f>
        <v>0</v>
      </c>
      <c r="Y140" s="54">
        <f>U140</f>
        <v>54</v>
      </c>
      <c r="Z140" s="56">
        <f>B140</f>
        <v>10188</v>
      </c>
      <c r="AA140" s="49" t="s">
        <v>197</v>
      </c>
      <c r="AB140" s="56">
        <v>739020</v>
      </c>
      <c r="AC140" s="89">
        <v>0</v>
      </c>
    </row>
    <row r="141" spans="1:29" ht="12" customHeight="1">
      <c r="A141" s="85" t="s">
        <v>260</v>
      </c>
      <c r="B141" s="107">
        <f>VLOOKUP(A141,'[3]Summer Data Sheet 17-18'!$C$366:$D$488,2,0)</f>
        <v>10188</v>
      </c>
      <c r="C141" s="86"/>
      <c r="D141" s="87" t="s">
        <v>26</v>
      </c>
      <c r="E141" s="91" t="s">
        <v>173</v>
      </c>
      <c r="F141" s="96" t="s">
        <v>27</v>
      </c>
      <c r="G141" s="97">
        <v>1</v>
      </c>
      <c r="H141" s="91" t="s">
        <v>25</v>
      </c>
      <c r="I141" s="174">
        <f>8+2</f>
        <v>10</v>
      </c>
      <c r="J141" s="174">
        <v>15</v>
      </c>
      <c r="K141" s="174">
        <v>10</v>
      </c>
      <c r="L141" s="174">
        <v>0</v>
      </c>
      <c r="M141" s="174">
        <f>SUM(I141:L141)</f>
        <v>35</v>
      </c>
      <c r="N141" s="115">
        <v>43104</v>
      </c>
      <c r="O141" s="115">
        <v>43190</v>
      </c>
      <c r="P141" s="51">
        <v>175</v>
      </c>
      <c r="Q141" s="51">
        <v>175</v>
      </c>
      <c r="R141" s="53">
        <v>15</v>
      </c>
      <c r="S141" s="53">
        <v>20</v>
      </c>
      <c r="T141" s="135" t="s">
        <v>196</v>
      </c>
      <c r="U141" s="123">
        <v>35</v>
      </c>
      <c r="V141" s="104" t="s">
        <v>28</v>
      </c>
      <c r="W141" s="55">
        <v>3500</v>
      </c>
      <c r="X141" s="54">
        <f>Q141*T141</f>
        <v>0</v>
      </c>
      <c r="Y141" s="54">
        <f>U141</f>
        <v>35</v>
      </c>
      <c r="Z141" s="56">
        <f>B141</f>
        <v>10188</v>
      </c>
      <c r="AA141" s="49" t="s">
        <v>197</v>
      </c>
      <c r="AB141" s="56">
        <v>739020</v>
      </c>
      <c r="AC141" s="89">
        <v>0</v>
      </c>
    </row>
    <row r="142" spans="1:29" ht="12" customHeight="1">
      <c r="A142" s="85" t="s">
        <v>260</v>
      </c>
      <c r="B142" s="107">
        <f>VLOOKUP(A142,'[3]Summer Data Sheet 17-18'!$C$366:$D$488,2,0)</f>
        <v>10188</v>
      </c>
      <c r="C142" s="86"/>
      <c r="D142" s="87" t="s">
        <v>29</v>
      </c>
      <c r="E142" s="91" t="s">
        <v>173</v>
      </c>
      <c r="F142" s="96" t="s">
        <v>27</v>
      </c>
      <c r="G142" s="97">
        <v>1</v>
      </c>
      <c r="H142" s="91" t="s">
        <v>30</v>
      </c>
      <c r="I142" s="174">
        <v>0</v>
      </c>
      <c r="J142" s="174">
        <v>0</v>
      </c>
      <c r="K142" s="174">
        <v>11</v>
      </c>
      <c r="L142" s="174">
        <v>0</v>
      </c>
      <c r="M142" s="174">
        <f>SUM(I142:L142)</f>
        <v>11</v>
      </c>
      <c r="N142" s="115">
        <v>43104</v>
      </c>
      <c r="O142" s="115">
        <v>43190</v>
      </c>
      <c r="P142" s="51">
        <v>175</v>
      </c>
      <c r="Q142" s="51">
        <v>175</v>
      </c>
      <c r="R142" s="135" t="s">
        <v>196</v>
      </c>
      <c r="S142" s="135" t="s">
        <v>196</v>
      </c>
      <c r="T142" s="53">
        <v>11</v>
      </c>
      <c r="U142" s="123">
        <v>11</v>
      </c>
      <c r="V142" s="104" t="s">
        <v>31</v>
      </c>
      <c r="W142" s="55">
        <v>1925</v>
      </c>
      <c r="X142" s="54">
        <f>Q142*T142</f>
        <v>1925</v>
      </c>
      <c r="Y142" s="54">
        <f>U142</f>
        <v>11</v>
      </c>
      <c r="Z142" s="56">
        <f>B142</f>
        <v>10188</v>
      </c>
      <c r="AA142" s="49" t="s">
        <v>197</v>
      </c>
      <c r="AB142" s="56">
        <v>739020</v>
      </c>
      <c r="AC142" s="89">
        <v>0</v>
      </c>
    </row>
    <row r="143" spans="1:29" ht="12" customHeight="1">
      <c r="A143" s="85" t="s">
        <v>86</v>
      </c>
      <c r="B143" s="107">
        <f>VLOOKUP(A143,'[3]Summer Data Sheet 17-18'!$C$366:$D$488,2,0)</f>
        <v>11093</v>
      </c>
      <c r="C143" s="87"/>
      <c r="D143" s="87" t="s">
        <v>29</v>
      </c>
      <c r="E143" s="91" t="s">
        <v>173</v>
      </c>
      <c r="F143" s="96" t="s">
        <v>27</v>
      </c>
      <c r="G143" s="97">
        <v>1</v>
      </c>
      <c r="H143" s="91" t="s">
        <v>30</v>
      </c>
      <c r="I143" s="174">
        <v>22</v>
      </c>
      <c r="J143" s="174">
        <v>15</v>
      </c>
      <c r="K143" s="174">
        <v>21</v>
      </c>
      <c r="L143" s="174">
        <v>0</v>
      </c>
      <c r="M143" s="174">
        <f>SUM(I143:L143)</f>
        <v>58</v>
      </c>
      <c r="N143" s="115">
        <v>43101</v>
      </c>
      <c r="O143" s="115">
        <v>43190</v>
      </c>
      <c r="P143" s="51">
        <v>175</v>
      </c>
      <c r="Q143" s="52">
        <v>175</v>
      </c>
      <c r="R143" s="53" t="s">
        <v>196</v>
      </c>
      <c r="S143" s="53" t="s">
        <v>196</v>
      </c>
      <c r="T143" s="135">
        <v>58</v>
      </c>
      <c r="U143" s="123">
        <v>58</v>
      </c>
      <c r="V143" s="104" t="s">
        <v>31</v>
      </c>
      <c r="W143" s="55">
        <v>10150</v>
      </c>
      <c r="X143" s="54">
        <f>Q143*T143</f>
        <v>10150</v>
      </c>
      <c r="Y143" s="54">
        <f>U143</f>
        <v>58</v>
      </c>
      <c r="Z143" s="56">
        <f>B143</f>
        <v>11093</v>
      </c>
      <c r="AA143" s="49" t="s">
        <v>197</v>
      </c>
      <c r="AB143" s="56">
        <v>739020</v>
      </c>
      <c r="AC143" s="89">
        <v>0</v>
      </c>
    </row>
    <row r="144" spans="1:29" ht="12" customHeight="1">
      <c r="A144" s="85" t="s">
        <v>86</v>
      </c>
      <c r="B144" s="107">
        <f>VLOOKUP(A144,'[3]Summer Data Sheet 17-18'!$C$366:$D$488,2,0)</f>
        <v>11093</v>
      </c>
      <c r="C144" s="86"/>
      <c r="D144" s="87" t="s">
        <v>41</v>
      </c>
      <c r="E144" s="91" t="s">
        <v>173</v>
      </c>
      <c r="F144" s="96" t="s">
        <v>65</v>
      </c>
      <c r="G144" s="95">
        <f>(31.25*40)/1728</f>
        <v>0.7233796296296297</v>
      </c>
      <c r="H144" s="91" t="s">
        <v>25</v>
      </c>
      <c r="I144" s="174">
        <v>21</v>
      </c>
      <c r="J144" s="174">
        <v>15</v>
      </c>
      <c r="K144" s="174">
        <v>19</v>
      </c>
      <c r="L144" s="174">
        <v>0</v>
      </c>
      <c r="M144" s="174">
        <f>SUM(I144:L144)</f>
        <v>55</v>
      </c>
      <c r="N144" s="115">
        <v>43103</v>
      </c>
      <c r="O144" s="115">
        <v>43190</v>
      </c>
      <c r="P144" s="51">
        <v>93</v>
      </c>
      <c r="Q144" s="52">
        <v>67.27</v>
      </c>
      <c r="R144" s="53">
        <v>0</v>
      </c>
      <c r="S144" s="53" t="s">
        <v>196</v>
      </c>
      <c r="T144" s="135" t="s">
        <v>196</v>
      </c>
      <c r="U144" s="123">
        <v>55</v>
      </c>
      <c r="V144" s="104" t="s">
        <v>264</v>
      </c>
      <c r="W144" s="55">
        <v>3699.85</v>
      </c>
      <c r="X144" s="54">
        <f>Q144*T144</f>
        <v>0</v>
      </c>
      <c r="Y144" s="54">
        <f>U144</f>
        <v>55</v>
      </c>
      <c r="Z144" s="56">
        <f>B144</f>
        <v>11093</v>
      </c>
      <c r="AA144" s="49" t="s">
        <v>198</v>
      </c>
      <c r="AB144" s="56">
        <v>739030</v>
      </c>
      <c r="AC144" s="89">
        <v>0</v>
      </c>
    </row>
    <row r="145" spans="1:29" ht="12" customHeight="1">
      <c r="A145" s="85" t="s">
        <v>86</v>
      </c>
      <c r="B145" s="107">
        <f>VLOOKUP(A145,'[3]Summer Data Sheet 17-18'!$C$366:$D$488,2,0)</f>
        <v>11093</v>
      </c>
      <c r="C145" s="86"/>
      <c r="D145" s="86" t="s">
        <v>280</v>
      </c>
      <c r="E145" s="91" t="s">
        <v>173</v>
      </c>
      <c r="F145" s="96" t="s">
        <v>65</v>
      </c>
      <c r="G145" s="95">
        <f>(18.75*40)/1728</f>
        <v>0.4340277777777778</v>
      </c>
      <c r="H145" s="91" t="s">
        <v>25</v>
      </c>
      <c r="I145" s="174">
        <v>0</v>
      </c>
      <c r="J145" s="174">
        <v>0</v>
      </c>
      <c r="K145" s="174">
        <v>19</v>
      </c>
      <c r="L145" s="174">
        <v>0</v>
      </c>
      <c r="M145" s="174">
        <f>SUM(I145:L145)</f>
        <v>19</v>
      </c>
      <c r="N145" s="115">
        <v>43164</v>
      </c>
      <c r="O145" s="115">
        <v>43190</v>
      </c>
      <c r="P145" s="51">
        <v>93</v>
      </c>
      <c r="Q145" s="52">
        <v>40.36</v>
      </c>
      <c r="R145" s="53">
        <v>0</v>
      </c>
      <c r="S145" s="53" t="s">
        <v>196</v>
      </c>
      <c r="T145" s="135" t="s">
        <v>196</v>
      </c>
      <c r="U145" s="123">
        <v>19</v>
      </c>
      <c r="V145" s="104" t="s">
        <v>264</v>
      </c>
      <c r="W145" s="55">
        <v>766.84</v>
      </c>
      <c r="X145" s="54">
        <f>Q145*T145</f>
        <v>0</v>
      </c>
      <c r="Y145" s="54">
        <f>U145</f>
        <v>19</v>
      </c>
      <c r="Z145" s="56">
        <f>B145</f>
        <v>11093</v>
      </c>
      <c r="AA145" s="49" t="s">
        <v>198</v>
      </c>
      <c r="AB145" s="56">
        <v>739030</v>
      </c>
      <c r="AC145" s="89">
        <v>0</v>
      </c>
    </row>
    <row r="146" spans="1:29" ht="12" customHeight="1">
      <c r="A146" s="85" t="s">
        <v>22</v>
      </c>
      <c r="B146" s="107">
        <f>VLOOKUP(A146,'[3]Summer Data Sheet 17-18'!$C$366:$D$488,2,0)</f>
        <v>11094</v>
      </c>
      <c r="C146" s="86"/>
      <c r="D146" s="87" t="s">
        <v>34</v>
      </c>
      <c r="E146" s="91" t="s">
        <v>173</v>
      </c>
      <c r="F146" s="91" t="s">
        <v>27</v>
      </c>
      <c r="G146" s="95">
        <v>1</v>
      </c>
      <c r="H146" s="91" t="s">
        <v>30</v>
      </c>
      <c r="I146" s="174">
        <v>14</v>
      </c>
      <c r="J146" s="174">
        <v>0</v>
      </c>
      <c r="K146" s="174">
        <v>0</v>
      </c>
      <c r="L146" s="174">
        <v>0</v>
      </c>
      <c r="M146" s="174">
        <f>SUM(I146:L146)</f>
        <v>14</v>
      </c>
      <c r="N146" s="115">
        <v>43101</v>
      </c>
      <c r="O146" s="115">
        <v>43190</v>
      </c>
      <c r="P146" s="51">
        <v>175</v>
      </c>
      <c r="Q146" s="52">
        <v>175</v>
      </c>
      <c r="R146" s="53" t="s">
        <v>196</v>
      </c>
      <c r="S146" s="53" t="s">
        <v>196</v>
      </c>
      <c r="T146" s="135" t="s">
        <v>196</v>
      </c>
      <c r="U146" s="123">
        <v>14</v>
      </c>
      <c r="V146" s="104" t="s">
        <v>264</v>
      </c>
      <c r="W146" s="55">
        <v>2450</v>
      </c>
      <c r="X146" s="54">
        <f>Q146*T146</f>
        <v>0</v>
      </c>
      <c r="Y146" s="54">
        <f>U146</f>
        <v>14</v>
      </c>
      <c r="Z146" s="56">
        <f>B146</f>
        <v>11094</v>
      </c>
      <c r="AA146" s="49" t="s">
        <v>197</v>
      </c>
      <c r="AB146" s="56">
        <v>739020</v>
      </c>
      <c r="AC146" s="89">
        <v>0</v>
      </c>
    </row>
    <row r="147" spans="1:29" ht="12" customHeight="1">
      <c r="A147" s="85" t="s">
        <v>22</v>
      </c>
      <c r="B147" s="107">
        <f>VLOOKUP(A147,'[3]Summer Data Sheet 17-18'!$C$366:$D$488,2,0)</f>
        <v>11094</v>
      </c>
      <c r="C147" s="86"/>
      <c r="D147" s="87" t="s">
        <v>29</v>
      </c>
      <c r="E147" s="91" t="s">
        <v>173</v>
      </c>
      <c r="F147" s="91" t="s">
        <v>27</v>
      </c>
      <c r="G147" s="95">
        <v>1</v>
      </c>
      <c r="H147" s="91" t="s">
        <v>25</v>
      </c>
      <c r="I147" s="174">
        <v>11</v>
      </c>
      <c r="J147" s="174">
        <v>10</v>
      </c>
      <c r="K147" s="174">
        <v>0</v>
      </c>
      <c r="L147" s="174">
        <v>0</v>
      </c>
      <c r="M147" s="174">
        <f>SUM(I147:L147)</f>
        <v>21</v>
      </c>
      <c r="N147" s="115">
        <v>43117</v>
      </c>
      <c r="O147" s="115">
        <v>43152</v>
      </c>
      <c r="P147" s="51">
        <v>175</v>
      </c>
      <c r="Q147" s="52">
        <v>175</v>
      </c>
      <c r="R147" s="135">
        <v>35</v>
      </c>
      <c r="S147" s="135" t="s">
        <v>196</v>
      </c>
      <c r="T147" s="53" t="s">
        <v>196</v>
      </c>
      <c r="U147" s="123">
        <v>21</v>
      </c>
      <c r="V147" s="104" t="s">
        <v>31</v>
      </c>
      <c r="W147" s="55">
        <v>0</v>
      </c>
      <c r="X147" s="54">
        <f>Q147*T147</f>
        <v>0</v>
      </c>
      <c r="Y147" s="54">
        <f>U147</f>
        <v>21</v>
      </c>
      <c r="Z147" s="56">
        <f>B147</f>
        <v>11094</v>
      </c>
      <c r="AA147" s="50" t="s">
        <v>197</v>
      </c>
      <c r="AB147" s="56">
        <v>739020</v>
      </c>
      <c r="AC147" s="89">
        <v>0</v>
      </c>
    </row>
    <row r="148" spans="1:29" ht="12" customHeight="1">
      <c r="A148" s="85" t="s">
        <v>22</v>
      </c>
      <c r="B148" s="107">
        <f>VLOOKUP(A148,'[3]Summer Data Sheet 17-18'!$C$366:$D$488,2,0)</f>
        <v>11094</v>
      </c>
      <c r="C148" s="86"/>
      <c r="D148" s="87" t="s">
        <v>287</v>
      </c>
      <c r="E148" s="91" t="s">
        <v>173</v>
      </c>
      <c r="F148" s="91" t="s">
        <v>27</v>
      </c>
      <c r="G148" s="95">
        <f>18.5/27.5</f>
        <v>0.6727272727272727</v>
      </c>
      <c r="H148" s="91" t="s">
        <v>25</v>
      </c>
      <c r="I148" s="174">
        <v>0</v>
      </c>
      <c r="J148" s="174">
        <v>5</v>
      </c>
      <c r="K148" s="174">
        <v>2</v>
      </c>
      <c r="L148" s="174">
        <v>0</v>
      </c>
      <c r="M148" s="174">
        <f>SUM(I148:L148)</f>
        <v>7</v>
      </c>
      <c r="N148" s="115">
        <v>43153</v>
      </c>
      <c r="O148" s="115">
        <v>43190</v>
      </c>
      <c r="P148" s="51">
        <v>175</v>
      </c>
      <c r="Q148" s="52">
        <v>117.73</v>
      </c>
      <c r="R148" s="53">
        <v>35</v>
      </c>
      <c r="S148" s="53" t="s">
        <v>196</v>
      </c>
      <c r="T148" s="135" t="s">
        <v>196</v>
      </c>
      <c r="U148" s="123">
        <v>7</v>
      </c>
      <c r="V148" s="104" t="s">
        <v>31</v>
      </c>
      <c r="W148" s="55">
        <v>0</v>
      </c>
      <c r="X148" s="54">
        <f>Q148*T148</f>
        <v>0</v>
      </c>
      <c r="Y148" s="54">
        <f>U148</f>
        <v>7</v>
      </c>
      <c r="Z148" s="56">
        <f>B148</f>
        <v>11094</v>
      </c>
      <c r="AA148" s="49" t="s">
        <v>197</v>
      </c>
      <c r="AB148" s="56">
        <v>739020</v>
      </c>
      <c r="AC148" s="89">
        <v>0</v>
      </c>
    </row>
    <row r="149" spans="1:29" ht="12" customHeight="1">
      <c r="A149" s="85" t="s">
        <v>22</v>
      </c>
      <c r="B149" s="107">
        <f>VLOOKUP(A149,'[3]Summer Data Sheet 17-18'!$C$366:$D$488,2,0)</f>
        <v>11094</v>
      </c>
      <c r="C149" s="86"/>
      <c r="D149" s="87" t="s">
        <v>288</v>
      </c>
      <c r="E149" s="91" t="s">
        <v>173</v>
      </c>
      <c r="F149" s="91" t="s">
        <v>27</v>
      </c>
      <c r="G149" s="95">
        <f>11/27.5</f>
        <v>0.4</v>
      </c>
      <c r="H149" s="91" t="s">
        <v>25</v>
      </c>
      <c r="I149" s="174">
        <v>0</v>
      </c>
      <c r="J149" s="174">
        <v>0</v>
      </c>
      <c r="K149" s="174">
        <v>7</v>
      </c>
      <c r="L149" s="174">
        <v>0</v>
      </c>
      <c r="M149" s="174">
        <f>SUM(I149:L149)</f>
        <v>7</v>
      </c>
      <c r="N149" s="115">
        <v>43153</v>
      </c>
      <c r="O149" s="115">
        <v>43190</v>
      </c>
      <c r="P149" s="51">
        <v>175</v>
      </c>
      <c r="Q149" s="52">
        <v>70</v>
      </c>
      <c r="R149" s="135">
        <v>35</v>
      </c>
      <c r="S149" s="53" t="s">
        <v>196</v>
      </c>
      <c r="T149" s="135" t="s">
        <v>196</v>
      </c>
      <c r="U149" s="123">
        <v>7</v>
      </c>
      <c r="V149" s="104" t="s">
        <v>31</v>
      </c>
      <c r="W149" s="55">
        <v>0</v>
      </c>
      <c r="X149" s="54">
        <f>Q149*T149</f>
        <v>0</v>
      </c>
      <c r="Y149" s="54">
        <f>U149</f>
        <v>7</v>
      </c>
      <c r="Z149" s="56">
        <f>B149</f>
        <v>11094</v>
      </c>
      <c r="AA149" s="49" t="s">
        <v>197</v>
      </c>
      <c r="AB149" s="56">
        <v>739020</v>
      </c>
      <c r="AC149" s="89">
        <v>0</v>
      </c>
    </row>
    <row r="150" spans="1:29" ht="12" customHeight="1">
      <c r="A150" s="85" t="s">
        <v>22</v>
      </c>
      <c r="B150" s="107">
        <f>VLOOKUP(A150,'[3]Summer Data Sheet 17-18'!$C$366:$D$488,2,0)</f>
        <v>11094</v>
      </c>
      <c r="C150" s="86"/>
      <c r="D150" s="87" t="s">
        <v>289</v>
      </c>
      <c r="E150" s="91" t="s">
        <v>173</v>
      </c>
      <c r="F150" s="91" t="s">
        <v>27</v>
      </c>
      <c r="G150" s="95">
        <f>11/27.5</f>
        <v>0.4</v>
      </c>
      <c r="H150" s="91" t="s">
        <v>30</v>
      </c>
      <c r="I150" s="174">
        <v>0</v>
      </c>
      <c r="J150" s="174">
        <v>0</v>
      </c>
      <c r="K150" s="174">
        <v>3</v>
      </c>
      <c r="L150" s="174">
        <v>0</v>
      </c>
      <c r="M150" s="174">
        <f>SUM(I150:L150)</f>
        <v>3</v>
      </c>
      <c r="N150" s="115">
        <v>43153</v>
      </c>
      <c r="O150" s="115">
        <v>43190</v>
      </c>
      <c r="P150" s="51">
        <v>175</v>
      </c>
      <c r="Q150" s="52">
        <v>70</v>
      </c>
      <c r="R150" s="135" t="s">
        <v>196</v>
      </c>
      <c r="S150" s="135" t="s">
        <v>196</v>
      </c>
      <c r="T150" s="53">
        <v>3</v>
      </c>
      <c r="U150" s="123">
        <v>3</v>
      </c>
      <c r="V150" s="104" t="s">
        <v>31</v>
      </c>
      <c r="W150" s="55">
        <v>210</v>
      </c>
      <c r="X150" s="54">
        <f>Q150*T150</f>
        <v>210</v>
      </c>
      <c r="Y150" s="54">
        <f>U150</f>
        <v>3</v>
      </c>
      <c r="Z150" s="56">
        <f>B150</f>
        <v>11094</v>
      </c>
      <c r="AA150" s="49" t="s">
        <v>197</v>
      </c>
      <c r="AB150" s="56">
        <v>739020</v>
      </c>
      <c r="AC150" s="89">
        <v>0</v>
      </c>
    </row>
    <row r="151" spans="1:29" ht="12" customHeight="1">
      <c r="A151" s="85" t="s">
        <v>22</v>
      </c>
      <c r="B151" s="107">
        <f>VLOOKUP(A151,'[3]Summer Data Sheet 17-18'!$C$366:$D$488,2,0)</f>
        <v>11094</v>
      </c>
      <c r="C151" s="87"/>
      <c r="D151" s="87" t="s">
        <v>290</v>
      </c>
      <c r="E151" s="91" t="s">
        <v>173</v>
      </c>
      <c r="F151" s="91" t="s">
        <v>27</v>
      </c>
      <c r="G151" s="95">
        <f>11/27.5</f>
        <v>0.4</v>
      </c>
      <c r="H151" s="91" t="s">
        <v>30</v>
      </c>
      <c r="I151" s="174">
        <v>0</v>
      </c>
      <c r="J151" s="174">
        <v>0</v>
      </c>
      <c r="K151" s="174">
        <v>9</v>
      </c>
      <c r="L151" s="174">
        <v>0</v>
      </c>
      <c r="M151" s="174">
        <f>SUM(I151:L151)</f>
        <v>9</v>
      </c>
      <c r="N151" s="115">
        <v>43153</v>
      </c>
      <c r="O151" s="115">
        <v>43190</v>
      </c>
      <c r="P151" s="51">
        <v>175</v>
      </c>
      <c r="Q151" s="52">
        <v>70</v>
      </c>
      <c r="R151" s="135" t="s">
        <v>196</v>
      </c>
      <c r="S151" s="135" t="s">
        <v>196</v>
      </c>
      <c r="T151" s="53">
        <v>9</v>
      </c>
      <c r="U151" s="123">
        <v>9</v>
      </c>
      <c r="V151" s="104" t="s">
        <v>31</v>
      </c>
      <c r="W151" s="55">
        <v>630</v>
      </c>
      <c r="X151" s="54">
        <f>Q151*T151</f>
        <v>630</v>
      </c>
      <c r="Y151" s="54">
        <f>U151</f>
        <v>9</v>
      </c>
      <c r="Z151" s="56">
        <f>B151</f>
        <v>11094</v>
      </c>
      <c r="AA151" s="49" t="s">
        <v>197</v>
      </c>
      <c r="AB151" s="56">
        <v>739020</v>
      </c>
      <c r="AC151" s="89">
        <v>0</v>
      </c>
    </row>
    <row r="152" spans="1:29" ht="12" customHeight="1">
      <c r="A152" s="85" t="s">
        <v>22</v>
      </c>
      <c r="B152" s="107">
        <f>VLOOKUP(A152,'[3]Summer Data Sheet 17-18'!$C$366:$D$488,2,0)</f>
        <v>11094</v>
      </c>
      <c r="C152" s="87"/>
      <c r="D152" s="87" t="s">
        <v>29</v>
      </c>
      <c r="E152" s="91" t="s">
        <v>173</v>
      </c>
      <c r="F152" s="91" t="s">
        <v>27</v>
      </c>
      <c r="G152" s="95">
        <v>1</v>
      </c>
      <c r="H152" s="91" t="s">
        <v>25</v>
      </c>
      <c r="I152" s="174">
        <v>1</v>
      </c>
      <c r="J152" s="174">
        <v>15</v>
      </c>
      <c r="K152" s="174">
        <v>21</v>
      </c>
      <c r="L152" s="174">
        <v>0</v>
      </c>
      <c r="M152" s="174">
        <f>SUM(I152:L152)</f>
        <v>37</v>
      </c>
      <c r="N152" s="115">
        <v>43131</v>
      </c>
      <c r="O152" s="115">
        <v>43190</v>
      </c>
      <c r="P152" s="51">
        <v>175</v>
      </c>
      <c r="Q152" s="52">
        <v>175</v>
      </c>
      <c r="R152" s="135">
        <v>35</v>
      </c>
      <c r="S152" s="135" t="s">
        <v>196</v>
      </c>
      <c r="T152" s="53">
        <v>2</v>
      </c>
      <c r="U152" s="123">
        <v>37</v>
      </c>
      <c r="V152" s="104" t="s">
        <v>31</v>
      </c>
      <c r="W152" s="55">
        <v>350</v>
      </c>
      <c r="X152" s="54">
        <f>Q152*T152</f>
        <v>350</v>
      </c>
      <c r="Y152" s="54">
        <f>U152</f>
        <v>37</v>
      </c>
      <c r="Z152" s="56">
        <f>B152</f>
        <v>11094</v>
      </c>
      <c r="AA152" s="49" t="s">
        <v>197</v>
      </c>
      <c r="AB152" s="56">
        <v>739020</v>
      </c>
      <c r="AC152" s="89">
        <v>0</v>
      </c>
    </row>
    <row r="153" spans="1:29" ht="12" customHeight="1">
      <c r="A153" s="85" t="s">
        <v>83</v>
      </c>
      <c r="B153" s="107">
        <f>VLOOKUP(A153,'[3]Summer Data Sheet 17-18'!$C$366:$D$488,2,0)</f>
        <v>11174</v>
      </c>
      <c r="C153" s="86"/>
      <c r="D153" s="87" t="s">
        <v>29</v>
      </c>
      <c r="E153" s="91" t="s">
        <v>173</v>
      </c>
      <c r="F153" s="96" t="s">
        <v>27</v>
      </c>
      <c r="G153" s="97">
        <f>22/27.5</f>
        <v>0.8</v>
      </c>
      <c r="H153" s="91" t="s">
        <v>25</v>
      </c>
      <c r="I153" s="174">
        <v>17</v>
      </c>
      <c r="J153" s="174">
        <v>15</v>
      </c>
      <c r="K153" s="174">
        <v>12</v>
      </c>
      <c r="L153" s="174">
        <v>0</v>
      </c>
      <c r="M153" s="174">
        <f>SUM(I153:L153)</f>
        <v>44</v>
      </c>
      <c r="N153" s="115">
        <v>43109</v>
      </c>
      <c r="O153" s="115">
        <v>43175</v>
      </c>
      <c r="P153" s="51">
        <v>175</v>
      </c>
      <c r="Q153" s="52">
        <v>140</v>
      </c>
      <c r="R153" s="135">
        <v>35</v>
      </c>
      <c r="S153" s="135" t="s">
        <v>196</v>
      </c>
      <c r="T153" s="53">
        <v>9</v>
      </c>
      <c r="U153" s="123">
        <v>44</v>
      </c>
      <c r="V153" s="104" t="s">
        <v>31</v>
      </c>
      <c r="W153" s="55">
        <v>1260</v>
      </c>
      <c r="X153" s="54">
        <f>Q153*T153</f>
        <v>1260</v>
      </c>
      <c r="Y153" s="54">
        <f>U153</f>
        <v>44</v>
      </c>
      <c r="Z153" s="56">
        <f>B153</f>
        <v>11174</v>
      </c>
      <c r="AA153" s="49" t="s">
        <v>197</v>
      </c>
      <c r="AB153" s="56">
        <v>739020</v>
      </c>
      <c r="AC153" s="89">
        <v>0</v>
      </c>
    </row>
    <row r="154" spans="1:29" ht="12" customHeight="1">
      <c r="A154" s="85" t="s">
        <v>83</v>
      </c>
      <c r="B154" s="107">
        <f>VLOOKUP(A154,'[3]Summer Data Sheet 17-18'!$C$366:$D$488,2,0)</f>
        <v>11174</v>
      </c>
      <c r="C154" s="86"/>
      <c r="D154" s="87" t="s">
        <v>29</v>
      </c>
      <c r="E154" s="91" t="s">
        <v>173</v>
      </c>
      <c r="F154" s="96" t="s">
        <v>63</v>
      </c>
      <c r="G154" s="95">
        <f>(36*40)/1728</f>
        <v>0.8333333333333334</v>
      </c>
      <c r="H154" s="91" t="s">
        <v>25</v>
      </c>
      <c r="I154" s="174">
        <f>9+22</f>
        <v>31</v>
      </c>
      <c r="J154" s="174">
        <v>7</v>
      </c>
      <c r="K154" s="174">
        <v>0</v>
      </c>
      <c r="L154" s="174">
        <v>0</v>
      </c>
      <c r="M154" s="174">
        <f>SUM(I154:L154)</f>
        <v>38</v>
      </c>
      <c r="N154" s="115">
        <v>43077</v>
      </c>
      <c r="O154" s="115">
        <v>43146</v>
      </c>
      <c r="P154" s="51">
        <v>93</v>
      </c>
      <c r="Q154" s="52">
        <v>77.5</v>
      </c>
      <c r="R154" s="53">
        <v>35</v>
      </c>
      <c r="S154" s="53" t="s">
        <v>196</v>
      </c>
      <c r="T154" s="135">
        <v>3</v>
      </c>
      <c r="U154" s="123">
        <v>38</v>
      </c>
      <c r="V154" s="104" t="s">
        <v>31</v>
      </c>
      <c r="W154" s="55">
        <v>232.5</v>
      </c>
      <c r="X154" s="54">
        <f>Q154*T154</f>
        <v>232.5</v>
      </c>
      <c r="Y154" s="54">
        <f>U154</f>
        <v>38</v>
      </c>
      <c r="Z154" s="56">
        <f>B154</f>
        <v>11174</v>
      </c>
      <c r="AA154" s="49" t="s">
        <v>198</v>
      </c>
      <c r="AB154" s="56">
        <v>739030</v>
      </c>
      <c r="AC154" s="89">
        <v>0</v>
      </c>
    </row>
    <row r="155" spans="1:29" ht="12" customHeight="1">
      <c r="A155" s="85" t="s">
        <v>83</v>
      </c>
      <c r="B155" s="107">
        <f>VLOOKUP(A155,'[3]Summer Data Sheet 17-18'!$C$366:$D$488,2,0)</f>
        <v>11174</v>
      </c>
      <c r="C155" s="86"/>
      <c r="D155" s="87" t="s">
        <v>29</v>
      </c>
      <c r="E155" s="91" t="s">
        <v>173</v>
      </c>
      <c r="F155" s="96" t="s">
        <v>63</v>
      </c>
      <c r="G155" s="95">
        <f>(36*40)/1728</f>
        <v>0.8333333333333334</v>
      </c>
      <c r="H155" s="91" t="s">
        <v>25</v>
      </c>
      <c r="I155" s="174">
        <f>13+22</f>
        <v>35</v>
      </c>
      <c r="J155" s="174">
        <v>15</v>
      </c>
      <c r="K155" s="174">
        <v>21</v>
      </c>
      <c r="L155" s="174">
        <v>0</v>
      </c>
      <c r="M155" s="174">
        <f>SUM(I155:L155)</f>
        <v>71</v>
      </c>
      <c r="N155" s="115">
        <v>43438</v>
      </c>
      <c r="O155" s="115">
        <v>43190</v>
      </c>
      <c r="P155" s="51">
        <v>93</v>
      </c>
      <c r="Q155" s="52">
        <v>77.5</v>
      </c>
      <c r="R155" s="53">
        <v>35</v>
      </c>
      <c r="S155" s="53" t="s">
        <v>196</v>
      </c>
      <c r="T155" s="135">
        <v>36</v>
      </c>
      <c r="U155" s="123">
        <v>71</v>
      </c>
      <c r="V155" s="104" t="s">
        <v>31</v>
      </c>
      <c r="W155" s="55">
        <v>2790</v>
      </c>
      <c r="X155" s="54">
        <f>Q155*T155</f>
        <v>2790</v>
      </c>
      <c r="Y155" s="54">
        <f>U155</f>
        <v>71</v>
      </c>
      <c r="Z155" s="56">
        <f>B155</f>
        <v>11174</v>
      </c>
      <c r="AA155" s="49" t="s">
        <v>198</v>
      </c>
      <c r="AB155" s="56">
        <v>739030</v>
      </c>
      <c r="AC155" s="89">
        <v>0</v>
      </c>
    </row>
    <row r="156" spans="1:29" ht="12" customHeight="1">
      <c r="A156" s="85" t="s">
        <v>83</v>
      </c>
      <c r="B156" s="107">
        <f>VLOOKUP(A156,'[3]Summer Data Sheet 17-18'!$C$366:$D$488,2,0)</f>
        <v>11174</v>
      </c>
      <c r="C156" s="87"/>
      <c r="D156" s="87" t="s">
        <v>29</v>
      </c>
      <c r="E156" s="91" t="s">
        <v>173</v>
      </c>
      <c r="F156" s="96" t="s">
        <v>27</v>
      </c>
      <c r="G156" s="97">
        <v>1</v>
      </c>
      <c r="H156" s="91" t="s">
        <v>25</v>
      </c>
      <c r="I156" s="174">
        <v>13</v>
      </c>
      <c r="J156" s="174">
        <v>15</v>
      </c>
      <c r="K156" s="174">
        <v>21</v>
      </c>
      <c r="L156" s="174">
        <v>0</v>
      </c>
      <c r="M156" s="174">
        <f>SUM(I156:L156)</f>
        <v>49</v>
      </c>
      <c r="N156" s="115">
        <v>43115</v>
      </c>
      <c r="O156" s="115">
        <v>43190</v>
      </c>
      <c r="P156" s="51">
        <v>175</v>
      </c>
      <c r="Q156" s="52">
        <v>175</v>
      </c>
      <c r="R156" s="135">
        <v>35</v>
      </c>
      <c r="S156" s="135" t="s">
        <v>196</v>
      </c>
      <c r="T156" s="53">
        <v>14</v>
      </c>
      <c r="U156" s="123">
        <v>49</v>
      </c>
      <c r="V156" s="104" t="s">
        <v>31</v>
      </c>
      <c r="W156" s="55">
        <v>2450</v>
      </c>
      <c r="X156" s="54">
        <f>Q156*T156</f>
        <v>2450</v>
      </c>
      <c r="Y156" s="54">
        <f>U156</f>
        <v>49</v>
      </c>
      <c r="Z156" s="56">
        <f>B156</f>
        <v>11174</v>
      </c>
      <c r="AA156" s="49" t="s">
        <v>197</v>
      </c>
      <c r="AB156" s="56">
        <v>739020</v>
      </c>
      <c r="AC156" s="89">
        <v>0</v>
      </c>
    </row>
    <row r="157" spans="1:29" ht="12" customHeight="1">
      <c r="A157" s="85" t="s">
        <v>83</v>
      </c>
      <c r="B157" s="108">
        <f>VLOOKUP(A157,'[3]Summer Data Sheet 17-18'!$C$366:$D$488,2,0)</f>
        <v>11174</v>
      </c>
      <c r="C157" s="87"/>
      <c r="D157" s="87" t="s">
        <v>29</v>
      </c>
      <c r="E157" s="96" t="s">
        <v>173</v>
      </c>
      <c r="F157" s="96" t="s">
        <v>27</v>
      </c>
      <c r="G157" s="95">
        <v>1</v>
      </c>
      <c r="H157" s="96" t="s">
        <v>25</v>
      </c>
      <c r="I157" s="174">
        <v>0</v>
      </c>
      <c r="J157" s="174">
        <v>13</v>
      </c>
      <c r="K157" s="174">
        <v>21</v>
      </c>
      <c r="L157" s="174">
        <v>0</v>
      </c>
      <c r="M157" s="174">
        <f>SUM(I157:L157)</f>
        <v>34</v>
      </c>
      <c r="N157" s="115">
        <v>43136</v>
      </c>
      <c r="O157" s="115">
        <v>43190</v>
      </c>
      <c r="P157" s="51">
        <v>175</v>
      </c>
      <c r="Q157" s="52">
        <v>175</v>
      </c>
      <c r="R157" s="53">
        <v>35</v>
      </c>
      <c r="S157" s="53" t="s">
        <v>196</v>
      </c>
      <c r="T157" s="135" t="s">
        <v>196</v>
      </c>
      <c r="U157" s="123">
        <v>34</v>
      </c>
      <c r="V157" s="104" t="s">
        <v>31</v>
      </c>
      <c r="W157" s="55">
        <v>0</v>
      </c>
      <c r="X157" s="54">
        <f>Q157*T157</f>
        <v>0</v>
      </c>
      <c r="Y157" s="54">
        <f>U157</f>
        <v>34</v>
      </c>
      <c r="Z157" s="56">
        <f>B157</f>
        <v>11174</v>
      </c>
      <c r="AA157" s="49" t="s">
        <v>197</v>
      </c>
      <c r="AB157" s="56">
        <v>739020</v>
      </c>
      <c r="AC157" s="89">
        <v>0</v>
      </c>
    </row>
    <row r="158" spans="1:29" ht="12" customHeight="1">
      <c r="A158" s="85" t="s">
        <v>272</v>
      </c>
      <c r="B158" s="107">
        <f>VLOOKUP(A158,'[3]Summer Data Sheet 17-18'!$C$366:$D$488,2,0)</f>
        <v>11513</v>
      </c>
      <c r="C158" s="86"/>
      <c r="D158" s="86" t="s">
        <v>317</v>
      </c>
      <c r="E158" s="91" t="s">
        <v>173</v>
      </c>
      <c r="F158" s="96" t="s">
        <v>24</v>
      </c>
      <c r="G158" s="97">
        <v>0.14</v>
      </c>
      <c r="H158" s="91" t="s">
        <v>25</v>
      </c>
      <c r="I158" s="174">
        <v>0</v>
      </c>
      <c r="J158" s="174">
        <v>15</v>
      </c>
      <c r="K158" s="174">
        <v>21</v>
      </c>
      <c r="L158" s="174">
        <v>0</v>
      </c>
      <c r="M158" s="174">
        <f>SUM(I158:L158)</f>
        <v>36</v>
      </c>
      <c r="N158" s="115">
        <v>43132</v>
      </c>
      <c r="O158" s="115">
        <v>43190</v>
      </c>
      <c r="P158" s="51">
        <v>175</v>
      </c>
      <c r="Q158" s="51">
        <v>24.5</v>
      </c>
      <c r="R158" s="53">
        <v>0</v>
      </c>
      <c r="S158" s="53" t="s">
        <v>196</v>
      </c>
      <c r="T158" s="135" t="s">
        <v>196</v>
      </c>
      <c r="U158" s="123">
        <v>36</v>
      </c>
      <c r="V158" s="104" t="s">
        <v>264</v>
      </c>
      <c r="W158" s="55">
        <v>882</v>
      </c>
      <c r="X158" s="54">
        <f>Q158*T158</f>
        <v>0</v>
      </c>
      <c r="Y158" s="54">
        <f>U158</f>
        <v>36</v>
      </c>
      <c r="Z158" s="56">
        <f>B158</f>
        <v>11513</v>
      </c>
      <c r="AA158" s="49" t="s">
        <v>197</v>
      </c>
      <c r="AB158" s="56">
        <v>739020</v>
      </c>
      <c r="AC158" s="89">
        <v>0</v>
      </c>
    </row>
    <row r="159" spans="1:29" ht="12" customHeight="1">
      <c r="A159" s="85" t="s">
        <v>109</v>
      </c>
      <c r="B159" s="107" t="str">
        <f>VLOOKUP(A159,'[3]Summer Data Sheet 17-18'!$C$366:$D$488,2,0)</f>
        <v>10098A</v>
      </c>
      <c r="C159" s="86"/>
      <c r="D159" s="87" t="s">
        <v>26</v>
      </c>
      <c r="E159" s="91" t="s">
        <v>173</v>
      </c>
      <c r="F159" s="96" t="s">
        <v>27</v>
      </c>
      <c r="G159" s="95">
        <v>1</v>
      </c>
      <c r="H159" s="91" t="s">
        <v>25</v>
      </c>
      <c r="I159" s="174">
        <v>2</v>
      </c>
      <c r="J159" s="174">
        <v>15</v>
      </c>
      <c r="K159" s="174">
        <v>18</v>
      </c>
      <c r="L159" s="174">
        <v>0</v>
      </c>
      <c r="M159" s="174">
        <f>SUM(I159:L159)</f>
        <v>35</v>
      </c>
      <c r="N159" s="115">
        <v>43130</v>
      </c>
      <c r="O159" s="115">
        <v>43190</v>
      </c>
      <c r="P159" s="51">
        <v>175</v>
      </c>
      <c r="Q159" s="52">
        <v>175</v>
      </c>
      <c r="R159" s="135">
        <v>15</v>
      </c>
      <c r="S159" s="135">
        <v>20</v>
      </c>
      <c r="T159" s="53" t="s">
        <v>196</v>
      </c>
      <c r="U159" s="123">
        <v>35</v>
      </c>
      <c r="V159" s="104" t="s">
        <v>28</v>
      </c>
      <c r="W159" s="55">
        <v>3500</v>
      </c>
      <c r="X159" s="54">
        <f>Q159*T159</f>
        <v>0</v>
      </c>
      <c r="Y159" s="54">
        <f>U159</f>
        <v>35</v>
      </c>
      <c r="Z159" s="56" t="str">
        <f>B159</f>
        <v>10098A</v>
      </c>
      <c r="AA159" s="49" t="s">
        <v>197</v>
      </c>
      <c r="AB159" s="56">
        <v>739020</v>
      </c>
      <c r="AC159" s="89">
        <v>0</v>
      </c>
    </row>
    <row r="160" spans="1:29" ht="12" customHeight="1">
      <c r="A160" s="85" t="s">
        <v>109</v>
      </c>
      <c r="B160" s="107" t="str">
        <f>VLOOKUP(A160,'[3]Summer Data Sheet 17-18'!$C$366:$D$488,2,0)</f>
        <v>10098A</v>
      </c>
      <c r="C160" s="87"/>
      <c r="D160" s="87" t="s">
        <v>29</v>
      </c>
      <c r="E160" s="91" t="s">
        <v>173</v>
      </c>
      <c r="F160" s="96" t="s">
        <v>27</v>
      </c>
      <c r="G160" s="95">
        <v>1</v>
      </c>
      <c r="H160" s="91" t="s">
        <v>30</v>
      </c>
      <c r="I160" s="174">
        <v>0</v>
      </c>
      <c r="J160" s="174">
        <v>0</v>
      </c>
      <c r="K160" s="174">
        <v>3</v>
      </c>
      <c r="L160" s="174">
        <v>0</v>
      </c>
      <c r="M160" s="174">
        <f>SUM(I160:L160)</f>
        <v>3</v>
      </c>
      <c r="N160" s="115">
        <v>43130</v>
      </c>
      <c r="O160" s="115">
        <v>43190</v>
      </c>
      <c r="P160" s="51">
        <v>175</v>
      </c>
      <c r="Q160" s="52">
        <v>175</v>
      </c>
      <c r="R160" s="135" t="s">
        <v>196</v>
      </c>
      <c r="S160" s="135" t="s">
        <v>196</v>
      </c>
      <c r="T160" s="53">
        <v>3</v>
      </c>
      <c r="U160" s="123">
        <v>3</v>
      </c>
      <c r="V160" s="104" t="s">
        <v>31</v>
      </c>
      <c r="W160" s="55">
        <v>525</v>
      </c>
      <c r="X160" s="54">
        <f>Q160*T160</f>
        <v>525</v>
      </c>
      <c r="Y160" s="54">
        <f>U160</f>
        <v>3</v>
      </c>
      <c r="Z160" s="56" t="str">
        <f>B160</f>
        <v>10098A</v>
      </c>
      <c r="AA160" s="49" t="s">
        <v>197</v>
      </c>
      <c r="AB160" s="56">
        <v>739020</v>
      </c>
      <c r="AC160" s="89">
        <v>0</v>
      </c>
    </row>
    <row r="161" spans="1:29" ht="12" customHeight="1">
      <c r="A161" s="85" t="s">
        <v>109</v>
      </c>
      <c r="B161" s="107" t="str">
        <f>VLOOKUP(A161,'[3]Summer Data Sheet 17-18'!$C$366:$D$488,2,0)</f>
        <v>10098A</v>
      </c>
      <c r="C161" s="87"/>
      <c r="D161" s="87" t="s">
        <v>26</v>
      </c>
      <c r="E161" s="91" t="s">
        <v>173</v>
      </c>
      <c r="F161" s="96" t="s">
        <v>63</v>
      </c>
      <c r="G161" s="97">
        <v>0.56</v>
      </c>
      <c r="H161" s="91" t="s">
        <v>25</v>
      </c>
      <c r="I161" s="174">
        <v>0</v>
      </c>
      <c r="J161" s="174">
        <v>13</v>
      </c>
      <c r="K161" s="174">
        <v>21</v>
      </c>
      <c r="L161" s="174">
        <v>0</v>
      </c>
      <c r="M161" s="174">
        <f>SUM(I161:L161)</f>
        <v>34</v>
      </c>
      <c r="N161" s="115">
        <v>43136</v>
      </c>
      <c r="O161" s="115">
        <v>43190</v>
      </c>
      <c r="P161" s="51">
        <v>93</v>
      </c>
      <c r="Q161" s="52">
        <v>52.08</v>
      </c>
      <c r="R161" s="135">
        <v>15</v>
      </c>
      <c r="S161" s="135">
        <v>19</v>
      </c>
      <c r="T161" s="53" t="s">
        <v>196</v>
      </c>
      <c r="U161" s="123">
        <v>34</v>
      </c>
      <c r="V161" s="104" t="s">
        <v>28</v>
      </c>
      <c r="W161" s="55">
        <v>989.52</v>
      </c>
      <c r="X161" s="54">
        <f>Q161*T161</f>
        <v>0</v>
      </c>
      <c r="Y161" s="54">
        <f>U161</f>
        <v>34</v>
      </c>
      <c r="Z161" s="56" t="str">
        <f>B161</f>
        <v>10098A</v>
      </c>
      <c r="AA161" s="49" t="s">
        <v>198</v>
      </c>
      <c r="AB161" s="56">
        <v>739030</v>
      </c>
      <c r="AC161" s="89">
        <v>0</v>
      </c>
    </row>
    <row r="162" spans="1:29" ht="12" customHeight="1">
      <c r="A162" s="85" t="s">
        <v>109</v>
      </c>
      <c r="B162" s="107" t="str">
        <f>VLOOKUP(A162,'[3]Summer Data Sheet 17-18'!$C$366:$D$488,2,0)</f>
        <v>10098A</v>
      </c>
      <c r="C162" s="118"/>
      <c r="D162" s="87" t="s">
        <v>26</v>
      </c>
      <c r="E162" s="91" t="s">
        <v>173</v>
      </c>
      <c r="F162" s="96" t="s">
        <v>119</v>
      </c>
      <c r="G162" s="95">
        <v>0.76</v>
      </c>
      <c r="H162" s="91" t="s">
        <v>25</v>
      </c>
      <c r="I162" s="174">
        <v>22</v>
      </c>
      <c r="J162" s="174">
        <v>13</v>
      </c>
      <c r="K162" s="174">
        <v>0</v>
      </c>
      <c r="L162" s="174">
        <v>0</v>
      </c>
      <c r="M162" s="174">
        <f>SUM(I162:L162)</f>
        <v>35</v>
      </c>
      <c r="N162" s="115">
        <v>43102</v>
      </c>
      <c r="O162" s="115">
        <v>43189</v>
      </c>
      <c r="P162" s="51">
        <v>9.45</v>
      </c>
      <c r="Q162" s="51">
        <v>7.18</v>
      </c>
      <c r="R162" s="135">
        <v>15</v>
      </c>
      <c r="S162" s="135">
        <v>20</v>
      </c>
      <c r="T162" s="53" t="s">
        <v>196</v>
      </c>
      <c r="U162" s="123">
        <v>35</v>
      </c>
      <c r="V162" s="104" t="s">
        <v>28</v>
      </c>
      <c r="W162" s="55">
        <v>143.6</v>
      </c>
      <c r="X162" s="54">
        <f>Q162*T162</f>
        <v>0</v>
      </c>
      <c r="Y162" s="54">
        <f>U162</f>
        <v>35</v>
      </c>
      <c r="Z162" s="56" t="str">
        <f>B162</f>
        <v>10098A</v>
      </c>
      <c r="AA162" s="49" t="s">
        <v>198</v>
      </c>
      <c r="AB162" s="56">
        <v>739030</v>
      </c>
      <c r="AC162" s="89">
        <v>0</v>
      </c>
    </row>
    <row r="163" spans="1:29" ht="12" customHeight="1">
      <c r="A163" s="85" t="s">
        <v>109</v>
      </c>
      <c r="B163" s="107" t="str">
        <f>VLOOKUP(A163,'[3]Summer Data Sheet 17-18'!$C$366:$D$488,2,0)</f>
        <v>10098A</v>
      </c>
      <c r="C163" s="86"/>
      <c r="D163" s="87" t="s">
        <v>29</v>
      </c>
      <c r="E163" s="91" t="s">
        <v>173</v>
      </c>
      <c r="F163" s="96" t="s">
        <v>119</v>
      </c>
      <c r="G163" s="95">
        <v>0.76</v>
      </c>
      <c r="H163" s="91" t="s">
        <v>30</v>
      </c>
      <c r="I163" s="174">
        <v>0</v>
      </c>
      <c r="J163" s="174">
        <v>2</v>
      </c>
      <c r="K163" s="174">
        <v>21</v>
      </c>
      <c r="L163" s="174">
        <v>0</v>
      </c>
      <c r="M163" s="174">
        <f>SUM(I163:L163)</f>
        <v>23</v>
      </c>
      <c r="N163" s="115">
        <v>43102</v>
      </c>
      <c r="O163" s="115">
        <v>43189</v>
      </c>
      <c r="P163" s="51">
        <v>9.45</v>
      </c>
      <c r="Q163" s="52">
        <v>7.18</v>
      </c>
      <c r="R163" s="135" t="s">
        <v>196</v>
      </c>
      <c r="S163" s="135" t="s">
        <v>196</v>
      </c>
      <c r="T163" s="53">
        <v>23</v>
      </c>
      <c r="U163" s="123">
        <v>23</v>
      </c>
      <c r="V163" s="104" t="s">
        <v>31</v>
      </c>
      <c r="W163" s="55">
        <v>165.14</v>
      </c>
      <c r="X163" s="54">
        <f>Q163*T163</f>
        <v>165.14</v>
      </c>
      <c r="Y163" s="54">
        <f>U163</f>
        <v>23</v>
      </c>
      <c r="Z163" s="56" t="str">
        <f>B163</f>
        <v>10098A</v>
      </c>
      <c r="AA163" s="49" t="s">
        <v>198</v>
      </c>
      <c r="AB163" s="56">
        <v>739030</v>
      </c>
      <c r="AC163" s="89">
        <v>0</v>
      </c>
    </row>
    <row r="164" spans="1:29" ht="12" customHeight="1">
      <c r="A164" s="85" t="s">
        <v>100</v>
      </c>
      <c r="B164" s="107" t="str">
        <f>VLOOKUP(A164,'[3]Summer Data Sheet 17-18'!$C$366:$D$488,2,0)</f>
        <v>10120A</v>
      </c>
      <c r="C164" s="86"/>
      <c r="D164" s="87" t="s">
        <v>29</v>
      </c>
      <c r="E164" s="91" t="s">
        <v>173</v>
      </c>
      <c r="F164" s="96" t="s">
        <v>123</v>
      </c>
      <c r="G164" s="97">
        <v>1</v>
      </c>
      <c r="H164" s="91" t="s">
        <v>30</v>
      </c>
      <c r="I164" s="174">
        <v>22</v>
      </c>
      <c r="J164" s="174">
        <v>11</v>
      </c>
      <c r="K164" s="174">
        <v>0</v>
      </c>
      <c r="L164" s="174">
        <v>0</v>
      </c>
      <c r="M164" s="174">
        <f>SUM(I164:L164)</f>
        <v>33</v>
      </c>
      <c r="N164" s="115">
        <v>43101</v>
      </c>
      <c r="O164" s="115">
        <v>43153</v>
      </c>
      <c r="P164" s="51">
        <v>82</v>
      </c>
      <c r="Q164" s="52">
        <v>82</v>
      </c>
      <c r="R164" s="53" t="s">
        <v>196</v>
      </c>
      <c r="S164" s="135" t="s">
        <v>196</v>
      </c>
      <c r="T164" s="135">
        <v>33</v>
      </c>
      <c r="U164" s="123">
        <v>33</v>
      </c>
      <c r="V164" s="104" t="s">
        <v>31</v>
      </c>
      <c r="W164" s="55">
        <v>2706</v>
      </c>
      <c r="X164" s="54">
        <f>Q164*T164</f>
        <v>2706</v>
      </c>
      <c r="Y164" s="54">
        <f>U164</f>
        <v>33</v>
      </c>
      <c r="Z164" s="56" t="str">
        <f>B164</f>
        <v>10120A</v>
      </c>
      <c r="AA164" s="49" t="s">
        <v>198</v>
      </c>
      <c r="AB164" s="56">
        <v>739030</v>
      </c>
      <c r="AC164" s="89">
        <v>0</v>
      </c>
    </row>
    <row r="165" spans="1:29" ht="12" customHeight="1">
      <c r="A165" s="85" t="s">
        <v>100</v>
      </c>
      <c r="B165" s="107" t="str">
        <f>VLOOKUP(A165,'[3]Summer Data Sheet 17-18'!$C$366:$D$488,2,0)</f>
        <v>10120A</v>
      </c>
      <c r="C165" s="86"/>
      <c r="D165" s="87" t="s">
        <v>328</v>
      </c>
      <c r="E165" s="91" t="s">
        <v>173</v>
      </c>
      <c r="F165" s="96" t="s">
        <v>24</v>
      </c>
      <c r="G165" s="95">
        <v>1</v>
      </c>
      <c r="H165" s="96" t="s">
        <v>25</v>
      </c>
      <c r="I165" s="174">
        <v>0</v>
      </c>
      <c r="J165" s="174">
        <v>0</v>
      </c>
      <c r="K165" s="174">
        <v>5</v>
      </c>
      <c r="L165" s="174">
        <v>0</v>
      </c>
      <c r="M165" s="174">
        <f>SUM(I165:L165)</f>
        <v>5</v>
      </c>
      <c r="N165" s="88">
        <v>43182</v>
      </c>
      <c r="O165" s="115">
        <v>43190</v>
      </c>
      <c r="P165" s="51">
        <v>175</v>
      </c>
      <c r="Q165" s="52">
        <v>175</v>
      </c>
      <c r="R165" s="53">
        <v>0</v>
      </c>
      <c r="S165" s="53" t="s">
        <v>196</v>
      </c>
      <c r="T165" s="135" t="s">
        <v>196</v>
      </c>
      <c r="U165" s="123">
        <v>5</v>
      </c>
      <c r="V165" s="104" t="s">
        <v>264</v>
      </c>
      <c r="W165" s="55">
        <v>875</v>
      </c>
      <c r="X165" s="54">
        <f>Q165*T165</f>
        <v>0</v>
      </c>
      <c r="Y165" s="54">
        <f>U165</f>
        <v>5</v>
      </c>
      <c r="Z165" s="56" t="str">
        <f>B165</f>
        <v>10120A</v>
      </c>
      <c r="AA165" s="49" t="s">
        <v>197</v>
      </c>
      <c r="AB165" s="56">
        <v>739020</v>
      </c>
      <c r="AC165" s="89">
        <v>0</v>
      </c>
    </row>
    <row r="166" spans="1:29" ht="12" customHeight="1">
      <c r="A166" s="85" t="s">
        <v>80</v>
      </c>
      <c r="B166" s="107" t="str">
        <f>VLOOKUP(A166,'[3]Summer Data Sheet 17-18'!$C$366:$D$488,2,0)</f>
        <v>10122A</v>
      </c>
      <c r="C166" s="86"/>
      <c r="D166" s="87" t="s">
        <v>34</v>
      </c>
      <c r="E166" s="91" t="s">
        <v>173</v>
      </c>
      <c r="F166" s="96" t="s">
        <v>65</v>
      </c>
      <c r="G166" s="95">
        <v>0.68</v>
      </c>
      <c r="H166" s="91" t="s">
        <v>30</v>
      </c>
      <c r="I166" s="174">
        <v>14</v>
      </c>
      <c r="J166" s="174">
        <v>0</v>
      </c>
      <c r="K166" s="174">
        <v>0</v>
      </c>
      <c r="L166" s="174">
        <v>0</v>
      </c>
      <c r="M166" s="174">
        <f>SUM(I166:L166)</f>
        <v>14</v>
      </c>
      <c r="N166" s="115">
        <v>43101</v>
      </c>
      <c r="O166" s="115">
        <v>43190</v>
      </c>
      <c r="P166" s="51">
        <v>93</v>
      </c>
      <c r="Q166" s="52">
        <v>63.24</v>
      </c>
      <c r="R166" s="135" t="s">
        <v>196</v>
      </c>
      <c r="S166" s="135" t="s">
        <v>196</v>
      </c>
      <c r="T166" s="53" t="s">
        <v>196</v>
      </c>
      <c r="U166" s="123">
        <v>14</v>
      </c>
      <c r="V166" s="104" t="s">
        <v>264</v>
      </c>
      <c r="W166" s="55">
        <v>885.36</v>
      </c>
      <c r="X166" s="54">
        <f>Q166*T166</f>
        <v>0</v>
      </c>
      <c r="Y166" s="54">
        <f>U166</f>
        <v>14</v>
      </c>
      <c r="Z166" s="56" t="str">
        <f>B166</f>
        <v>10122A</v>
      </c>
      <c r="AA166" s="49" t="s">
        <v>198</v>
      </c>
      <c r="AB166" s="56">
        <v>739030</v>
      </c>
      <c r="AC166" s="89">
        <v>0</v>
      </c>
    </row>
    <row r="167" spans="1:30" ht="12" customHeight="1">
      <c r="A167" s="85" t="s">
        <v>80</v>
      </c>
      <c r="B167" s="107" t="str">
        <f>VLOOKUP(A167,'[3]Summer Data Sheet 17-18'!$C$366:$D$488,2,0)</f>
        <v>10122A</v>
      </c>
      <c r="C167" s="86"/>
      <c r="D167" s="87" t="s">
        <v>34</v>
      </c>
      <c r="E167" s="91" t="s">
        <v>173</v>
      </c>
      <c r="F167" s="96" t="s">
        <v>65</v>
      </c>
      <c r="G167" s="97">
        <v>0.77</v>
      </c>
      <c r="H167" s="91" t="s">
        <v>30</v>
      </c>
      <c r="I167" s="174">
        <v>22</v>
      </c>
      <c r="J167" s="174">
        <v>15</v>
      </c>
      <c r="K167" s="174">
        <v>9</v>
      </c>
      <c r="L167" s="174">
        <v>0</v>
      </c>
      <c r="M167" s="174">
        <f>SUM(I167:L167)</f>
        <v>46</v>
      </c>
      <c r="N167" s="115">
        <v>43101</v>
      </c>
      <c r="O167" s="115">
        <v>43190</v>
      </c>
      <c r="P167" s="51">
        <v>93</v>
      </c>
      <c r="Q167" s="52">
        <v>71.61</v>
      </c>
      <c r="R167" s="53" t="s">
        <v>196</v>
      </c>
      <c r="S167" s="53" t="s">
        <v>196</v>
      </c>
      <c r="T167" s="135" t="s">
        <v>196</v>
      </c>
      <c r="U167" s="123">
        <v>46</v>
      </c>
      <c r="V167" s="104" t="s">
        <v>264</v>
      </c>
      <c r="W167" s="55">
        <v>3294.06</v>
      </c>
      <c r="X167" s="54">
        <f>Q167*T167</f>
        <v>0</v>
      </c>
      <c r="Y167" s="54">
        <f>U167</f>
        <v>46</v>
      </c>
      <c r="Z167" s="56" t="str">
        <f>B167</f>
        <v>10122A</v>
      </c>
      <c r="AA167" s="49" t="s">
        <v>198</v>
      </c>
      <c r="AB167" s="56">
        <v>739030</v>
      </c>
      <c r="AC167" s="89">
        <v>0</v>
      </c>
      <c r="AD167" s="57"/>
    </row>
    <row r="168" spans="1:29" ht="12" customHeight="1">
      <c r="A168" s="85" t="s">
        <v>56</v>
      </c>
      <c r="B168" s="107" t="str">
        <f>VLOOKUP(A168,'[3]Summer Data Sheet 17-18'!$C$366:$D$488,2,0)</f>
        <v>10152A</v>
      </c>
      <c r="C168" s="86"/>
      <c r="D168" s="87" t="s">
        <v>26</v>
      </c>
      <c r="E168" s="91" t="s">
        <v>173</v>
      </c>
      <c r="F168" s="96" t="s">
        <v>27</v>
      </c>
      <c r="G168" s="95">
        <v>1</v>
      </c>
      <c r="H168" s="91" t="s">
        <v>25</v>
      </c>
      <c r="I168" s="174">
        <f>5+14+21-5</f>
        <v>35</v>
      </c>
      <c r="J168" s="174">
        <v>0</v>
      </c>
      <c r="K168" s="174">
        <v>0</v>
      </c>
      <c r="L168" s="174">
        <v>0</v>
      </c>
      <c r="M168" s="174">
        <f>SUM(I168:L168)</f>
        <v>35</v>
      </c>
      <c r="N168" s="88">
        <v>43063</v>
      </c>
      <c r="O168" s="115">
        <v>43130</v>
      </c>
      <c r="P168" s="51">
        <v>175</v>
      </c>
      <c r="Q168" s="52">
        <v>175</v>
      </c>
      <c r="R168" s="135">
        <v>15</v>
      </c>
      <c r="S168" s="135">
        <v>20</v>
      </c>
      <c r="T168" s="53" t="s">
        <v>196</v>
      </c>
      <c r="U168" s="123">
        <v>35</v>
      </c>
      <c r="V168" s="104" t="s">
        <v>28</v>
      </c>
      <c r="W168" s="55">
        <v>3500</v>
      </c>
      <c r="X168" s="54">
        <f>Q168*T168</f>
        <v>0</v>
      </c>
      <c r="Y168" s="54">
        <f>U168</f>
        <v>35</v>
      </c>
      <c r="Z168" s="56" t="str">
        <f>B168</f>
        <v>10152A</v>
      </c>
      <c r="AA168" s="49" t="s">
        <v>197</v>
      </c>
      <c r="AB168" s="56">
        <v>739020</v>
      </c>
      <c r="AC168" s="89">
        <v>0</v>
      </c>
    </row>
    <row r="169" spans="1:30" ht="12" customHeight="1">
      <c r="A169" s="85" t="s">
        <v>56</v>
      </c>
      <c r="B169" s="107" t="str">
        <f>VLOOKUP(A169,'[3]Summer Data Sheet 17-18'!$C$366:$D$488,2,0)</f>
        <v>10152A</v>
      </c>
      <c r="C169" s="86"/>
      <c r="D169" s="87" t="s">
        <v>29</v>
      </c>
      <c r="E169" s="91" t="s">
        <v>173</v>
      </c>
      <c r="F169" s="96" t="s">
        <v>27</v>
      </c>
      <c r="G169" s="97">
        <v>1</v>
      </c>
      <c r="H169" s="91" t="s">
        <v>30</v>
      </c>
      <c r="I169" s="174">
        <v>5</v>
      </c>
      <c r="J169" s="174">
        <v>0</v>
      </c>
      <c r="K169" s="174">
        <v>0</v>
      </c>
      <c r="L169" s="174">
        <v>0</v>
      </c>
      <c r="M169" s="174">
        <f>SUM(I169:L169)</f>
        <v>5</v>
      </c>
      <c r="N169" s="88">
        <v>43063</v>
      </c>
      <c r="O169" s="115">
        <v>43130</v>
      </c>
      <c r="P169" s="51">
        <v>175</v>
      </c>
      <c r="Q169" s="52">
        <v>175</v>
      </c>
      <c r="R169" s="53" t="s">
        <v>196</v>
      </c>
      <c r="S169" s="135" t="s">
        <v>196</v>
      </c>
      <c r="T169" s="135">
        <v>5</v>
      </c>
      <c r="U169" s="123">
        <v>5</v>
      </c>
      <c r="V169" s="104" t="s">
        <v>31</v>
      </c>
      <c r="W169" s="55">
        <v>875</v>
      </c>
      <c r="X169" s="54">
        <f>Q169*T169</f>
        <v>875</v>
      </c>
      <c r="Y169" s="54">
        <f>U169</f>
        <v>5</v>
      </c>
      <c r="Z169" s="56" t="str">
        <f>B169</f>
        <v>10152A</v>
      </c>
      <c r="AA169" s="49" t="s">
        <v>197</v>
      </c>
      <c r="AB169" s="56">
        <v>739020</v>
      </c>
      <c r="AC169" s="89">
        <v>0</v>
      </c>
      <c r="AD169" s="57"/>
    </row>
    <row r="170" spans="1:29" ht="12" customHeight="1">
      <c r="A170" s="85" t="s">
        <v>56</v>
      </c>
      <c r="B170" s="107" t="str">
        <f>VLOOKUP(A170,'[3]Summer Data Sheet 17-18'!$C$366:$D$488,2,0)</f>
        <v>10152A</v>
      </c>
      <c r="C170" s="86"/>
      <c r="D170" s="86" t="s">
        <v>278</v>
      </c>
      <c r="E170" s="91" t="s">
        <v>173</v>
      </c>
      <c r="F170" s="96" t="s">
        <v>118</v>
      </c>
      <c r="G170" s="97">
        <v>0.875</v>
      </c>
      <c r="H170" s="91" t="s">
        <v>25</v>
      </c>
      <c r="I170" s="174">
        <v>3</v>
      </c>
      <c r="J170" s="174">
        <v>15</v>
      </c>
      <c r="K170" s="174">
        <v>21</v>
      </c>
      <c r="L170" s="174">
        <v>0</v>
      </c>
      <c r="M170" s="174">
        <f>SUM(I170:L170)</f>
        <v>39</v>
      </c>
      <c r="N170" s="88">
        <v>43129</v>
      </c>
      <c r="O170" s="115">
        <v>43190</v>
      </c>
      <c r="P170" s="51">
        <v>116</v>
      </c>
      <c r="Q170" s="52">
        <v>101.5</v>
      </c>
      <c r="R170" s="135">
        <v>0</v>
      </c>
      <c r="S170" s="135" t="s">
        <v>196</v>
      </c>
      <c r="T170" s="135" t="s">
        <v>196</v>
      </c>
      <c r="U170" s="123">
        <v>39</v>
      </c>
      <c r="V170" s="104" t="s">
        <v>264</v>
      </c>
      <c r="W170" s="55">
        <v>3958.5</v>
      </c>
      <c r="X170" s="54"/>
      <c r="Y170" s="54"/>
      <c r="Z170" s="56" t="str">
        <f>B170</f>
        <v>10152A</v>
      </c>
      <c r="AA170" s="49" t="s">
        <v>198</v>
      </c>
      <c r="AB170" s="56">
        <v>739030</v>
      </c>
      <c r="AC170" s="89"/>
    </row>
    <row r="171" spans="1:29" ht="12" customHeight="1">
      <c r="A171" s="85" t="s">
        <v>261</v>
      </c>
      <c r="B171" s="107" t="str">
        <f>VLOOKUP(A171,'[3]Summer Data Sheet 17-18'!$C$366:$D$488,2,0)</f>
        <v>10154A</v>
      </c>
      <c r="C171" s="86"/>
      <c r="D171" s="86" t="s">
        <v>311</v>
      </c>
      <c r="E171" s="91" t="s">
        <v>173</v>
      </c>
      <c r="F171" s="96" t="s">
        <v>24</v>
      </c>
      <c r="G171" s="97">
        <v>1</v>
      </c>
      <c r="H171" s="91" t="s">
        <v>25</v>
      </c>
      <c r="I171" s="174">
        <v>0</v>
      </c>
      <c r="J171" s="174">
        <v>0</v>
      </c>
      <c r="K171" s="174">
        <v>9</v>
      </c>
      <c r="L171" s="174">
        <v>0</v>
      </c>
      <c r="M171" s="174">
        <f>SUM(I171:L171)</f>
        <v>9</v>
      </c>
      <c r="N171" s="88">
        <v>43176</v>
      </c>
      <c r="O171" s="115">
        <v>43190</v>
      </c>
      <c r="P171" s="51">
        <v>175</v>
      </c>
      <c r="Q171" s="52">
        <v>175</v>
      </c>
      <c r="R171" s="53">
        <v>0</v>
      </c>
      <c r="S171" s="135" t="s">
        <v>196</v>
      </c>
      <c r="T171" s="135" t="s">
        <v>196</v>
      </c>
      <c r="U171" s="123">
        <v>9</v>
      </c>
      <c r="V171" s="104" t="s">
        <v>264</v>
      </c>
      <c r="W171" s="55">
        <v>1575</v>
      </c>
      <c r="X171" s="54"/>
      <c r="Y171" s="54"/>
      <c r="Z171" s="56" t="str">
        <f>B171</f>
        <v>10154A</v>
      </c>
      <c r="AA171" s="49" t="s">
        <v>197</v>
      </c>
      <c r="AB171" s="56">
        <v>739020</v>
      </c>
      <c r="AC171" s="89"/>
    </row>
    <row r="172" spans="1:29" ht="12" customHeight="1">
      <c r="A172" s="85" t="s">
        <v>261</v>
      </c>
      <c r="B172" s="107" t="str">
        <f>VLOOKUP(A172,'[3]Summer Data Sheet 17-18'!$C$366:$D$488,2,0)</f>
        <v>10154A</v>
      </c>
      <c r="C172" s="86"/>
      <c r="D172" s="87" t="s">
        <v>29</v>
      </c>
      <c r="E172" s="91" t="s">
        <v>173</v>
      </c>
      <c r="F172" s="96" t="s">
        <v>123</v>
      </c>
      <c r="G172" s="97">
        <v>1</v>
      </c>
      <c r="H172" s="91" t="s">
        <v>25</v>
      </c>
      <c r="I172" s="174">
        <v>15</v>
      </c>
      <c r="J172" s="174">
        <v>15</v>
      </c>
      <c r="K172" s="174">
        <v>12</v>
      </c>
      <c r="L172" s="174">
        <v>0</v>
      </c>
      <c r="M172" s="174">
        <f>SUM(I172:L172)</f>
        <v>42</v>
      </c>
      <c r="N172" s="115">
        <v>43111</v>
      </c>
      <c r="O172" s="115">
        <v>43177</v>
      </c>
      <c r="P172" s="51">
        <v>82</v>
      </c>
      <c r="Q172" s="52">
        <v>82</v>
      </c>
      <c r="R172" s="53">
        <v>35</v>
      </c>
      <c r="S172" s="135" t="s">
        <v>196</v>
      </c>
      <c r="T172" s="135">
        <v>7</v>
      </c>
      <c r="U172" s="123">
        <v>42</v>
      </c>
      <c r="V172" s="104" t="s">
        <v>31</v>
      </c>
      <c r="W172" s="55">
        <v>574</v>
      </c>
      <c r="X172" s="54"/>
      <c r="Y172" s="54"/>
      <c r="Z172" s="56" t="str">
        <f>B172</f>
        <v>10154A</v>
      </c>
      <c r="AA172" s="49" t="s">
        <v>198</v>
      </c>
      <c r="AB172" s="56">
        <v>739030</v>
      </c>
      <c r="AC172" s="89"/>
    </row>
    <row r="173" spans="1:29" ht="12" customHeight="1">
      <c r="A173" s="85" t="s">
        <v>261</v>
      </c>
      <c r="B173" s="107" t="str">
        <f>VLOOKUP(A173,'[3]Summer Data Sheet 17-18'!$C$366:$D$488,2,0)</f>
        <v>10154A</v>
      </c>
      <c r="C173" s="86"/>
      <c r="D173" s="87" t="s">
        <v>29</v>
      </c>
      <c r="E173" s="91" t="s">
        <v>173</v>
      </c>
      <c r="F173" s="96" t="s">
        <v>27</v>
      </c>
      <c r="G173" s="95">
        <v>1</v>
      </c>
      <c r="H173" s="91" t="s">
        <v>25</v>
      </c>
      <c r="I173" s="174">
        <f>16+14+22</f>
        <v>52</v>
      </c>
      <c r="J173" s="174">
        <v>7</v>
      </c>
      <c r="K173" s="174">
        <v>0</v>
      </c>
      <c r="L173" s="174">
        <v>0</v>
      </c>
      <c r="M173" s="174">
        <f>SUM(I173:L173)</f>
        <v>59</v>
      </c>
      <c r="N173" s="115">
        <v>43048</v>
      </c>
      <c r="O173" s="115">
        <v>43140</v>
      </c>
      <c r="P173" s="51">
        <v>175</v>
      </c>
      <c r="Q173" s="52">
        <v>175</v>
      </c>
      <c r="R173" s="53">
        <v>35</v>
      </c>
      <c r="S173" s="135" t="s">
        <v>196</v>
      </c>
      <c r="T173" s="135">
        <v>24</v>
      </c>
      <c r="U173" s="123">
        <v>59</v>
      </c>
      <c r="V173" s="104" t="s">
        <v>31</v>
      </c>
      <c r="W173" s="55">
        <v>4200</v>
      </c>
      <c r="X173" s="54"/>
      <c r="Y173" s="54"/>
      <c r="Z173" s="56" t="str">
        <f>B173</f>
        <v>10154A</v>
      </c>
      <c r="AA173" s="49" t="s">
        <v>197</v>
      </c>
      <c r="AB173" s="56">
        <v>739020</v>
      </c>
      <c r="AC173" s="89"/>
    </row>
    <row r="174" spans="1:29" ht="12" customHeight="1">
      <c r="A174" s="85" t="s">
        <v>149</v>
      </c>
      <c r="B174" s="107" t="str">
        <f>VLOOKUP(A174,'[3]Summer Data Sheet 17-18'!$C$366:$D$488,2,0)</f>
        <v>10953A</v>
      </c>
      <c r="C174" s="86"/>
      <c r="D174" s="87" t="s">
        <v>34</v>
      </c>
      <c r="E174" s="91" t="s">
        <v>173</v>
      </c>
      <c r="F174" s="91" t="s">
        <v>24</v>
      </c>
      <c r="G174" s="97">
        <f>11/27.5</f>
        <v>0.4</v>
      </c>
      <c r="H174" s="91" t="s">
        <v>30</v>
      </c>
      <c r="I174" s="174">
        <v>4</v>
      </c>
      <c r="J174" s="174">
        <v>0</v>
      </c>
      <c r="K174" s="174">
        <v>0</v>
      </c>
      <c r="L174" s="174">
        <v>0</v>
      </c>
      <c r="M174" s="174">
        <f>SUM(I174:L174)</f>
        <v>4</v>
      </c>
      <c r="N174" s="115">
        <v>43101</v>
      </c>
      <c r="O174" s="115">
        <v>43190</v>
      </c>
      <c r="P174" s="51">
        <v>175</v>
      </c>
      <c r="Q174" s="52">
        <v>70</v>
      </c>
      <c r="R174" s="53" t="s">
        <v>196</v>
      </c>
      <c r="S174" s="53" t="s">
        <v>196</v>
      </c>
      <c r="T174" s="135" t="s">
        <v>196</v>
      </c>
      <c r="U174" s="123">
        <v>4</v>
      </c>
      <c r="V174" s="104" t="s">
        <v>264</v>
      </c>
      <c r="W174" s="55">
        <v>280</v>
      </c>
      <c r="X174" s="54">
        <f>Q174*T174</f>
        <v>0</v>
      </c>
      <c r="Y174" s="54">
        <f>U174</f>
        <v>4</v>
      </c>
      <c r="Z174" s="56" t="str">
        <f>B174</f>
        <v>10953A</v>
      </c>
      <c r="AA174" s="49" t="s">
        <v>197</v>
      </c>
      <c r="AB174" s="56">
        <v>739020</v>
      </c>
      <c r="AC174" s="89">
        <v>0</v>
      </c>
    </row>
    <row r="175" spans="1:29" ht="12" customHeight="1">
      <c r="A175" s="85" t="s">
        <v>149</v>
      </c>
      <c r="B175" s="107" t="str">
        <f>VLOOKUP(A175,'[3]Summer Data Sheet 17-18'!$C$366:$D$488,2,0)</f>
        <v>10953A</v>
      </c>
      <c r="C175" s="86"/>
      <c r="D175" s="87" t="s">
        <v>29</v>
      </c>
      <c r="E175" s="91" t="s">
        <v>173</v>
      </c>
      <c r="F175" s="91" t="s">
        <v>90</v>
      </c>
      <c r="G175" s="95">
        <f>(36*40)/1728</f>
        <v>0.8333333333333334</v>
      </c>
      <c r="H175" s="91" t="s">
        <v>30</v>
      </c>
      <c r="I175" s="174">
        <v>22</v>
      </c>
      <c r="J175" s="174">
        <v>15</v>
      </c>
      <c r="K175" s="174">
        <v>21</v>
      </c>
      <c r="L175" s="174">
        <v>0</v>
      </c>
      <c r="M175" s="174">
        <f>SUM(I175:L175)</f>
        <v>58</v>
      </c>
      <c r="N175" s="115">
        <v>43101</v>
      </c>
      <c r="O175" s="115">
        <v>43190</v>
      </c>
      <c r="P175" s="51">
        <v>111</v>
      </c>
      <c r="Q175" s="52">
        <v>92.5</v>
      </c>
      <c r="R175" s="53" t="s">
        <v>196</v>
      </c>
      <c r="S175" s="53" t="s">
        <v>196</v>
      </c>
      <c r="T175" s="135">
        <v>58</v>
      </c>
      <c r="U175" s="123">
        <v>58</v>
      </c>
      <c r="V175" s="104" t="s">
        <v>31</v>
      </c>
      <c r="W175" s="55">
        <v>5365</v>
      </c>
      <c r="X175" s="54">
        <f>Q175*T175</f>
        <v>5365</v>
      </c>
      <c r="Y175" s="54">
        <f>U175</f>
        <v>58</v>
      </c>
      <c r="Z175" s="56" t="str">
        <f>B175</f>
        <v>10953A</v>
      </c>
      <c r="AA175" s="49" t="s">
        <v>198</v>
      </c>
      <c r="AB175" s="56">
        <v>739030</v>
      </c>
      <c r="AC175" s="89">
        <v>0</v>
      </c>
    </row>
    <row r="176" spans="1:29" ht="12" customHeight="1">
      <c r="A176" s="85" t="s">
        <v>149</v>
      </c>
      <c r="B176" s="107" t="str">
        <f>VLOOKUP(A176,'[3]Summer Data Sheet 17-18'!$C$366:$D$488,2,0)</f>
        <v>10953A</v>
      </c>
      <c r="C176" s="87"/>
      <c r="D176" s="87" t="s">
        <v>26</v>
      </c>
      <c r="E176" s="91" t="s">
        <v>173</v>
      </c>
      <c r="F176" s="96" t="s">
        <v>27</v>
      </c>
      <c r="G176" s="95">
        <v>1</v>
      </c>
      <c r="H176" s="91" t="s">
        <v>25</v>
      </c>
      <c r="I176" s="174">
        <v>0</v>
      </c>
      <c r="J176" s="174">
        <v>7</v>
      </c>
      <c r="K176" s="174">
        <v>5</v>
      </c>
      <c r="L176" s="174">
        <v>0</v>
      </c>
      <c r="M176" s="174">
        <f>SUM(I176:L176)</f>
        <v>12</v>
      </c>
      <c r="N176" s="115">
        <v>43151</v>
      </c>
      <c r="O176" s="115">
        <v>43166</v>
      </c>
      <c r="P176" s="51">
        <v>175</v>
      </c>
      <c r="Q176" s="51">
        <v>175</v>
      </c>
      <c r="R176" s="135">
        <v>15</v>
      </c>
      <c r="S176" s="53">
        <v>-3</v>
      </c>
      <c r="T176" s="135" t="s">
        <v>196</v>
      </c>
      <c r="U176" s="123">
        <v>12</v>
      </c>
      <c r="V176" s="104" t="s">
        <v>28</v>
      </c>
      <c r="W176" s="55">
        <v>0</v>
      </c>
      <c r="X176" s="54">
        <f>Q176*T176</f>
        <v>0</v>
      </c>
      <c r="Y176" s="54">
        <f>U176</f>
        <v>12</v>
      </c>
      <c r="Z176" s="56" t="str">
        <f>B176</f>
        <v>10953A</v>
      </c>
      <c r="AA176" s="49" t="s">
        <v>197</v>
      </c>
      <c r="AB176" s="56">
        <v>739020</v>
      </c>
      <c r="AC176" s="89">
        <v>0</v>
      </c>
    </row>
    <row r="177" spans="1:29" ht="12" customHeight="1">
      <c r="A177" s="85" t="s">
        <v>149</v>
      </c>
      <c r="B177" s="107" t="str">
        <f>VLOOKUP(A177,'[3]Summer Data Sheet 17-18'!$C$366:$D$488,2,0)</f>
        <v>10953A</v>
      </c>
      <c r="C177" s="86"/>
      <c r="D177" s="87" t="s">
        <v>324</v>
      </c>
      <c r="E177" s="91" t="s">
        <v>173</v>
      </c>
      <c r="F177" s="96" t="s">
        <v>27</v>
      </c>
      <c r="G177" s="95">
        <f>2/27.5</f>
        <v>0.07272727272727272</v>
      </c>
      <c r="H177" s="91" t="s">
        <v>25</v>
      </c>
      <c r="I177" s="174">
        <v>0</v>
      </c>
      <c r="J177" s="174">
        <v>0</v>
      </c>
      <c r="K177" s="174">
        <v>3</v>
      </c>
      <c r="L177" s="174">
        <v>0</v>
      </c>
      <c r="M177" s="174">
        <f>SUM(I177:L177)</f>
        <v>3</v>
      </c>
      <c r="N177" s="115">
        <v>43167</v>
      </c>
      <c r="O177" s="115">
        <v>43190</v>
      </c>
      <c r="P177" s="51">
        <v>175</v>
      </c>
      <c r="Q177" s="52">
        <v>12.73</v>
      </c>
      <c r="R177" s="135">
        <v>15</v>
      </c>
      <c r="S177" s="53">
        <v>-12</v>
      </c>
      <c r="T177" s="135" t="s">
        <v>196</v>
      </c>
      <c r="U177" s="123">
        <v>3</v>
      </c>
      <c r="V177" s="104" t="s">
        <v>28</v>
      </c>
      <c r="W177" s="55">
        <v>0</v>
      </c>
      <c r="X177" s="54">
        <f>Q177*T177</f>
        <v>0</v>
      </c>
      <c r="Y177" s="54">
        <f>U177</f>
        <v>3</v>
      </c>
      <c r="Z177" s="56" t="str">
        <f>B177</f>
        <v>10953A</v>
      </c>
      <c r="AA177" s="49" t="s">
        <v>197</v>
      </c>
      <c r="AB177" s="56">
        <v>739020</v>
      </c>
      <c r="AC177" s="89">
        <v>0</v>
      </c>
    </row>
    <row r="178" spans="1:29" ht="12" customHeight="1">
      <c r="A178" s="85" t="s">
        <v>149</v>
      </c>
      <c r="B178" s="107" t="str">
        <f>VLOOKUP(A178,'[3]Summer Data Sheet 17-18'!$C$366:$D$488,2,0)</f>
        <v>10953A</v>
      </c>
      <c r="C178" s="86"/>
      <c r="D178" s="87" t="s">
        <v>325</v>
      </c>
      <c r="E178" s="91" t="s">
        <v>173</v>
      </c>
      <c r="F178" s="96" t="s">
        <v>27</v>
      </c>
      <c r="G178" s="95">
        <v>0</v>
      </c>
      <c r="H178" s="91" t="s">
        <v>30</v>
      </c>
      <c r="I178" s="174">
        <v>0</v>
      </c>
      <c r="J178" s="174">
        <v>0</v>
      </c>
      <c r="K178" s="174">
        <v>4</v>
      </c>
      <c r="L178" s="174">
        <v>0</v>
      </c>
      <c r="M178" s="174">
        <f>SUM(I178:L178)</f>
        <v>4</v>
      </c>
      <c r="N178" s="115">
        <v>43167</v>
      </c>
      <c r="O178" s="115">
        <v>43190</v>
      </c>
      <c r="P178" s="51">
        <v>175</v>
      </c>
      <c r="Q178" s="51">
        <v>0</v>
      </c>
      <c r="R178" s="135" t="s">
        <v>196</v>
      </c>
      <c r="S178" s="53" t="s">
        <v>196</v>
      </c>
      <c r="T178" s="135">
        <v>4</v>
      </c>
      <c r="U178" s="123">
        <v>4</v>
      </c>
      <c r="V178" s="104" t="s">
        <v>31</v>
      </c>
      <c r="W178" s="55">
        <v>0</v>
      </c>
      <c r="X178" s="54">
        <f>Q178*T178</f>
        <v>0</v>
      </c>
      <c r="Y178" s="54">
        <f>U178</f>
        <v>4</v>
      </c>
      <c r="Z178" s="56" t="str">
        <f>B178</f>
        <v>10953A</v>
      </c>
      <c r="AA178" s="49" t="s">
        <v>197</v>
      </c>
      <c r="AB178" s="56">
        <v>739020</v>
      </c>
      <c r="AC178" s="89">
        <v>0</v>
      </c>
    </row>
    <row r="179" spans="1:29" ht="12" customHeight="1">
      <c r="A179" s="85" t="s">
        <v>149</v>
      </c>
      <c r="B179" s="107" t="str">
        <f>VLOOKUP(A179,'[3]Summer Data Sheet 17-18'!$C$366:$D$488,2,0)</f>
        <v>10953A</v>
      </c>
      <c r="C179" s="86"/>
      <c r="D179" s="87" t="s">
        <v>326</v>
      </c>
      <c r="E179" s="91" t="s">
        <v>173</v>
      </c>
      <c r="F179" s="96" t="s">
        <v>27</v>
      </c>
      <c r="G179" s="95">
        <f>1.5/27.5</f>
        <v>0.05454545454545454</v>
      </c>
      <c r="H179" s="91" t="s">
        <v>30</v>
      </c>
      <c r="I179" s="174">
        <v>0</v>
      </c>
      <c r="J179" s="174">
        <v>0</v>
      </c>
      <c r="K179" s="174">
        <v>5</v>
      </c>
      <c r="L179" s="174">
        <v>0</v>
      </c>
      <c r="M179" s="174">
        <f>SUM(I179:L179)</f>
        <v>5</v>
      </c>
      <c r="N179" s="115">
        <v>43167</v>
      </c>
      <c r="O179" s="115">
        <v>43190</v>
      </c>
      <c r="P179" s="51">
        <v>175</v>
      </c>
      <c r="Q179" s="52">
        <v>9.55</v>
      </c>
      <c r="R179" s="53" t="s">
        <v>196</v>
      </c>
      <c r="S179" s="53" t="s">
        <v>196</v>
      </c>
      <c r="T179" s="135">
        <v>5</v>
      </c>
      <c r="U179" s="123">
        <v>5</v>
      </c>
      <c r="V179" s="104" t="s">
        <v>31</v>
      </c>
      <c r="W179" s="55">
        <v>47.75</v>
      </c>
      <c r="X179" s="54">
        <f>Q179*T179</f>
        <v>47.75</v>
      </c>
      <c r="Y179" s="54">
        <f>U179</f>
        <v>5</v>
      </c>
      <c r="Z179" s="56" t="str">
        <f>B179</f>
        <v>10953A</v>
      </c>
      <c r="AA179" s="49" t="s">
        <v>197</v>
      </c>
      <c r="AB179" s="56">
        <v>739020</v>
      </c>
      <c r="AC179" s="89">
        <v>0</v>
      </c>
    </row>
    <row r="180" spans="1:29" ht="12" customHeight="1">
      <c r="A180" s="85" t="s">
        <v>149</v>
      </c>
      <c r="B180" s="107" t="str">
        <f>VLOOKUP(A180,'[3]Summer Data Sheet 17-18'!$C$366:$D$488,2,0)</f>
        <v>10953A</v>
      </c>
      <c r="C180" s="86"/>
      <c r="D180" s="87" t="s">
        <v>327</v>
      </c>
      <c r="E180" s="91" t="s">
        <v>173</v>
      </c>
      <c r="F180" s="96" t="s">
        <v>27</v>
      </c>
      <c r="G180" s="95">
        <v>0</v>
      </c>
      <c r="H180" s="91" t="s">
        <v>30</v>
      </c>
      <c r="I180" s="174">
        <v>0</v>
      </c>
      <c r="J180" s="174">
        <v>0</v>
      </c>
      <c r="K180" s="174">
        <v>4</v>
      </c>
      <c r="L180" s="174">
        <v>0</v>
      </c>
      <c r="M180" s="174">
        <f>SUM(I180:L180)</f>
        <v>4</v>
      </c>
      <c r="N180" s="115">
        <v>43167</v>
      </c>
      <c r="O180" s="115">
        <v>43190</v>
      </c>
      <c r="P180" s="51">
        <v>175</v>
      </c>
      <c r="Q180" s="52">
        <v>0</v>
      </c>
      <c r="R180" s="135" t="s">
        <v>196</v>
      </c>
      <c r="S180" s="53" t="s">
        <v>196</v>
      </c>
      <c r="T180" s="135">
        <v>4</v>
      </c>
      <c r="U180" s="123">
        <v>4</v>
      </c>
      <c r="V180" s="104" t="s">
        <v>31</v>
      </c>
      <c r="W180" s="55">
        <v>0</v>
      </c>
      <c r="X180" s="54">
        <f>Q180*T180</f>
        <v>0</v>
      </c>
      <c r="Y180" s="54">
        <f>U180</f>
        <v>4</v>
      </c>
      <c r="Z180" s="56" t="str">
        <f>B180</f>
        <v>10953A</v>
      </c>
      <c r="AA180" s="49" t="s">
        <v>197</v>
      </c>
      <c r="AB180" s="56">
        <v>739020</v>
      </c>
      <c r="AC180" s="89">
        <v>0</v>
      </c>
    </row>
    <row r="181" spans="1:29" ht="12" customHeight="1">
      <c r="A181" s="93"/>
      <c r="B181" s="107"/>
      <c r="C181" s="87"/>
      <c r="D181" s="86"/>
      <c r="E181" s="91"/>
      <c r="F181" s="96"/>
      <c r="G181" s="110"/>
      <c r="H181" s="96"/>
      <c r="I181" s="127"/>
      <c r="J181" s="127"/>
      <c r="K181" s="127"/>
      <c r="L181" s="127"/>
      <c r="M181" s="127">
        <f>SUM(I181:L181)</f>
        <v>0</v>
      </c>
      <c r="N181" s="88"/>
      <c r="O181" s="88"/>
      <c r="P181" s="51">
        <v>93</v>
      </c>
      <c r="Q181" s="52">
        <v>43.71</v>
      </c>
      <c r="R181" s="53">
        <v>0</v>
      </c>
      <c r="S181" s="135">
        <v>0</v>
      </c>
      <c r="T181" s="135">
        <v>0</v>
      </c>
      <c r="U181" s="123">
        <v>45</v>
      </c>
      <c r="V181" s="104" t="s">
        <v>264</v>
      </c>
      <c r="W181" s="55">
        <v>1966.95</v>
      </c>
      <c r="X181" s="54"/>
      <c r="Y181" s="54"/>
      <c r="Z181" s="56">
        <f>B181</f>
        <v>0</v>
      </c>
      <c r="AA181" s="49" t="s">
        <v>198</v>
      </c>
      <c r="AB181" s="56">
        <v>739030</v>
      </c>
      <c r="AC181" s="89"/>
    </row>
    <row r="182" spans="1:29" ht="12" customHeight="1">
      <c r="A182" s="85"/>
      <c r="B182" s="107"/>
      <c r="C182" s="86"/>
      <c r="D182" s="87"/>
      <c r="E182" s="91"/>
      <c r="F182" s="91"/>
      <c r="G182" s="109"/>
      <c r="H182" s="91"/>
      <c r="I182" s="127"/>
      <c r="J182" s="127"/>
      <c r="K182" s="127"/>
      <c r="L182" s="127"/>
      <c r="M182" s="127">
        <f>SUM(I182:L182)</f>
        <v>0</v>
      </c>
      <c r="N182" s="115"/>
      <c r="O182" s="115"/>
      <c r="P182" s="51">
        <v>82</v>
      </c>
      <c r="Q182" s="52">
        <v>82</v>
      </c>
      <c r="R182" s="53">
        <v>15</v>
      </c>
      <c r="S182" s="53">
        <v>20</v>
      </c>
      <c r="T182" s="135">
        <v>0</v>
      </c>
      <c r="U182" s="123">
        <v>35</v>
      </c>
      <c r="V182" s="104" t="s">
        <v>28</v>
      </c>
      <c r="W182" s="55">
        <v>1640</v>
      </c>
      <c r="X182" s="54"/>
      <c r="Y182" s="54"/>
      <c r="Z182" s="56">
        <f>B182</f>
        <v>0</v>
      </c>
      <c r="AA182" s="49" t="s">
        <v>198</v>
      </c>
      <c r="AB182" s="56">
        <v>739030</v>
      </c>
      <c r="AC182" s="89"/>
    </row>
    <row r="183" spans="1:29" ht="12" customHeight="1">
      <c r="A183" s="85"/>
      <c r="B183" s="107"/>
      <c r="C183" s="86"/>
      <c r="D183" s="86"/>
      <c r="E183" s="91"/>
      <c r="F183" s="91"/>
      <c r="G183" s="110"/>
      <c r="H183" s="91"/>
      <c r="I183" s="127"/>
      <c r="J183" s="127"/>
      <c r="K183" s="127"/>
      <c r="L183" s="127"/>
      <c r="M183" s="127">
        <f>SUM(I183:L183)</f>
        <v>0</v>
      </c>
      <c r="N183" s="115"/>
      <c r="O183" s="115"/>
      <c r="P183" s="51">
        <v>82</v>
      </c>
      <c r="Q183" s="52">
        <v>82</v>
      </c>
      <c r="R183" s="135">
        <v>0</v>
      </c>
      <c r="S183" s="135">
        <v>0</v>
      </c>
      <c r="T183" s="53">
        <v>3</v>
      </c>
      <c r="U183" s="123">
        <v>3</v>
      </c>
      <c r="V183" s="104" t="s">
        <v>31</v>
      </c>
      <c r="W183" s="55">
        <v>246</v>
      </c>
      <c r="X183" s="54"/>
      <c r="Y183" s="54"/>
      <c r="Z183" s="56">
        <f>B183</f>
        <v>0</v>
      </c>
      <c r="AA183" s="49" t="s">
        <v>198</v>
      </c>
      <c r="AB183" s="56">
        <v>739030</v>
      </c>
      <c r="AC183" s="89"/>
    </row>
    <row r="184" spans="1:29" ht="12" customHeight="1">
      <c r="A184" s="93"/>
      <c r="B184" s="107"/>
      <c r="C184" s="86"/>
      <c r="D184" s="86"/>
      <c r="E184" s="91"/>
      <c r="F184" s="91"/>
      <c r="G184" s="97"/>
      <c r="H184" s="91"/>
      <c r="I184" s="127"/>
      <c r="J184" s="127"/>
      <c r="K184" s="127"/>
      <c r="L184" s="127"/>
      <c r="M184" s="127">
        <f>SUM(I184:L184)</f>
        <v>0</v>
      </c>
      <c r="N184" s="115"/>
      <c r="O184" s="115"/>
      <c r="P184" s="51">
        <v>93</v>
      </c>
      <c r="Q184" s="52">
        <v>63.24</v>
      </c>
      <c r="R184" s="53">
        <v>0</v>
      </c>
      <c r="S184" s="135">
        <v>0</v>
      </c>
      <c r="T184" s="135">
        <v>0</v>
      </c>
      <c r="U184" s="123">
        <v>38</v>
      </c>
      <c r="V184" s="104" t="s">
        <v>264</v>
      </c>
      <c r="W184" s="55">
        <v>2403.12</v>
      </c>
      <c r="X184" s="54"/>
      <c r="Y184" s="54"/>
      <c r="Z184" s="56">
        <f>B184</f>
        <v>0</v>
      </c>
      <c r="AA184" s="49" t="s">
        <v>198</v>
      </c>
      <c r="AB184" s="56">
        <v>739030</v>
      </c>
      <c r="AC184" s="89"/>
    </row>
    <row r="185" spans="1:29" ht="12" customHeight="1">
      <c r="A185" s="93"/>
      <c r="B185" s="107"/>
      <c r="C185" s="86"/>
      <c r="D185" s="86"/>
      <c r="E185" s="91"/>
      <c r="F185" s="91"/>
      <c r="G185" s="97"/>
      <c r="H185" s="91"/>
      <c r="I185" s="127"/>
      <c r="J185" s="127"/>
      <c r="K185" s="127"/>
      <c r="L185" s="127"/>
      <c r="M185" s="127">
        <f>SUM(I185:L185)</f>
        <v>0</v>
      </c>
      <c r="N185" s="115"/>
      <c r="O185" s="115"/>
      <c r="P185" s="51">
        <v>93</v>
      </c>
      <c r="Q185" s="52">
        <v>71.61</v>
      </c>
      <c r="R185" s="53">
        <v>0</v>
      </c>
      <c r="S185" s="135">
        <v>0</v>
      </c>
      <c r="T185" s="135">
        <v>0</v>
      </c>
      <c r="U185" s="123">
        <v>1</v>
      </c>
      <c r="V185" s="104" t="s">
        <v>264</v>
      </c>
      <c r="W185" s="55">
        <v>71.61</v>
      </c>
      <c r="X185" s="54"/>
      <c r="Y185" s="54"/>
      <c r="Z185" s="56">
        <f>B185</f>
        <v>0</v>
      </c>
      <c r="AA185" s="49" t="s">
        <v>198</v>
      </c>
      <c r="AB185" s="56">
        <v>739030</v>
      </c>
      <c r="AC185" s="89"/>
    </row>
    <row r="186" spans="1:30" ht="12" customHeight="1">
      <c r="A186" s="85"/>
      <c r="B186" s="86"/>
      <c r="C186" s="86"/>
      <c r="D186" s="87"/>
      <c r="E186" s="91"/>
      <c r="F186" s="91"/>
      <c r="G186" s="95"/>
      <c r="H186" s="91"/>
      <c r="I186" s="127"/>
      <c r="J186" s="127"/>
      <c r="K186" s="127"/>
      <c r="L186" s="127"/>
      <c r="M186" s="127">
        <f>SUM(I186:L186)</f>
        <v>0</v>
      </c>
      <c r="N186" s="88"/>
      <c r="O186" s="88"/>
      <c r="P186" s="51">
        <v>175</v>
      </c>
      <c r="Q186" s="52">
        <v>175</v>
      </c>
      <c r="R186" s="53">
        <v>0</v>
      </c>
      <c r="S186" s="135">
        <v>0</v>
      </c>
      <c r="T186" s="135">
        <v>0</v>
      </c>
      <c r="U186" s="123">
        <v>55</v>
      </c>
      <c r="V186" s="104" t="s">
        <v>264</v>
      </c>
      <c r="W186" s="55">
        <v>9625</v>
      </c>
      <c r="X186" s="54"/>
      <c r="Y186" s="54"/>
      <c r="Z186" s="56">
        <f>B186</f>
        <v>0</v>
      </c>
      <c r="AA186" s="49" t="s">
        <v>197</v>
      </c>
      <c r="AB186" s="56">
        <v>739020</v>
      </c>
      <c r="AC186" s="89"/>
      <c r="AD186" s="57"/>
    </row>
    <row r="187" spans="1:30" ht="12" customHeight="1">
      <c r="A187" s="85"/>
      <c r="B187" s="86"/>
      <c r="C187" s="86"/>
      <c r="D187" s="86"/>
      <c r="E187" s="91"/>
      <c r="F187" s="91"/>
      <c r="G187" s="95"/>
      <c r="H187" s="91"/>
      <c r="I187" s="127"/>
      <c r="J187" s="127"/>
      <c r="K187" s="127"/>
      <c r="L187" s="127"/>
      <c r="M187" s="127">
        <f>SUM(I187:L187)</f>
        <v>0</v>
      </c>
      <c r="N187" s="88"/>
      <c r="O187" s="88"/>
      <c r="P187" s="51">
        <v>175</v>
      </c>
      <c r="Q187" s="52">
        <v>175</v>
      </c>
      <c r="R187" s="53">
        <v>0</v>
      </c>
      <c r="S187" s="135">
        <v>0</v>
      </c>
      <c r="T187" s="135">
        <v>0</v>
      </c>
      <c r="U187" s="123">
        <v>54</v>
      </c>
      <c r="V187" s="104" t="s">
        <v>264</v>
      </c>
      <c r="W187" s="55">
        <v>9450</v>
      </c>
      <c r="X187" s="54"/>
      <c r="Y187" s="54"/>
      <c r="Z187" s="56">
        <f>B187</f>
        <v>0</v>
      </c>
      <c r="AA187" s="49" t="s">
        <v>197</v>
      </c>
      <c r="AB187" s="56">
        <v>739020</v>
      </c>
      <c r="AC187" s="89"/>
      <c r="AD187" s="57"/>
    </row>
    <row r="188" spans="1:29" ht="12" customHeight="1">
      <c r="A188" s="93"/>
      <c r="B188" s="86"/>
      <c r="C188" s="86"/>
      <c r="D188" s="87"/>
      <c r="E188" s="91"/>
      <c r="F188" s="91"/>
      <c r="G188" s="97"/>
      <c r="H188" s="91"/>
      <c r="I188" s="127"/>
      <c r="J188" s="127"/>
      <c r="K188" s="127"/>
      <c r="L188" s="127"/>
      <c r="M188" s="127">
        <f>SUM(I188:L188)</f>
        <v>0</v>
      </c>
      <c r="N188" s="88"/>
      <c r="O188" s="88"/>
      <c r="P188" s="51">
        <v>175</v>
      </c>
      <c r="Q188" s="52">
        <v>175</v>
      </c>
      <c r="R188" s="53">
        <v>15</v>
      </c>
      <c r="S188" s="53">
        <v>20</v>
      </c>
      <c r="T188" s="135">
        <v>0</v>
      </c>
      <c r="U188" s="123">
        <v>35</v>
      </c>
      <c r="V188" s="104" t="s">
        <v>28</v>
      </c>
      <c r="W188" s="55">
        <v>3500</v>
      </c>
      <c r="X188" s="54"/>
      <c r="Y188" s="54"/>
      <c r="Z188" s="56">
        <f>B188</f>
        <v>0</v>
      </c>
      <c r="AA188" s="49" t="s">
        <v>197</v>
      </c>
      <c r="AB188" s="56">
        <v>739020</v>
      </c>
      <c r="AC188" s="89"/>
    </row>
    <row r="189" spans="1:29" ht="12" customHeight="1">
      <c r="A189" s="93"/>
      <c r="B189" s="86"/>
      <c r="C189" s="86"/>
      <c r="D189" s="87"/>
      <c r="E189" s="91"/>
      <c r="F189" s="91"/>
      <c r="G189" s="97"/>
      <c r="H189" s="91"/>
      <c r="I189" s="127"/>
      <c r="J189" s="127"/>
      <c r="K189" s="127"/>
      <c r="L189" s="127"/>
      <c r="M189" s="127">
        <f>SUM(I189:L189)</f>
        <v>0</v>
      </c>
      <c r="N189" s="88"/>
      <c r="O189" s="88"/>
      <c r="P189" s="51">
        <v>175</v>
      </c>
      <c r="Q189" s="52">
        <v>175</v>
      </c>
      <c r="R189" s="135">
        <v>0</v>
      </c>
      <c r="S189" s="135">
        <v>0</v>
      </c>
      <c r="T189" s="53">
        <v>38</v>
      </c>
      <c r="U189" s="123">
        <v>38</v>
      </c>
      <c r="V189" s="104" t="s">
        <v>31</v>
      </c>
      <c r="W189" s="55">
        <v>6650</v>
      </c>
      <c r="X189" s="54"/>
      <c r="Y189" s="54"/>
      <c r="Z189" s="56">
        <f>B189</f>
        <v>0</v>
      </c>
      <c r="AA189" s="49" t="s">
        <v>197</v>
      </c>
      <c r="AB189" s="56">
        <v>739020</v>
      </c>
      <c r="AC189" s="89"/>
    </row>
    <row r="190" spans="1:29" ht="12" customHeight="1">
      <c r="A190" s="85"/>
      <c r="B190" s="86"/>
      <c r="C190" s="86"/>
      <c r="D190" s="95"/>
      <c r="E190" s="91"/>
      <c r="F190" s="91"/>
      <c r="G190" s="97"/>
      <c r="H190" s="91"/>
      <c r="I190" s="127"/>
      <c r="J190" s="127"/>
      <c r="K190" s="127"/>
      <c r="L190" s="127"/>
      <c r="M190" s="127">
        <f>SUM(I190:L190)</f>
        <v>0</v>
      </c>
      <c r="N190" s="88"/>
      <c r="O190" s="88"/>
      <c r="P190" s="51">
        <v>175</v>
      </c>
      <c r="Q190" s="51">
        <v>175</v>
      </c>
      <c r="R190" s="53">
        <v>15</v>
      </c>
      <c r="S190" s="53">
        <v>20</v>
      </c>
      <c r="T190" s="135">
        <v>0</v>
      </c>
      <c r="U190" s="123">
        <v>35</v>
      </c>
      <c r="V190" s="104" t="s">
        <v>28</v>
      </c>
      <c r="W190" s="55">
        <v>3500</v>
      </c>
      <c r="X190" s="54"/>
      <c r="Y190" s="54"/>
      <c r="Z190" s="56">
        <f>B190</f>
        <v>0</v>
      </c>
      <c r="AA190" s="49" t="s">
        <v>197</v>
      </c>
      <c r="AB190" s="56">
        <v>739020</v>
      </c>
      <c r="AC190" s="89"/>
    </row>
    <row r="191" spans="1:29" ht="12" customHeight="1">
      <c r="A191" s="85"/>
      <c r="B191" s="86"/>
      <c r="C191" s="86"/>
      <c r="D191" s="87"/>
      <c r="E191" s="91"/>
      <c r="F191" s="91"/>
      <c r="G191" s="97"/>
      <c r="H191" s="91"/>
      <c r="I191" s="127"/>
      <c r="J191" s="127"/>
      <c r="K191" s="127"/>
      <c r="L191" s="127"/>
      <c r="M191" s="127">
        <f>SUM(I191:L191)</f>
        <v>0</v>
      </c>
      <c r="N191" s="88"/>
      <c r="O191" s="88"/>
      <c r="P191" s="51">
        <v>175</v>
      </c>
      <c r="Q191" s="51">
        <v>175</v>
      </c>
      <c r="R191" s="135">
        <v>0</v>
      </c>
      <c r="S191" s="135">
        <v>0</v>
      </c>
      <c r="T191" s="53">
        <v>33</v>
      </c>
      <c r="U191" s="123">
        <v>33</v>
      </c>
      <c r="V191" s="104" t="s">
        <v>31</v>
      </c>
      <c r="W191" s="55">
        <v>5775</v>
      </c>
      <c r="X191" s="54"/>
      <c r="Y191" s="54"/>
      <c r="Z191" s="56">
        <f>B191</f>
        <v>0</v>
      </c>
      <c r="AA191" s="49" t="s">
        <v>197</v>
      </c>
      <c r="AB191" s="56">
        <v>739020</v>
      </c>
      <c r="AC191" s="89"/>
    </row>
    <row r="192" spans="1:29" ht="12" customHeight="1">
      <c r="A192" s="93"/>
      <c r="B192" s="86"/>
      <c r="C192" s="86"/>
      <c r="D192" s="87"/>
      <c r="E192" s="91"/>
      <c r="F192" s="91"/>
      <c r="G192" s="95"/>
      <c r="H192" s="91"/>
      <c r="I192" s="127"/>
      <c r="J192" s="127"/>
      <c r="K192" s="127"/>
      <c r="L192" s="127"/>
      <c r="M192" s="127">
        <f>SUM(I192:L192)</f>
        <v>0</v>
      </c>
      <c r="N192" s="88"/>
      <c r="O192" s="88"/>
      <c r="P192" s="51">
        <v>175</v>
      </c>
      <c r="Q192" s="52">
        <v>175</v>
      </c>
      <c r="R192" s="53">
        <v>15</v>
      </c>
      <c r="S192" s="53">
        <v>20</v>
      </c>
      <c r="T192" s="135">
        <v>0</v>
      </c>
      <c r="U192" s="123">
        <v>35</v>
      </c>
      <c r="V192" s="104" t="s">
        <v>28</v>
      </c>
      <c r="W192" s="55">
        <v>3500</v>
      </c>
      <c r="X192" s="54"/>
      <c r="Y192" s="54"/>
      <c r="Z192" s="56">
        <f>B192</f>
        <v>0</v>
      </c>
      <c r="AA192" s="49" t="s">
        <v>197</v>
      </c>
      <c r="AB192" s="56">
        <v>739020</v>
      </c>
      <c r="AC192" s="89"/>
    </row>
    <row r="193" spans="1:29" ht="12" customHeight="1">
      <c r="A193" s="85"/>
      <c r="B193" s="86"/>
      <c r="C193" s="86"/>
      <c r="D193" s="95"/>
      <c r="E193" s="91"/>
      <c r="F193" s="91"/>
      <c r="G193" s="95"/>
      <c r="H193" s="91"/>
      <c r="I193" s="127"/>
      <c r="J193" s="127"/>
      <c r="K193" s="127"/>
      <c r="L193" s="127"/>
      <c r="M193" s="127">
        <f>SUM(I193:L193)</f>
        <v>0</v>
      </c>
      <c r="N193" s="88"/>
      <c r="O193" s="88"/>
      <c r="P193" s="51">
        <v>175</v>
      </c>
      <c r="Q193" s="52">
        <v>175</v>
      </c>
      <c r="R193" s="135">
        <v>0</v>
      </c>
      <c r="S193" s="135">
        <v>0</v>
      </c>
      <c r="T193" s="53">
        <v>5</v>
      </c>
      <c r="U193" s="123">
        <v>5</v>
      </c>
      <c r="V193" s="104" t="s">
        <v>31</v>
      </c>
      <c r="W193" s="55">
        <v>875</v>
      </c>
      <c r="X193" s="54"/>
      <c r="Y193" s="54"/>
      <c r="Z193" s="56">
        <f>B193</f>
        <v>0</v>
      </c>
      <c r="AA193" s="49" t="s">
        <v>197</v>
      </c>
      <c r="AB193" s="56">
        <v>739020</v>
      </c>
      <c r="AC193" s="89"/>
    </row>
    <row r="194" spans="1:29" ht="12" customHeight="1">
      <c r="A194" s="93"/>
      <c r="B194" s="86"/>
      <c r="C194" s="86"/>
      <c r="D194" s="87"/>
      <c r="E194" s="91"/>
      <c r="F194" s="91"/>
      <c r="G194" s="97"/>
      <c r="H194" s="91"/>
      <c r="I194" s="127"/>
      <c r="J194" s="127"/>
      <c r="K194" s="127"/>
      <c r="L194" s="127"/>
      <c r="M194" s="127">
        <f>SUM(I194:L194)</f>
        <v>0</v>
      </c>
      <c r="N194" s="88"/>
      <c r="O194" s="88"/>
      <c r="P194" s="51">
        <v>175</v>
      </c>
      <c r="Q194" s="52">
        <v>175</v>
      </c>
      <c r="R194" s="53">
        <v>0</v>
      </c>
      <c r="S194" s="135">
        <v>0</v>
      </c>
      <c r="T194" s="135">
        <v>0</v>
      </c>
      <c r="U194" s="123">
        <v>55</v>
      </c>
      <c r="V194" s="104" t="s">
        <v>264</v>
      </c>
      <c r="W194" s="55">
        <v>9625</v>
      </c>
      <c r="X194" s="54"/>
      <c r="Y194" s="54"/>
      <c r="Z194" s="56">
        <f>B194</f>
        <v>0</v>
      </c>
      <c r="AA194" s="49" t="s">
        <v>197</v>
      </c>
      <c r="AB194" s="56">
        <v>739020</v>
      </c>
      <c r="AC194" s="89"/>
    </row>
    <row r="195" spans="1:29" ht="12" customHeight="1">
      <c r="A195" s="93"/>
      <c r="B195" s="86"/>
      <c r="C195" s="86"/>
      <c r="D195" s="87"/>
      <c r="E195" s="91"/>
      <c r="F195" s="91"/>
      <c r="G195" s="97"/>
      <c r="H195" s="91"/>
      <c r="I195" s="127"/>
      <c r="J195" s="127"/>
      <c r="K195" s="127"/>
      <c r="L195" s="127"/>
      <c r="M195" s="127">
        <f>SUM(I195:L195)</f>
        <v>0</v>
      </c>
      <c r="N195" s="88"/>
      <c r="O195" s="88"/>
      <c r="P195" s="51">
        <v>82</v>
      </c>
      <c r="Q195" s="52">
        <v>32.8</v>
      </c>
      <c r="R195" s="135">
        <v>0</v>
      </c>
      <c r="S195" s="135">
        <v>0</v>
      </c>
      <c r="T195" s="53">
        <v>11</v>
      </c>
      <c r="U195" s="123">
        <v>11</v>
      </c>
      <c r="V195" s="104" t="s">
        <v>31</v>
      </c>
      <c r="W195" s="55">
        <v>360.8</v>
      </c>
      <c r="X195" s="132"/>
      <c r="Y195" s="49"/>
      <c r="Z195" s="56">
        <f>B195</f>
        <v>0</v>
      </c>
      <c r="AA195" s="49" t="s">
        <v>198</v>
      </c>
      <c r="AB195" s="56">
        <v>739030</v>
      </c>
      <c r="AC195" s="49"/>
    </row>
    <row r="196" spans="1:29" ht="12" customHeight="1">
      <c r="A196" s="93"/>
      <c r="B196" s="86"/>
      <c r="C196" s="86"/>
      <c r="D196" s="87"/>
      <c r="E196" s="91"/>
      <c r="F196" s="91"/>
      <c r="G196" s="97"/>
      <c r="H196" s="91"/>
      <c r="I196" s="127"/>
      <c r="J196" s="127"/>
      <c r="K196" s="127"/>
      <c r="L196" s="127"/>
      <c r="M196" s="127">
        <f>SUM(I196:L196)</f>
        <v>0</v>
      </c>
      <c r="N196" s="88"/>
      <c r="O196" s="88"/>
      <c r="P196" s="51">
        <v>82</v>
      </c>
      <c r="Q196" s="52">
        <v>82</v>
      </c>
      <c r="R196" s="135">
        <v>0</v>
      </c>
      <c r="S196" s="135">
        <v>0</v>
      </c>
      <c r="T196" s="53">
        <v>11</v>
      </c>
      <c r="U196" s="123">
        <v>11</v>
      </c>
      <c r="V196" s="104" t="s">
        <v>31</v>
      </c>
      <c r="W196" s="55">
        <v>902</v>
      </c>
      <c r="X196" s="132"/>
      <c r="Y196" s="49"/>
      <c r="Z196" s="56">
        <f>B196</f>
        <v>0</v>
      </c>
      <c r="AA196" s="49" t="s">
        <v>198</v>
      </c>
      <c r="AB196" s="56">
        <v>739030</v>
      </c>
      <c r="AC196" s="49"/>
    </row>
    <row r="197" spans="1:29" ht="12" customHeight="1">
      <c r="A197" s="93"/>
      <c r="B197" s="86"/>
      <c r="C197" s="86"/>
      <c r="D197" s="87"/>
      <c r="E197" s="91"/>
      <c r="F197" s="91"/>
      <c r="G197" s="97"/>
      <c r="H197" s="91"/>
      <c r="I197" s="127"/>
      <c r="J197" s="127"/>
      <c r="K197" s="127"/>
      <c r="L197" s="127"/>
      <c r="M197" s="127">
        <f>SUM(I197:L197)</f>
        <v>0</v>
      </c>
      <c r="N197" s="88"/>
      <c r="O197" s="88"/>
      <c r="P197" s="51">
        <v>175</v>
      </c>
      <c r="Q197" s="52">
        <v>140</v>
      </c>
      <c r="R197" s="53">
        <v>0</v>
      </c>
      <c r="S197" s="135">
        <v>0</v>
      </c>
      <c r="T197" s="135">
        <v>0</v>
      </c>
      <c r="U197" s="123">
        <v>55</v>
      </c>
      <c r="V197" s="104" t="s">
        <v>264</v>
      </c>
      <c r="W197" s="55">
        <v>7700</v>
      </c>
      <c r="X197" s="132"/>
      <c r="Y197" s="49"/>
      <c r="Z197" s="56">
        <f>B197</f>
        <v>0</v>
      </c>
      <c r="AA197" s="49" t="s">
        <v>197</v>
      </c>
      <c r="AB197" s="56">
        <v>739020</v>
      </c>
      <c r="AC197" s="49"/>
    </row>
    <row r="198" spans="1:29" ht="12" customHeight="1">
      <c r="A198" s="93"/>
      <c r="B198" s="107"/>
      <c r="C198" s="86"/>
      <c r="D198" s="87"/>
      <c r="E198" s="91"/>
      <c r="F198" s="91"/>
      <c r="G198" s="95"/>
      <c r="H198" s="96"/>
      <c r="I198" s="127"/>
      <c r="J198" s="127"/>
      <c r="K198" s="127"/>
      <c r="L198" s="127"/>
      <c r="M198" s="127">
        <f>SUM(I198:L198)</f>
        <v>0</v>
      </c>
      <c r="N198" s="88"/>
      <c r="O198" s="88"/>
      <c r="P198" s="51">
        <v>175</v>
      </c>
      <c r="Q198" s="52">
        <v>70</v>
      </c>
      <c r="R198" s="53">
        <v>0</v>
      </c>
      <c r="S198" s="135">
        <v>0</v>
      </c>
      <c r="T198" s="135">
        <v>0</v>
      </c>
      <c r="U198" s="123">
        <v>43</v>
      </c>
      <c r="V198" s="104" t="s">
        <v>264</v>
      </c>
      <c r="W198" s="55">
        <v>3010</v>
      </c>
      <c r="X198" s="133"/>
      <c r="Y198" s="133"/>
      <c r="Z198" s="56">
        <f>B198</f>
        <v>0</v>
      </c>
      <c r="AA198" s="49" t="s">
        <v>197</v>
      </c>
      <c r="AB198" s="56">
        <v>739020</v>
      </c>
      <c r="AC198" s="134"/>
    </row>
    <row r="199" spans="1:29" ht="12" customHeight="1">
      <c r="A199" s="93"/>
      <c r="B199" s="107"/>
      <c r="C199" s="86"/>
      <c r="D199" s="87"/>
      <c r="E199" s="91"/>
      <c r="F199" s="91"/>
      <c r="G199" s="95"/>
      <c r="H199" s="91"/>
      <c r="I199" s="127"/>
      <c r="J199" s="127"/>
      <c r="K199" s="127"/>
      <c r="L199" s="127"/>
      <c r="M199" s="127">
        <f>SUM(I199:L199)</f>
        <v>0</v>
      </c>
      <c r="N199" s="88"/>
      <c r="O199" s="88"/>
      <c r="P199" s="51">
        <v>93</v>
      </c>
      <c r="Q199" s="52">
        <v>41.98</v>
      </c>
      <c r="R199" s="53">
        <v>15</v>
      </c>
      <c r="S199" s="53">
        <v>16</v>
      </c>
      <c r="T199" s="135">
        <v>0</v>
      </c>
      <c r="U199" s="123">
        <v>31</v>
      </c>
      <c r="V199" s="104" t="s">
        <v>28</v>
      </c>
      <c r="W199" s="55">
        <v>671.68</v>
      </c>
      <c r="X199" s="133"/>
      <c r="Y199" s="133"/>
      <c r="Z199" s="56">
        <f>B199</f>
        <v>0</v>
      </c>
      <c r="AA199" s="49" t="s">
        <v>198</v>
      </c>
      <c r="AB199" s="56">
        <v>739030</v>
      </c>
      <c r="AC199" s="134"/>
    </row>
    <row r="200" spans="1:29" ht="12" customHeight="1">
      <c r="A200" s="93"/>
      <c r="B200" s="107"/>
      <c r="C200" s="86"/>
      <c r="D200" s="86"/>
      <c r="E200" s="91"/>
      <c r="F200" s="91"/>
      <c r="G200" s="95"/>
      <c r="H200" s="91"/>
      <c r="I200" s="127"/>
      <c r="J200" s="127"/>
      <c r="K200" s="127"/>
      <c r="L200" s="127"/>
      <c r="M200" s="127">
        <f>SUM(I200:L200)</f>
        <v>0</v>
      </c>
      <c r="N200" s="115"/>
      <c r="O200" s="115"/>
      <c r="P200" s="51">
        <v>111</v>
      </c>
      <c r="Q200" s="52">
        <v>92.5</v>
      </c>
      <c r="R200" s="53">
        <v>15</v>
      </c>
      <c r="S200" s="53">
        <v>21</v>
      </c>
      <c r="T200" s="135">
        <v>0</v>
      </c>
      <c r="U200" s="123">
        <v>36</v>
      </c>
      <c r="V200" s="104" t="s">
        <v>28</v>
      </c>
      <c r="W200" s="55">
        <v>1942.5</v>
      </c>
      <c r="X200" s="133"/>
      <c r="Y200" s="133"/>
      <c r="Z200" s="56">
        <f>B200</f>
        <v>0</v>
      </c>
      <c r="AA200" s="49" t="s">
        <v>198</v>
      </c>
      <c r="AB200" s="56">
        <v>739030</v>
      </c>
      <c r="AC200" s="134"/>
    </row>
    <row r="201" spans="14:24" ht="12" customHeight="1">
      <c r="N201" s="100"/>
      <c r="O201" s="101"/>
      <c r="R201" s="59"/>
      <c r="S201" s="61"/>
      <c r="T201" s="61"/>
      <c r="U201" s="59"/>
      <c r="W201" s="62"/>
      <c r="X201" s="62"/>
    </row>
    <row r="202" spans="14:24" ht="12" customHeight="1">
      <c r="N202" s="100"/>
      <c r="O202" s="101"/>
      <c r="R202" s="59"/>
      <c r="S202" s="61"/>
      <c r="T202" s="61"/>
      <c r="U202" s="59"/>
      <c r="W202" s="62"/>
      <c r="X202" s="62"/>
    </row>
    <row r="203" spans="14:24" ht="12" customHeight="1">
      <c r="N203" s="100"/>
      <c r="O203" s="101"/>
      <c r="R203" s="59"/>
      <c r="S203" s="61"/>
      <c r="T203" s="61"/>
      <c r="U203" s="59"/>
      <c r="W203" s="62"/>
      <c r="X203" s="62"/>
    </row>
    <row r="204" spans="14:24" ht="12" customHeight="1">
      <c r="N204" s="100"/>
      <c r="O204" s="101"/>
      <c r="R204" s="59"/>
      <c r="S204" s="61"/>
      <c r="T204" s="61"/>
      <c r="U204" s="59"/>
      <c r="W204" s="62"/>
      <c r="X204" s="62"/>
    </row>
    <row r="205" spans="14:24" ht="12" customHeight="1">
      <c r="N205" s="100"/>
      <c r="O205" s="101"/>
      <c r="R205" s="59"/>
      <c r="S205" s="61"/>
      <c r="T205" s="61"/>
      <c r="U205" s="59"/>
      <c r="W205" s="62"/>
      <c r="X205" s="62"/>
    </row>
    <row r="206" spans="14:24" ht="12" customHeight="1">
      <c r="N206" s="100"/>
      <c r="O206" s="101"/>
      <c r="R206" s="59"/>
      <c r="S206" s="61"/>
      <c r="T206" s="61"/>
      <c r="U206" s="59"/>
      <c r="W206" s="62"/>
      <c r="X206" s="62"/>
    </row>
    <row r="207" spans="14:24" ht="12" customHeight="1">
      <c r="N207" s="100"/>
      <c r="O207" s="101"/>
      <c r="R207" s="59"/>
      <c r="S207" s="61"/>
      <c r="T207" s="61"/>
      <c r="U207" s="59"/>
      <c r="W207" s="62"/>
      <c r="X207" s="62"/>
    </row>
    <row r="208" spans="14:24" ht="12" customHeight="1">
      <c r="N208" s="100"/>
      <c r="O208" s="101"/>
      <c r="R208" s="59"/>
      <c r="S208" s="61"/>
      <c r="T208" s="61"/>
      <c r="U208" s="59"/>
      <c r="W208" s="62"/>
      <c r="X208" s="62"/>
    </row>
    <row r="209" spans="14:24" ht="12" customHeight="1">
      <c r="N209" s="100"/>
      <c r="O209" s="101"/>
      <c r="R209" s="59"/>
      <c r="S209" s="61"/>
      <c r="T209" s="61"/>
      <c r="U209" s="59"/>
      <c r="W209" s="62"/>
      <c r="X209" s="62"/>
    </row>
    <row r="210" spans="14:24" ht="12" customHeight="1">
      <c r="N210" s="100"/>
      <c r="O210" s="101"/>
      <c r="R210" s="59"/>
      <c r="S210" s="61"/>
      <c r="T210" s="61"/>
      <c r="U210" s="59"/>
      <c r="W210" s="62"/>
      <c r="X210" s="62"/>
    </row>
    <row r="211" spans="14:24" ht="12" customHeight="1">
      <c r="N211" s="100"/>
      <c r="O211" s="101"/>
      <c r="R211" s="59"/>
      <c r="S211" s="61"/>
      <c r="T211" s="61"/>
      <c r="U211" s="59"/>
      <c r="W211" s="62"/>
      <c r="X211" s="62"/>
    </row>
    <row r="212" spans="14:24" ht="12" customHeight="1">
      <c r="N212" s="100"/>
      <c r="O212" s="101"/>
      <c r="R212" s="59"/>
      <c r="S212" s="61"/>
      <c r="T212" s="61"/>
      <c r="U212" s="59"/>
      <c r="W212" s="62"/>
      <c r="X212" s="62"/>
    </row>
    <row r="213" spans="14:24" ht="12" customHeight="1">
      <c r="N213" s="100"/>
      <c r="O213" s="101"/>
      <c r="R213" s="59"/>
      <c r="S213" s="61"/>
      <c r="T213" s="61"/>
      <c r="U213" s="59"/>
      <c r="W213" s="62"/>
      <c r="X213" s="62"/>
    </row>
    <row r="214" spans="14:24" ht="12" customHeight="1">
      <c r="N214" s="100"/>
      <c r="O214" s="101"/>
      <c r="R214" s="59"/>
      <c r="S214" s="61"/>
      <c r="T214" s="61"/>
      <c r="U214" s="59"/>
      <c r="W214" s="62"/>
      <c r="X214" s="62"/>
    </row>
    <row r="215" spans="14:24" ht="12" customHeight="1">
      <c r="N215" s="100"/>
      <c r="O215" s="101"/>
      <c r="R215" s="59"/>
      <c r="S215" s="61"/>
      <c r="T215" s="61"/>
      <c r="U215" s="59"/>
      <c r="W215" s="62"/>
      <c r="X215" s="62"/>
    </row>
    <row r="216" spans="14:24" ht="12" customHeight="1">
      <c r="N216" s="100"/>
      <c r="O216" s="101"/>
      <c r="R216" s="59"/>
      <c r="S216" s="61"/>
      <c r="T216" s="61"/>
      <c r="U216" s="59"/>
      <c r="W216" s="62"/>
      <c r="X216" s="62"/>
    </row>
    <row r="217" spans="14:24" ht="12" customHeight="1">
      <c r="N217" s="100"/>
      <c r="O217" s="101"/>
      <c r="R217" s="59"/>
      <c r="S217" s="61"/>
      <c r="T217" s="61"/>
      <c r="U217" s="59"/>
      <c r="W217" s="62"/>
      <c r="X217" s="62"/>
    </row>
    <row r="218" spans="14:24" ht="12" customHeight="1">
      <c r="N218" s="100"/>
      <c r="O218" s="101"/>
      <c r="R218" s="59"/>
      <c r="S218" s="61"/>
      <c r="T218" s="61"/>
      <c r="U218" s="59"/>
      <c r="W218" s="62"/>
      <c r="X218" s="62"/>
    </row>
    <row r="219" spans="14:24" ht="12" customHeight="1">
      <c r="N219" s="100"/>
      <c r="O219" s="101"/>
      <c r="R219" s="59"/>
      <c r="S219" s="61"/>
      <c r="T219" s="61"/>
      <c r="U219" s="59"/>
      <c r="W219" s="62"/>
      <c r="X219" s="62"/>
    </row>
    <row r="220" spans="14:24" ht="12" customHeight="1">
      <c r="N220" s="100"/>
      <c r="O220" s="101"/>
      <c r="R220" s="59"/>
      <c r="S220" s="61"/>
      <c r="T220" s="61"/>
      <c r="U220" s="59"/>
      <c r="W220" s="62"/>
      <c r="X220" s="62"/>
    </row>
    <row r="221" spans="14:24" ht="12" customHeight="1">
      <c r="N221" s="100"/>
      <c r="O221" s="101"/>
      <c r="R221" s="59"/>
      <c r="S221" s="61"/>
      <c r="T221" s="61"/>
      <c r="U221" s="59"/>
      <c r="W221" s="62"/>
      <c r="X221" s="62"/>
    </row>
    <row r="222" spans="14:24" ht="12" customHeight="1">
      <c r="N222" s="100"/>
      <c r="O222" s="101"/>
      <c r="R222" s="59"/>
      <c r="S222" s="61"/>
      <c r="T222" s="61"/>
      <c r="U222" s="59"/>
      <c r="W222" s="62"/>
      <c r="X222" s="62"/>
    </row>
    <row r="223" spans="14:24" ht="12" customHeight="1">
      <c r="N223" s="100"/>
      <c r="O223" s="101"/>
      <c r="R223" s="59"/>
      <c r="S223" s="61"/>
      <c r="T223" s="61"/>
      <c r="U223" s="59"/>
      <c r="W223" s="62"/>
      <c r="X223" s="62"/>
    </row>
    <row r="224" spans="14:24" ht="12" customHeight="1">
      <c r="N224" s="100"/>
      <c r="O224" s="101"/>
      <c r="R224" s="59"/>
      <c r="S224" s="61"/>
      <c r="T224" s="61"/>
      <c r="U224" s="59"/>
      <c r="W224" s="62"/>
      <c r="X224" s="62"/>
    </row>
    <row r="225" spans="14:24" ht="12" customHeight="1">
      <c r="N225" s="100"/>
      <c r="O225" s="101"/>
      <c r="R225" s="59"/>
      <c r="S225" s="61"/>
      <c r="T225" s="61"/>
      <c r="U225" s="59"/>
      <c r="W225" s="62"/>
      <c r="X225" s="62"/>
    </row>
    <row r="226" spans="14:24" ht="12" customHeight="1">
      <c r="N226" s="100"/>
      <c r="O226" s="101"/>
      <c r="R226" s="59"/>
      <c r="S226" s="61"/>
      <c r="T226" s="61"/>
      <c r="U226" s="59"/>
      <c r="W226" s="62"/>
      <c r="X226" s="62"/>
    </row>
    <row r="227" spans="14:24" ht="12" customHeight="1">
      <c r="N227" s="100"/>
      <c r="O227" s="101"/>
      <c r="R227" s="59"/>
      <c r="S227" s="61"/>
      <c r="T227" s="61"/>
      <c r="U227" s="59"/>
      <c r="W227" s="62"/>
      <c r="X227" s="62"/>
    </row>
    <row r="228" spans="14:24" ht="12" customHeight="1">
      <c r="N228" s="100"/>
      <c r="O228" s="101"/>
      <c r="R228" s="59"/>
      <c r="S228" s="61"/>
      <c r="T228" s="61"/>
      <c r="U228" s="59"/>
      <c r="W228" s="62"/>
      <c r="X228" s="62"/>
    </row>
    <row r="229" spans="14:24" ht="12" customHeight="1">
      <c r="N229" s="100"/>
      <c r="O229" s="101"/>
      <c r="R229" s="59"/>
      <c r="S229" s="61"/>
      <c r="T229" s="61"/>
      <c r="U229" s="59"/>
      <c r="W229" s="62"/>
      <c r="X229" s="62"/>
    </row>
    <row r="230" spans="14:24" ht="12" customHeight="1">
      <c r="N230" s="100"/>
      <c r="O230" s="101"/>
      <c r="R230" s="59"/>
      <c r="S230" s="61"/>
      <c r="T230" s="61"/>
      <c r="U230" s="59"/>
      <c r="W230" s="62"/>
      <c r="X230" s="62"/>
    </row>
    <row r="231" spans="14:24" ht="12" customHeight="1">
      <c r="N231" s="100"/>
      <c r="O231" s="101"/>
      <c r="R231" s="59"/>
      <c r="S231" s="61"/>
      <c r="T231" s="61"/>
      <c r="U231" s="59"/>
      <c r="W231" s="62"/>
      <c r="X231" s="62"/>
    </row>
    <row r="232" spans="14:24" ht="12" customHeight="1">
      <c r="N232" s="100"/>
      <c r="O232" s="101"/>
      <c r="R232" s="59"/>
      <c r="S232" s="61"/>
      <c r="T232" s="61"/>
      <c r="U232" s="59"/>
      <c r="W232" s="62"/>
      <c r="X232" s="62"/>
    </row>
    <row r="233" spans="14:24" ht="12" customHeight="1">
      <c r="N233" s="100"/>
      <c r="O233" s="101"/>
      <c r="R233" s="59"/>
      <c r="S233" s="61"/>
      <c r="T233" s="61"/>
      <c r="U233" s="59"/>
      <c r="W233" s="62"/>
      <c r="X233" s="62"/>
    </row>
    <row r="234" spans="14:24" ht="12" customHeight="1">
      <c r="N234" s="100"/>
      <c r="O234" s="101"/>
      <c r="R234" s="59"/>
      <c r="S234" s="61"/>
      <c r="T234" s="61"/>
      <c r="U234" s="59"/>
      <c r="W234" s="62"/>
      <c r="X234" s="62"/>
    </row>
    <row r="235" spans="14:24" ht="12" customHeight="1">
      <c r="N235" s="100"/>
      <c r="O235" s="101"/>
      <c r="R235" s="59"/>
      <c r="S235" s="61"/>
      <c r="T235" s="61"/>
      <c r="U235" s="59"/>
      <c r="W235" s="62"/>
      <c r="X235" s="62"/>
    </row>
    <row r="236" spans="14:24" ht="12" customHeight="1">
      <c r="N236" s="100"/>
      <c r="O236" s="101"/>
      <c r="R236" s="59"/>
      <c r="S236" s="61"/>
      <c r="T236" s="61"/>
      <c r="U236" s="59"/>
      <c r="W236" s="62"/>
      <c r="X236" s="62"/>
    </row>
    <row r="237" spans="14:24" ht="12" customHeight="1">
      <c r="N237" s="100"/>
      <c r="O237" s="101"/>
      <c r="R237" s="59"/>
      <c r="S237" s="61"/>
      <c r="T237" s="61"/>
      <c r="U237" s="59"/>
      <c r="W237" s="62"/>
      <c r="X237" s="62"/>
    </row>
    <row r="238" spans="14:24" ht="12" customHeight="1">
      <c r="N238" s="100"/>
      <c r="O238" s="101"/>
      <c r="R238" s="59"/>
      <c r="S238" s="61"/>
      <c r="T238" s="61"/>
      <c r="U238" s="59"/>
      <c r="W238" s="62"/>
      <c r="X238" s="62"/>
    </row>
    <row r="239" spans="14:24" ht="12" customHeight="1">
      <c r="N239" s="100"/>
      <c r="O239" s="101"/>
      <c r="R239" s="59"/>
      <c r="S239" s="61"/>
      <c r="T239" s="61"/>
      <c r="U239" s="59"/>
      <c r="W239" s="62"/>
      <c r="X239" s="62"/>
    </row>
    <row r="240" spans="14:24" ht="12" customHeight="1">
      <c r="N240" s="100"/>
      <c r="O240" s="101"/>
      <c r="R240" s="59"/>
      <c r="S240" s="61"/>
      <c r="T240" s="61"/>
      <c r="U240" s="59"/>
      <c r="W240" s="62"/>
      <c r="X240" s="62"/>
    </row>
    <row r="241" spans="14:24" ht="12" customHeight="1">
      <c r="N241" s="100"/>
      <c r="O241" s="101"/>
      <c r="R241" s="59"/>
      <c r="S241" s="61"/>
      <c r="T241" s="61"/>
      <c r="U241" s="59"/>
      <c r="W241" s="62"/>
      <c r="X241" s="62"/>
    </row>
    <row r="242" spans="14:24" ht="12" customHeight="1">
      <c r="N242" s="100"/>
      <c r="O242" s="101"/>
      <c r="R242" s="59"/>
      <c r="S242" s="61"/>
      <c r="T242" s="61"/>
      <c r="U242" s="59"/>
      <c r="W242" s="62"/>
      <c r="X242" s="62"/>
    </row>
    <row r="243" spans="14:24" ht="12" customHeight="1">
      <c r="N243" s="100"/>
      <c r="O243" s="101"/>
      <c r="R243" s="59"/>
      <c r="S243" s="61"/>
      <c r="T243" s="61"/>
      <c r="U243" s="59"/>
      <c r="W243" s="62"/>
      <c r="X243" s="62"/>
    </row>
    <row r="244" spans="14:24" ht="12" customHeight="1">
      <c r="N244" s="100"/>
      <c r="O244" s="101"/>
      <c r="R244" s="59"/>
      <c r="S244" s="61"/>
      <c r="T244" s="61"/>
      <c r="U244" s="59"/>
      <c r="W244" s="62"/>
      <c r="X244" s="62"/>
    </row>
    <row r="245" spans="14:24" ht="12" customHeight="1">
      <c r="N245" s="100"/>
      <c r="O245" s="101"/>
      <c r="R245" s="59"/>
      <c r="S245" s="61"/>
      <c r="T245" s="61"/>
      <c r="U245" s="59"/>
      <c r="W245" s="62"/>
      <c r="X245" s="62"/>
    </row>
    <row r="246" spans="14:24" ht="12" customHeight="1">
      <c r="N246" s="100"/>
      <c r="O246" s="101"/>
      <c r="R246" s="59"/>
      <c r="S246" s="61"/>
      <c r="T246" s="61"/>
      <c r="U246" s="59"/>
      <c r="W246" s="62"/>
      <c r="X246" s="62"/>
    </row>
    <row r="247" spans="14:24" ht="12" customHeight="1">
      <c r="N247" s="100"/>
      <c r="O247" s="101"/>
      <c r="R247" s="59"/>
      <c r="S247" s="61"/>
      <c r="T247" s="61"/>
      <c r="U247" s="59"/>
      <c r="W247" s="62"/>
      <c r="X247" s="62"/>
    </row>
    <row r="248" spans="14:24" ht="12" customHeight="1">
      <c r="N248" s="100"/>
      <c r="O248" s="101"/>
      <c r="R248" s="59"/>
      <c r="S248" s="61"/>
      <c r="T248" s="61"/>
      <c r="U248" s="59"/>
      <c r="W248" s="62"/>
      <c r="X248" s="62"/>
    </row>
    <row r="249" spans="14:24" ht="12" customHeight="1">
      <c r="N249" s="100"/>
      <c r="O249" s="101"/>
      <c r="R249" s="59"/>
      <c r="S249" s="61"/>
      <c r="T249" s="61"/>
      <c r="U249" s="59"/>
      <c r="W249" s="62"/>
      <c r="X249" s="62"/>
    </row>
    <row r="250" spans="14:24" ht="12" customHeight="1">
      <c r="N250" s="100"/>
      <c r="O250" s="101"/>
      <c r="R250" s="59"/>
      <c r="S250" s="61"/>
      <c r="T250" s="61"/>
      <c r="U250" s="59"/>
      <c r="W250" s="62"/>
      <c r="X250" s="62"/>
    </row>
    <row r="251" spans="14:24" ht="12" customHeight="1">
      <c r="N251" s="100"/>
      <c r="O251" s="101"/>
      <c r="R251" s="59"/>
      <c r="S251" s="61"/>
      <c r="T251" s="61"/>
      <c r="U251" s="59"/>
      <c r="W251" s="62"/>
      <c r="X251" s="62"/>
    </row>
    <row r="252" spans="14:24" ht="12" customHeight="1">
      <c r="N252" s="100"/>
      <c r="O252" s="101"/>
      <c r="R252" s="59"/>
      <c r="S252" s="61"/>
      <c r="T252" s="61"/>
      <c r="U252" s="59"/>
      <c r="W252" s="62"/>
      <c r="X252" s="62"/>
    </row>
    <row r="253" spans="14:24" ht="12" customHeight="1">
      <c r="N253" s="100"/>
      <c r="O253" s="101"/>
      <c r="R253" s="59"/>
      <c r="S253" s="61"/>
      <c r="T253" s="61"/>
      <c r="U253" s="59"/>
      <c r="W253" s="62"/>
      <c r="X253" s="62"/>
    </row>
    <row r="254" spans="14:24" ht="12" customHeight="1">
      <c r="N254" s="100"/>
      <c r="O254" s="101"/>
      <c r="R254" s="59"/>
      <c r="S254" s="61"/>
      <c r="T254" s="61"/>
      <c r="U254" s="59"/>
      <c r="W254" s="62"/>
      <c r="X254" s="62"/>
    </row>
    <row r="255" spans="14:24" ht="12" customHeight="1">
      <c r="N255" s="100"/>
      <c r="O255" s="101"/>
      <c r="R255" s="59"/>
      <c r="S255" s="61"/>
      <c r="T255" s="61"/>
      <c r="U255" s="59"/>
      <c r="W255" s="62"/>
      <c r="X255" s="62"/>
    </row>
    <row r="256" spans="14:24" ht="12" customHeight="1">
      <c r="N256" s="100"/>
      <c r="O256" s="101"/>
      <c r="R256" s="59"/>
      <c r="S256" s="61"/>
      <c r="T256" s="61"/>
      <c r="U256" s="59"/>
      <c r="W256" s="62"/>
      <c r="X256" s="62"/>
    </row>
    <row r="257" spans="14:24" ht="12" customHeight="1">
      <c r="N257" s="100"/>
      <c r="O257" s="101"/>
      <c r="R257" s="59"/>
      <c r="S257" s="61"/>
      <c r="T257" s="61"/>
      <c r="U257" s="59"/>
      <c r="W257" s="62"/>
      <c r="X257" s="62"/>
    </row>
    <row r="258" spans="14:24" ht="12" customHeight="1">
      <c r="N258" s="100"/>
      <c r="O258" s="101"/>
      <c r="R258" s="59"/>
      <c r="S258" s="61"/>
      <c r="T258" s="61"/>
      <c r="U258" s="59"/>
      <c r="W258" s="62"/>
      <c r="X258" s="62"/>
    </row>
    <row r="259" spans="14:24" ht="12" customHeight="1">
      <c r="N259" s="100"/>
      <c r="O259" s="101"/>
      <c r="R259" s="59"/>
      <c r="S259" s="61"/>
      <c r="T259" s="61"/>
      <c r="U259" s="59"/>
      <c r="W259" s="62"/>
      <c r="X259" s="62"/>
    </row>
    <row r="260" spans="14:24" ht="12" customHeight="1">
      <c r="N260" s="100"/>
      <c r="O260" s="101"/>
      <c r="R260" s="59"/>
      <c r="S260" s="61"/>
      <c r="T260" s="61"/>
      <c r="U260" s="59"/>
      <c r="W260" s="62"/>
      <c r="X260" s="62"/>
    </row>
    <row r="261" spans="14:24" ht="12" customHeight="1">
      <c r="N261" s="100"/>
      <c r="O261" s="101"/>
      <c r="R261" s="59"/>
      <c r="S261" s="61"/>
      <c r="T261" s="61"/>
      <c r="U261" s="59"/>
      <c r="W261" s="62"/>
      <c r="X261" s="62"/>
    </row>
    <row r="262" spans="14:24" ht="12" customHeight="1">
      <c r="N262" s="100"/>
      <c r="O262" s="101"/>
      <c r="R262" s="59"/>
      <c r="S262" s="61"/>
      <c r="T262" s="61"/>
      <c r="U262" s="59"/>
      <c r="W262" s="62"/>
      <c r="X262" s="62"/>
    </row>
    <row r="263" spans="14:24" ht="12" customHeight="1">
      <c r="N263" s="100"/>
      <c r="O263" s="101"/>
      <c r="R263" s="59"/>
      <c r="S263" s="61"/>
      <c r="T263" s="61"/>
      <c r="U263" s="59"/>
      <c r="W263" s="62"/>
      <c r="X263" s="62"/>
    </row>
    <row r="264" spans="14:24" ht="12" customHeight="1">
      <c r="N264" s="100"/>
      <c r="O264" s="101"/>
      <c r="R264" s="59"/>
      <c r="S264" s="61"/>
      <c r="T264" s="61"/>
      <c r="U264" s="59"/>
      <c r="W264" s="62"/>
      <c r="X264" s="62"/>
    </row>
    <row r="265" spans="14:24" ht="12" customHeight="1">
      <c r="N265" s="100"/>
      <c r="O265" s="101"/>
      <c r="R265" s="59"/>
      <c r="S265" s="61"/>
      <c r="T265" s="61"/>
      <c r="U265" s="59"/>
      <c r="W265" s="62"/>
      <c r="X265" s="62"/>
    </row>
    <row r="266" spans="14:24" ht="12" customHeight="1">
      <c r="N266" s="100"/>
      <c r="O266" s="101"/>
      <c r="R266" s="59"/>
      <c r="S266" s="61"/>
      <c r="T266" s="61"/>
      <c r="U266" s="59"/>
      <c r="W266" s="62"/>
      <c r="X266" s="62"/>
    </row>
    <row r="267" spans="14:24" ht="12" customHeight="1">
      <c r="N267" s="100"/>
      <c r="O267" s="101"/>
      <c r="R267" s="59"/>
      <c r="S267" s="61"/>
      <c r="T267" s="61"/>
      <c r="U267" s="59"/>
      <c r="W267" s="62"/>
      <c r="X267" s="62"/>
    </row>
    <row r="268" spans="14:24" ht="12" customHeight="1">
      <c r="N268" s="100"/>
      <c r="O268" s="101"/>
      <c r="R268" s="59"/>
      <c r="S268" s="61"/>
      <c r="T268" s="61"/>
      <c r="U268" s="59"/>
      <c r="W268" s="62"/>
      <c r="X268" s="62"/>
    </row>
    <row r="269" spans="14:24" ht="12" customHeight="1">
      <c r="N269" s="100"/>
      <c r="O269" s="101"/>
      <c r="R269" s="59"/>
      <c r="S269" s="61"/>
      <c r="T269" s="61"/>
      <c r="U269" s="59"/>
      <c r="W269" s="62"/>
      <c r="X269" s="62"/>
    </row>
    <row r="270" spans="14:24" ht="12" customHeight="1">
      <c r="N270" s="100"/>
      <c r="O270" s="101"/>
      <c r="R270" s="59"/>
      <c r="S270" s="61"/>
      <c r="T270" s="61"/>
      <c r="U270" s="59"/>
      <c r="W270" s="62"/>
      <c r="X270" s="62"/>
    </row>
    <row r="271" spans="14:24" ht="12" customHeight="1">
      <c r="N271" s="100"/>
      <c r="O271" s="101"/>
      <c r="R271" s="59"/>
      <c r="S271" s="61"/>
      <c r="T271" s="61"/>
      <c r="U271" s="59"/>
      <c r="W271" s="62"/>
      <c r="X271" s="62"/>
    </row>
    <row r="272" spans="14:24" ht="12" customHeight="1">
      <c r="N272" s="100"/>
      <c r="O272" s="101"/>
      <c r="R272" s="59"/>
      <c r="S272" s="61"/>
      <c r="T272" s="61"/>
      <c r="U272" s="59"/>
      <c r="W272" s="62"/>
      <c r="X272" s="62"/>
    </row>
    <row r="273" spans="14:24" ht="12" customHeight="1">
      <c r="N273" s="100"/>
      <c r="O273" s="101"/>
      <c r="R273" s="59"/>
      <c r="S273" s="61"/>
      <c r="T273" s="61"/>
      <c r="U273" s="59"/>
      <c r="W273" s="62"/>
      <c r="X273" s="62"/>
    </row>
    <row r="274" spans="14:24" ht="12" customHeight="1">
      <c r="N274" s="100"/>
      <c r="O274" s="101"/>
      <c r="R274" s="59"/>
      <c r="S274" s="61"/>
      <c r="T274" s="61"/>
      <c r="U274" s="59"/>
      <c r="W274" s="62"/>
      <c r="X274" s="62"/>
    </row>
    <row r="275" spans="14:24" ht="12" customHeight="1">
      <c r="N275" s="100"/>
      <c r="O275" s="101"/>
      <c r="R275" s="59"/>
      <c r="S275" s="61"/>
      <c r="T275" s="61"/>
      <c r="U275" s="59"/>
      <c r="W275" s="62"/>
      <c r="X275" s="62"/>
    </row>
    <row r="276" spans="14:24" ht="12" customHeight="1">
      <c r="N276" s="100"/>
      <c r="O276" s="101"/>
      <c r="R276" s="59"/>
      <c r="S276" s="61"/>
      <c r="T276" s="61"/>
      <c r="U276" s="59"/>
      <c r="W276" s="62"/>
      <c r="X276" s="62"/>
    </row>
    <row r="277" spans="14:24" ht="12" customHeight="1">
      <c r="N277" s="100"/>
      <c r="O277" s="101"/>
      <c r="R277" s="59"/>
      <c r="S277" s="61"/>
      <c r="T277" s="61"/>
      <c r="U277" s="59"/>
      <c r="W277" s="62"/>
      <c r="X277" s="62"/>
    </row>
    <row r="278" spans="14:24" ht="12" customHeight="1">
      <c r="N278" s="100"/>
      <c r="O278" s="101"/>
      <c r="R278" s="59"/>
      <c r="S278" s="61"/>
      <c r="T278" s="61"/>
      <c r="U278" s="59"/>
      <c r="W278" s="62"/>
      <c r="X278" s="62"/>
    </row>
    <row r="279" spans="14:24" ht="12" customHeight="1">
      <c r="N279" s="100"/>
      <c r="O279" s="101"/>
      <c r="R279" s="59"/>
      <c r="S279" s="61"/>
      <c r="T279" s="61"/>
      <c r="U279" s="59"/>
      <c r="W279" s="62"/>
      <c r="X279" s="62"/>
    </row>
    <row r="280" spans="14:24" ht="12" customHeight="1">
      <c r="N280" s="100"/>
      <c r="O280" s="101"/>
      <c r="R280" s="59"/>
      <c r="S280" s="61"/>
      <c r="T280" s="61"/>
      <c r="U280" s="59"/>
      <c r="W280" s="62"/>
      <c r="X280" s="62"/>
    </row>
    <row r="281" spans="14:24" ht="12" customHeight="1">
      <c r="N281" s="100"/>
      <c r="O281" s="101"/>
      <c r="R281" s="59"/>
      <c r="S281" s="61"/>
      <c r="T281" s="61"/>
      <c r="U281" s="59"/>
      <c r="W281" s="62"/>
      <c r="X281" s="62"/>
    </row>
    <row r="282" spans="14:24" ht="12" customHeight="1">
      <c r="N282" s="100"/>
      <c r="O282" s="101"/>
      <c r="R282" s="59"/>
      <c r="S282" s="61"/>
      <c r="T282" s="61"/>
      <c r="U282" s="59"/>
      <c r="W282" s="62"/>
      <c r="X282" s="62"/>
    </row>
    <row r="283" spans="14:24" ht="12" customHeight="1">
      <c r="N283" s="100"/>
      <c r="O283" s="101"/>
      <c r="R283" s="59"/>
      <c r="S283" s="61"/>
      <c r="T283" s="61"/>
      <c r="U283" s="59"/>
      <c r="W283" s="62"/>
      <c r="X283" s="62"/>
    </row>
    <row r="284" spans="14:24" ht="12" customHeight="1">
      <c r="N284" s="100"/>
      <c r="O284" s="101"/>
      <c r="R284" s="59"/>
      <c r="S284" s="61"/>
      <c r="T284" s="61"/>
      <c r="U284" s="59"/>
      <c r="W284" s="62"/>
      <c r="X284" s="62"/>
    </row>
    <row r="285" spans="14:24" ht="12" customHeight="1">
      <c r="N285" s="100"/>
      <c r="O285" s="101"/>
      <c r="R285" s="59"/>
      <c r="S285" s="61"/>
      <c r="T285" s="61"/>
      <c r="U285" s="59"/>
      <c r="W285" s="62"/>
      <c r="X285" s="62"/>
    </row>
    <row r="286" spans="14:24" ht="12" customHeight="1">
      <c r="N286" s="100"/>
      <c r="O286" s="101"/>
      <c r="R286" s="59"/>
      <c r="S286" s="61"/>
      <c r="T286" s="61"/>
      <c r="U286" s="59"/>
      <c r="W286" s="62"/>
      <c r="X286" s="62"/>
    </row>
    <row r="287" spans="14:24" ht="12" customHeight="1">
      <c r="N287" s="100"/>
      <c r="O287" s="101"/>
      <c r="R287" s="59"/>
      <c r="S287" s="61"/>
      <c r="T287" s="61"/>
      <c r="U287" s="59"/>
      <c r="W287" s="62"/>
      <c r="X287" s="62"/>
    </row>
    <row r="288" spans="14:24" ht="12" customHeight="1">
      <c r="N288" s="100"/>
      <c r="O288" s="101"/>
      <c r="R288" s="59"/>
      <c r="S288" s="61"/>
      <c r="T288" s="61"/>
      <c r="U288" s="59"/>
      <c r="W288" s="62"/>
      <c r="X288" s="62"/>
    </row>
    <row r="289" spans="14:24" ht="12" customHeight="1">
      <c r="N289" s="100"/>
      <c r="O289" s="101"/>
      <c r="R289" s="59"/>
      <c r="S289" s="61"/>
      <c r="T289" s="61"/>
      <c r="U289" s="59"/>
      <c r="W289" s="62"/>
      <c r="X289" s="62"/>
    </row>
    <row r="290" spans="14:24" ht="12" customHeight="1">
      <c r="N290" s="100"/>
      <c r="O290" s="101"/>
      <c r="R290" s="59"/>
      <c r="S290" s="61"/>
      <c r="T290" s="61"/>
      <c r="U290" s="59"/>
      <c r="W290" s="62"/>
      <c r="X290" s="62"/>
    </row>
    <row r="291" spans="14:24" ht="12" customHeight="1">
      <c r="N291" s="100"/>
      <c r="O291" s="101"/>
      <c r="R291" s="59"/>
      <c r="S291" s="61"/>
      <c r="T291" s="61"/>
      <c r="U291" s="59"/>
      <c r="W291" s="62"/>
      <c r="X291" s="62"/>
    </row>
    <row r="292" spans="14:24" ht="12" customHeight="1">
      <c r="N292" s="100"/>
      <c r="O292" s="101"/>
      <c r="R292" s="59"/>
      <c r="S292" s="61"/>
      <c r="T292" s="61"/>
      <c r="U292" s="59"/>
      <c r="W292" s="62"/>
      <c r="X292" s="62"/>
    </row>
    <row r="293" spans="14:24" ht="12" customHeight="1">
      <c r="N293" s="100"/>
      <c r="O293" s="101"/>
      <c r="R293" s="59"/>
      <c r="S293" s="61"/>
      <c r="T293" s="61"/>
      <c r="U293" s="59"/>
      <c r="W293" s="62"/>
      <c r="X293" s="62"/>
    </row>
    <row r="294" spans="14:24" ht="12" customHeight="1">
      <c r="N294" s="100"/>
      <c r="O294" s="101"/>
      <c r="R294" s="59"/>
      <c r="S294" s="61"/>
      <c r="T294" s="61"/>
      <c r="U294" s="59"/>
      <c r="W294" s="62"/>
      <c r="X294" s="62"/>
    </row>
    <row r="295" spans="14:24" ht="12" customHeight="1">
      <c r="N295" s="100"/>
      <c r="O295" s="101"/>
      <c r="R295" s="59"/>
      <c r="S295" s="61"/>
      <c r="T295" s="61"/>
      <c r="U295" s="59"/>
      <c r="W295" s="62"/>
      <c r="X295" s="62"/>
    </row>
    <row r="296" spans="14:24" ht="12" customHeight="1">
      <c r="N296" s="100"/>
      <c r="O296" s="101"/>
      <c r="R296" s="59"/>
      <c r="S296" s="61"/>
      <c r="T296" s="61"/>
      <c r="U296" s="59"/>
      <c r="W296" s="62"/>
      <c r="X296" s="62"/>
    </row>
    <row r="297" spans="14:24" ht="12" customHeight="1">
      <c r="N297" s="100"/>
      <c r="O297" s="101"/>
      <c r="R297" s="59"/>
      <c r="S297" s="61"/>
      <c r="T297" s="61"/>
      <c r="U297" s="59"/>
      <c r="W297" s="62"/>
      <c r="X297" s="62"/>
    </row>
    <row r="298" spans="14:24" ht="12" customHeight="1">
      <c r="N298" s="100"/>
      <c r="O298" s="101"/>
      <c r="R298" s="59"/>
      <c r="S298" s="61"/>
      <c r="T298" s="61"/>
      <c r="U298" s="59"/>
      <c r="W298" s="62"/>
      <c r="X298" s="62"/>
    </row>
    <row r="299" spans="14:24" ht="12" customHeight="1">
      <c r="N299" s="100"/>
      <c r="O299" s="101"/>
      <c r="R299" s="59"/>
      <c r="S299" s="61"/>
      <c r="T299" s="61"/>
      <c r="U299" s="59"/>
      <c r="W299" s="62"/>
      <c r="X299" s="62"/>
    </row>
    <row r="300" spans="14:24" ht="12" customHeight="1" thickBot="1">
      <c r="N300" s="100"/>
      <c r="O300" s="101"/>
      <c r="R300" s="59"/>
      <c r="S300" s="61"/>
      <c r="T300" s="61"/>
      <c r="U300" s="59"/>
      <c r="W300" s="62"/>
      <c r="X300" s="62"/>
    </row>
    <row r="301" spans="1:24" ht="14.25" customHeight="1">
      <c r="A301" s="94" t="s">
        <v>46</v>
      </c>
      <c r="B301" s="92"/>
      <c r="C301" s="6" t="s">
        <v>22</v>
      </c>
      <c r="D301" s="3">
        <v>11094</v>
      </c>
      <c r="E301" s="92">
        <v>1</v>
      </c>
      <c r="N301" s="100"/>
      <c r="O301" s="101"/>
      <c r="R301" s="59"/>
      <c r="S301" s="61"/>
      <c r="T301" s="61"/>
      <c r="U301" s="59"/>
      <c r="W301" s="62"/>
      <c r="X301" s="62"/>
    </row>
    <row r="302" spans="1:24" ht="14.25" customHeight="1">
      <c r="A302" s="94" t="s">
        <v>118</v>
      </c>
      <c r="B302" s="92"/>
      <c r="C302" s="6" t="s">
        <v>125</v>
      </c>
      <c r="D302" s="5">
        <v>10042</v>
      </c>
      <c r="E302" s="92">
        <v>2</v>
      </c>
      <c r="N302" s="100"/>
      <c r="O302" s="101"/>
      <c r="R302" s="59"/>
      <c r="S302" s="61"/>
      <c r="T302" s="61"/>
      <c r="U302" s="59"/>
      <c r="W302" s="62"/>
      <c r="X302" s="62"/>
    </row>
    <row r="303" spans="1:24" ht="14.25" customHeight="1">
      <c r="A303" s="94" t="s">
        <v>119</v>
      </c>
      <c r="B303" s="92"/>
      <c r="C303" s="6" t="s">
        <v>32</v>
      </c>
      <c r="D303" s="7">
        <v>10040</v>
      </c>
      <c r="E303" s="92">
        <v>3</v>
      </c>
      <c r="N303" s="100"/>
      <c r="O303" s="101"/>
      <c r="R303" s="59"/>
      <c r="S303" s="61"/>
      <c r="T303" s="61"/>
      <c r="U303" s="59"/>
      <c r="W303" s="62"/>
      <c r="X303" s="62"/>
    </row>
    <row r="304" spans="1:24" ht="14.25" customHeight="1">
      <c r="A304" s="94" t="s">
        <v>140</v>
      </c>
      <c r="B304" s="92"/>
      <c r="C304" s="6" t="s">
        <v>126</v>
      </c>
      <c r="D304" s="7">
        <v>10043</v>
      </c>
      <c r="E304" s="92">
        <v>4</v>
      </c>
      <c r="N304" s="100"/>
      <c r="O304" s="101"/>
      <c r="R304" s="59"/>
      <c r="S304" s="61"/>
      <c r="T304" s="61"/>
      <c r="U304" s="59"/>
      <c r="W304" s="62"/>
      <c r="X304" s="62"/>
    </row>
    <row r="305" spans="1:24" ht="14.25" customHeight="1">
      <c r="A305" s="94" t="s">
        <v>98</v>
      </c>
      <c r="B305" s="92"/>
      <c r="C305" s="6" t="s">
        <v>127</v>
      </c>
      <c r="D305" s="7">
        <v>10117</v>
      </c>
      <c r="E305" s="92">
        <v>5</v>
      </c>
      <c r="N305" s="100"/>
      <c r="O305" s="101"/>
      <c r="R305" s="59"/>
      <c r="S305" s="61"/>
      <c r="T305" s="61"/>
      <c r="U305" s="59"/>
      <c r="W305" s="62"/>
      <c r="X305" s="62"/>
    </row>
    <row r="306" spans="1:24" ht="14.25">
      <c r="A306" s="94" t="s">
        <v>141</v>
      </c>
      <c r="B306" s="92"/>
      <c r="C306" s="6" t="s">
        <v>142</v>
      </c>
      <c r="D306" s="7" t="s">
        <v>143</v>
      </c>
      <c r="E306" s="92">
        <v>6</v>
      </c>
      <c r="N306" s="100"/>
      <c r="O306" s="101"/>
      <c r="R306" s="59"/>
      <c r="S306" s="61"/>
      <c r="T306" s="61"/>
      <c r="U306" s="59"/>
      <c r="W306" s="62"/>
      <c r="X306" s="62"/>
    </row>
    <row r="307" spans="1:24" ht="14.25">
      <c r="A307" s="94" t="s">
        <v>123</v>
      </c>
      <c r="B307" s="92"/>
      <c r="C307" s="6" t="s">
        <v>33</v>
      </c>
      <c r="D307" s="7">
        <v>10044</v>
      </c>
      <c r="E307" s="92">
        <v>7</v>
      </c>
      <c r="N307" s="100"/>
      <c r="O307" s="101"/>
      <c r="R307" s="59"/>
      <c r="S307" s="61"/>
      <c r="T307" s="61"/>
      <c r="U307" s="59"/>
      <c r="W307" s="62"/>
      <c r="X307" s="62"/>
    </row>
    <row r="308" spans="1:24" ht="14.25">
      <c r="A308" s="94" t="s">
        <v>144</v>
      </c>
      <c r="B308" s="92"/>
      <c r="C308" s="6" t="s">
        <v>35</v>
      </c>
      <c r="D308" s="7">
        <v>10044</v>
      </c>
      <c r="E308" s="92">
        <v>8</v>
      </c>
      <c r="N308" s="100"/>
      <c r="O308" s="101"/>
      <c r="R308" s="59"/>
      <c r="S308" s="61"/>
      <c r="T308" s="61"/>
      <c r="U308" s="59"/>
      <c r="W308" s="62"/>
      <c r="X308" s="62"/>
    </row>
    <row r="309" spans="1:24" ht="14.25">
      <c r="A309" s="92" t="s">
        <v>63</v>
      </c>
      <c r="B309" s="92"/>
      <c r="C309" s="6" t="s">
        <v>36</v>
      </c>
      <c r="D309" s="7">
        <v>10128</v>
      </c>
      <c r="E309" s="92">
        <v>9</v>
      </c>
      <c r="N309" s="100"/>
      <c r="O309" s="101"/>
      <c r="R309" s="59"/>
      <c r="S309" s="61"/>
      <c r="T309" s="61"/>
      <c r="U309" s="59"/>
      <c r="W309" s="62"/>
      <c r="X309" s="62"/>
    </row>
    <row r="310" spans="1:24" ht="14.25">
      <c r="A310" s="92" t="s">
        <v>65</v>
      </c>
      <c r="B310" s="92"/>
      <c r="C310" s="6" t="s">
        <v>247</v>
      </c>
      <c r="D310" s="7">
        <v>11278</v>
      </c>
      <c r="E310" s="92">
        <v>10</v>
      </c>
      <c r="N310" s="100"/>
      <c r="O310" s="101"/>
      <c r="R310" s="59"/>
      <c r="S310" s="61"/>
      <c r="T310" s="61"/>
      <c r="U310" s="59"/>
      <c r="W310" s="62"/>
      <c r="X310" s="62"/>
    </row>
    <row r="311" spans="1:24" ht="14.25">
      <c r="A311" s="94" t="s">
        <v>82</v>
      </c>
      <c r="B311" s="92"/>
      <c r="C311" s="6" t="s">
        <v>38</v>
      </c>
      <c r="D311" s="7">
        <v>10045</v>
      </c>
      <c r="E311" s="92">
        <v>11</v>
      </c>
      <c r="N311" s="100"/>
      <c r="O311" s="101"/>
      <c r="R311" s="59"/>
      <c r="S311" s="61"/>
      <c r="T311" s="61"/>
      <c r="U311" s="59"/>
      <c r="W311" s="62"/>
      <c r="X311" s="62"/>
    </row>
    <row r="312" spans="1:24" ht="14.25">
      <c r="A312" s="94" t="s">
        <v>122</v>
      </c>
      <c r="B312" s="92"/>
      <c r="C312" s="6" t="s">
        <v>135</v>
      </c>
      <c r="D312" s="7">
        <v>10045</v>
      </c>
      <c r="E312" s="92">
        <v>12</v>
      </c>
      <c r="N312" s="100"/>
      <c r="O312" s="101"/>
      <c r="R312" s="59"/>
      <c r="S312" s="61"/>
      <c r="T312" s="61"/>
      <c r="U312" s="59"/>
      <c r="W312" s="62"/>
      <c r="X312" s="62"/>
    </row>
    <row r="313" spans="1:24" ht="14.25">
      <c r="A313" s="94" t="s">
        <v>90</v>
      </c>
      <c r="B313" s="92"/>
      <c r="C313" s="6" t="s">
        <v>145</v>
      </c>
      <c r="D313" s="7">
        <v>10137</v>
      </c>
      <c r="E313" s="92">
        <v>13</v>
      </c>
      <c r="N313" s="100"/>
      <c r="O313" s="101"/>
      <c r="R313" s="59"/>
      <c r="S313" s="61"/>
      <c r="T313" s="61"/>
      <c r="U313" s="59"/>
      <c r="W313" s="62"/>
      <c r="X313" s="62"/>
    </row>
    <row r="314" spans="1:24" ht="14.25">
      <c r="A314" s="94" t="s">
        <v>120</v>
      </c>
      <c r="B314" s="92"/>
      <c r="C314" s="6" t="s">
        <v>146</v>
      </c>
      <c r="D314" s="7">
        <v>10115</v>
      </c>
      <c r="E314" s="92">
        <v>14</v>
      </c>
      <c r="N314" s="100"/>
      <c r="O314" s="101"/>
      <c r="R314" s="59"/>
      <c r="S314" s="61"/>
      <c r="T314" s="61"/>
      <c r="U314" s="59"/>
      <c r="W314" s="62"/>
      <c r="X314" s="62"/>
    </row>
    <row r="315" spans="1:24" ht="14.25">
      <c r="A315" s="94" t="s">
        <v>27</v>
      </c>
      <c r="B315" s="92"/>
      <c r="C315" s="6" t="s">
        <v>39</v>
      </c>
      <c r="D315" s="7" t="s">
        <v>40</v>
      </c>
      <c r="E315" s="92">
        <v>15</v>
      </c>
      <c r="N315" s="100"/>
      <c r="O315" s="101"/>
      <c r="R315" s="59"/>
      <c r="S315" s="61"/>
      <c r="T315" s="61"/>
      <c r="U315" s="59"/>
      <c r="W315" s="62"/>
      <c r="X315" s="62"/>
    </row>
    <row r="316" spans="1:24" ht="14.25">
      <c r="A316" s="94" t="s">
        <v>24</v>
      </c>
      <c r="B316" s="92"/>
      <c r="C316" s="6" t="s">
        <v>43</v>
      </c>
      <c r="D316" s="7">
        <v>10130</v>
      </c>
      <c r="E316" s="92">
        <v>16</v>
      </c>
      <c r="N316" s="100"/>
      <c r="O316" s="101"/>
      <c r="R316" s="59"/>
      <c r="S316" s="61"/>
      <c r="T316" s="61"/>
      <c r="U316" s="59"/>
      <c r="W316" s="62"/>
      <c r="X316" s="62"/>
    </row>
    <row r="317" spans="1:24" ht="14.25">
      <c r="A317" s="94" t="s">
        <v>147</v>
      </c>
      <c r="B317" s="92"/>
      <c r="C317" s="6" t="s">
        <v>45</v>
      </c>
      <c r="D317" s="7">
        <v>10047</v>
      </c>
      <c r="E317" s="92">
        <v>17</v>
      </c>
      <c r="N317" s="100"/>
      <c r="O317" s="101"/>
      <c r="R317" s="59"/>
      <c r="S317" s="61"/>
      <c r="T317" s="61"/>
      <c r="U317" s="59"/>
      <c r="W317" s="62"/>
      <c r="X317" s="62"/>
    </row>
    <row r="318" spans="1:24" ht="14.25">
      <c r="A318" s="94" t="s">
        <v>148</v>
      </c>
      <c r="B318" s="92"/>
      <c r="C318" s="6" t="s">
        <v>47</v>
      </c>
      <c r="D318" s="7">
        <v>10046</v>
      </c>
      <c r="E318" s="92">
        <v>18</v>
      </c>
      <c r="N318" s="100"/>
      <c r="O318" s="101"/>
      <c r="R318" s="59"/>
      <c r="S318" s="61"/>
      <c r="T318" s="61"/>
      <c r="U318" s="59"/>
      <c r="W318" s="62"/>
      <c r="X318" s="62"/>
    </row>
    <row r="319" spans="1:24" ht="14.25">
      <c r="A319" s="94" t="s">
        <v>37</v>
      </c>
      <c r="B319" s="92"/>
      <c r="C319" s="6" t="s">
        <v>48</v>
      </c>
      <c r="D319" s="7">
        <v>10048</v>
      </c>
      <c r="E319" s="92">
        <v>19</v>
      </c>
      <c r="N319" s="100"/>
      <c r="O319" s="101"/>
      <c r="R319" s="59"/>
      <c r="S319" s="61"/>
      <c r="T319" s="61"/>
      <c r="U319" s="59"/>
      <c r="W319" s="62"/>
      <c r="X319" s="62"/>
    </row>
    <row r="320" spans="1:24" ht="14.25">
      <c r="A320" s="94" t="s">
        <v>42</v>
      </c>
      <c r="B320" s="92"/>
      <c r="C320" s="6" t="s">
        <v>128</v>
      </c>
      <c r="D320" s="7">
        <v>10118</v>
      </c>
      <c r="E320" s="92">
        <v>20</v>
      </c>
      <c r="N320" s="100"/>
      <c r="O320" s="101"/>
      <c r="R320" s="59"/>
      <c r="S320" s="61"/>
      <c r="T320" s="61"/>
      <c r="U320" s="59"/>
      <c r="W320" s="62"/>
      <c r="X320" s="62"/>
    </row>
    <row r="321" spans="1:24" ht="14.25">
      <c r="A321" s="94" t="s">
        <v>95</v>
      </c>
      <c r="B321" s="92"/>
      <c r="C321" s="6" t="s">
        <v>129</v>
      </c>
      <c r="D321" s="7">
        <v>10049</v>
      </c>
      <c r="E321" s="92">
        <v>21</v>
      </c>
      <c r="N321" s="100"/>
      <c r="O321" s="101"/>
      <c r="R321" s="59"/>
      <c r="S321" s="61"/>
      <c r="T321" s="61"/>
      <c r="U321" s="59"/>
      <c r="W321" s="62"/>
      <c r="X321" s="62"/>
    </row>
    <row r="322" spans="1:24" ht="14.25">
      <c r="A322" s="94" t="s">
        <v>44</v>
      </c>
      <c r="B322" s="92"/>
      <c r="C322" s="6" t="s">
        <v>49</v>
      </c>
      <c r="D322" s="7">
        <v>10049</v>
      </c>
      <c r="E322" s="92">
        <v>22</v>
      </c>
      <c r="N322" s="100"/>
      <c r="O322" s="101"/>
      <c r="R322" s="59"/>
      <c r="S322" s="61"/>
      <c r="T322" s="61"/>
      <c r="U322" s="59"/>
      <c r="W322" s="62"/>
      <c r="X322" s="62"/>
    </row>
    <row r="323" spans="2:24" ht="14.25">
      <c r="B323" s="92"/>
      <c r="C323" s="6" t="s">
        <v>50</v>
      </c>
      <c r="D323" s="7">
        <v>10050</v>
      </c>
      <c r="E323" s="92">
        <v>23</v>
      </c>
      <c r="N323" s="100"/>
      <c r="O323" s="101"/>
      <c r="R323" s="59"/>
      <c r="S323" s="61"/>
      <c r="T323" s="61"/>
      <c r="U323" s="59"/>
      <c r="W323" s="62"/>
      <c r="X323" s="62"/>
    </row>
    <row r="324" spans="1:24" ht="14.25">
      <c r="A324" s="94"/>
      <c r="B324" s="92"/>
      <c r="C324" s="6" t="s">
        <v>51</v>
      </c>
      <c r="D324" s="7" t="s">
        <v>52</v>
      </c>
      <c r="E324" s="92">
        <v>24</v>
      </c>
      <c r="N324" s="100"/>
      <c r="O324" s="101"/>
      <c r="R324" s="59"/>
      <c r="S324" s="61"/>
      <c r="T324" s="61"/>
      <c r="U324" s="59"/>
      <c r="W324" s="62"/>
      <c r="X324" s="62"/>
    </row>
    <row r="325" spans="1:24" ht="14.25">
      <c r="A325" s="94"/>
      <c r="B325" s="92"/>
      <c r="C325" s="6" t="s">
        <v>53</v>
      </c>
      <c r="D325" s="7">
        <v>10051</v>
      </c>
      <c r="E325" s="92">
        <v>25</v>
      </c>
      <c r="N325" s="100"/>
      <c r="O325" s="101"/>
      <c r="R325" s="59"/>
      <c r="S325" s="61"/>
      <c r="T325" s="61"/>
      <c r="U325" s="59"/>
      <c r="W325" s="62"/>
      <c r="X325" s="62"/>
    </row>
    <row r="326" spans="1:24" ht="14.25">
      <c r="A326" s="94"/>
      <c r="B326" s="92"/>
      <c r="C326" s="6" t="s">
        <v>149</v>
      </c>
      <c r="D326" s="7" t="s">
        <v>269</v>
      </c>
      <c r="E326" s="92">
        <v>26</v>
      </c>
      <c r="N326" s="100"/>
      <c r="O326" s="101"/>
      <c r="R326" s="59"/>
      <c r="S326" s="61"/>
      <c r="T326" s="61"/>
      <c r="U326" s="59"/>
      <c r="W326" s="62"/>
      <c r="X326" s="62"/>
    </row>
    <row r="327" spans="1:24" ht="14.25">
      <c r="A327" s="94"/>
      <c r="B327" s="92"/>
      <c r="C327" s="6" t="s">
        <v>54</v>
      </c>
      <c r="D327" s="7">
        <v>10054</v>
      </c>
      <c r="E327" s="92">
        <v>27</v>
      </c>
      <c r="N327" s="100"/>
      <c r="O327" s="101"/>
      <c r="R327" s="59"/>
      <c r="S327" s="61"/>
      <c r="T327" s="61"/>
      <c r="U327" s="59"/>
      <c r="W327" s="62"/>
      <c r="X327" s="62"/>
    </row>
    <row r="328" spans="1:24" ht="14.25">
      <c r="A328" s="94"/>
      <c r="B328" s="92"/>
      <c r="C328" s="6" t="s">
        <v>150</v>
      </c>
      <c r="D328" s="7" t="s">
        <v>151</v>
      </c>
      <c r="E328" s="92">
        <v>28</v>
      </c>
      <c r="N328" s="100"/>
      <c r="O328" s="101"/>
      <c r="R328" s="59"/>
      <c r="S328" s="61"/>
      <c r="T328" s="61"/>
      <c r="U328" s="59"/>
      <c r="W328" s="62"/>
      <c r="X328" s="62"/>
    </row>
    <row r="329" spans="2:24" ht="14.25">
      <c r="B329" s="92"/>
      <c r="C329" s="6" t="s">
        <v>55</v>
      </c>
      <c r="D329" s="7">
        <v>10055</v>
      </c>
      <c r="E329" s="92">
        <v>29</v>
      </c>
      <c r="N329" s="100"/>
      <c r="O329" s="101"/>
      <c r="R329" s="59"/>
      <c r="S329" s="61"/>
      <c r="T329" s="61"/>
      <c r="U329" s="59"/>
      <c r="W329" s="62"/>
      <c r="X329" s="62"/>
    </row>
    <row r="330" spans="2:24" ht="14.25">
      <c r="B330" s="92"/>
      <c r="C330" s="6" t="s">
        <v>136</v>
      </c>
      <c r="D330" s="7">
        <v>10055</v>
      </c>
      <c r="E330" s="92">
        <v>30</v>
      </c>
      <c r="N330" s="100"/>
      <c r="O330" s="101"/>
      <c r="R330" s="59"/>
      <c r="S330" s="61"/>
      <c r="T330" s="61"/>
      <c r="U330" s="59"/>
      <c r="W330" s="62"/>
      <c r="X330" s="62"/>
    </row>
    <row r="331" spans="2:24" ht="14.25">
      <c r="B331" s="92"/>
      <c r="C331" s="6" t="s">
        <v>56</v>
      </c>
      <c r="D331" s="7" t="s">
        <v>57</v>
      </c>
      <c r="E331" s="92">
        <v>31</v>
      </c>
      <c r="N331" s="100"/>
      <c r="O331" s="101"/>
      <c r="R331" s="59"/>
      <c r="S331" s="61"/>
      <c r="T331" s="61"/>
      <c r="U331" s="59"/>
      <c r="W331" s="62"/>
      <c r="X331" s="62"/>
    </row>
    <row r="332" spans="2:24" ht="14.25">
      <c r="B332" s="92"/>
      <c r="C332" s="6" t="s">
        <v>58</v>
      </c>
      <c r="D332" s="7">
        <v>10056</v>
      </c>
      <c r="E332" s="92">
        <v>32</v>
      </c>
      <c r="N332" s="100"/>
      <c r="O332" s="101"/>
      <c r="R332" s="59"/>
      <c r="S332" s="61"/>
      <c r="T332" s="61"/>
      <c r="U332" s="59"/>
      <c r="W332" s="62"/>
      <c r="X332" s="62"/>
    </row>
    <row r="333" spans="2:24" ht="14.25">
      <c r="B333" s="92"/>
      <c r="C333" s="6" t="s">
        <v>59</v>
      </c>
      <c r="D333" s="7">
        <v>10057</v>
      </c>
      <c r="E333" s="92">
        <v>33</v>
      </c>
      <c r="N333" s="100"/>
      <c r="O333" s="101"/>
      <c r="R333" s="59"/>
      <c r="S333" s="61"/>
      <c r="T333" s="61"/>
      <c r="U333" s="59"/>
      <c r="W333" s="62"/>
      <c r="X333" s="62"/>
    </row>
    <row r="334" spans="1:24" ht="14.25">
      <c r="A334" s="92" t="s">
        <v>30</v>
      </c>
      <c r="B334" s="92"/>
      <c r="C334" s="6" t="s">
        <v>60</v>
      </c>
      <c r="D334" s="7">
        <v>10083</v>
      </c>
      <c r="E334" s="92">
        <v>34</v>
      </c>
      <c r="N334" s="100"/>
      <c r="O334" s="101"/>
      <c r="R334" s="59"/>
      <c r="S334" s="61"/>
      <c r="T334" s="61"/>
      <c r="U334" s="59"/>
      <c r="W334" s="62"/>
      <c r="X334" s="62"/>
    </row>
    <row r="335" spans="1:24" ht="14.25">
      <c r="A335" s="92" t="s">
        <v>25</v>
      </c>
      <c r="B335" s="92"/>
      <c r="C335" s="6" t="s">
        <v>61</v>
      </c>
      <c r="D335" s="7">
        <v>10059</v>
      </c>
      <c r="E335" s="92">
        <v>35</v>
      </c>
      <c r="N335" s="100"/>
      <c r="O335" s="101"/>
      <c r="R335" s="59"/>
      <c r="S335" s="61"/>
      <c r="T335" s="61"/>
      <c r="U335" s="59"/>
      <c r="W335" s="62"/>
      <c r="X335" s="62"/>
    </row>
    <row r="336" spans="2:24" ht="14.25">
      <c r="B336" s="92"/>
      <c r="C336" s="6" t="s">
        <v>152</v>
      </c>
      <c r="D336" s="7" t="s">
        <v>153</v>
      </c>
      <c r="E336" s="92">
        <v>36</v>
      </c>
      <c r="N336" s="100"/>
      <c r="O336" s="101"/>
      <c r="R336" s="59"/>
      <c r="S336" s="61"/>
      <c r="T336" s="61"/>
      <c r="U336" s="59"/>
      <c r="W336" s="62"/>
      <c r="X336" s="62"/>
    </row>
    <row r="337" spans="1:24" ht="14.25">
      <c r="A337" t="s">
        <v>31</v>
      </c>
      <c r="B337" s="92"/>
      <c r="C337" s="6" t="s">
        <v>62</v>
      </c>
      <c r="D337" s="7">
        <v>10061</v>
      </c>
      <c r="E337" s="92">
        <v>37</v>
      </c>
      <c r="N337" s="100"/>
      <c r="O337" s="101"/>
      <c r="R337" s="59"/>
      <c r="S337" s="61"/>
      <c r="T337" s="61"/>
      <c r="U337" s="59"/>
      <c r="W337" s="62"/>
      <c r="X337" s="62"/>
    </row>
    <row r="338" spans="1:24" ht="14.25">
      <c r="A338" t="s">
        <v>227</v>
      </c>
      <c r="B338" s="92"/>
      <c r="C338" s="6" t="s">
        <v>64</v>
      </c>
      <c r="D338" s="7">
        <v>10060</v>
      </c>
      <c r="E338" s="92">
        <v>38</v>
      </c>
      <c r="N338" s="100"/>
      <c r="O338" s="101"/>
      <c r="R338" s="59"/>
      <c r="S338" s="61"/>
      <c r="T338" s="61"/>
      <c r="U338" s="59"/>
      <c r="W338" s="62"/>
      <c r="X338" s="62"/>
    </row>
    <row r="339" spans="1:24" ht="14.25">
      <c r="A339" t="s">
        <v>28</v>
      </c>
      <c r="B339" s="92"/>
      <c r="C339" s="6" t="s">
        <v>154</v>
      </c>
      <c r="D339" s="7" t="s">
        <v>155</v>
      </c>
      <c r="E339" s="92">
        <v>39</v>
      </c>
      <c r="N339" s="100"/>
      <c r="O339" s="101"/>
      <c r="R339" s="59"/>
      <c r="S339" s="61"/>
      <c r="T339" s="61"/>
      <c r="U339" s="59"/>
      <c r="W339" s="62"/>
      <c r="X339" s="62"/>
    </row>
    <row r="340" spans="1:24" ht="14.25">
      <c r="A340" t="s">
        <v>158</v>
      </c>
      <c r="B340" s="92"/>
      <c r="C340" s="6" t="s">
        <v>251</v>
      </c>
      <c r="D340" s="7">
        <v>10063</v>
      </c>
      <c r="E340" s="92">
        <v>40</v>
      </c>
      <c r="N340" s="100"/>
      <c r="O340" s="101"/>
      <c r="R340" s="59"/>
      <c r="S340" s="61"/>
      <c r="T340" s="61"/>
      <c r="U340" s="59"/>
      <c r="W340" s="62"/>
      <c r="X340" s="62"/>
    </row>
    <row r="341" spans="2:24" ht="14.25">
      <c r="B341" s="92"/>
      <c r="C341" s="6" t="s">
        <v>67</v>
      </c>
      <c r="D341" s="7">
        <v>10064</v>
      </c>
      <c r="E341" s="92">
        <v>41</v>
      </c>
      <c r="N341" s="100"/>
      <c r="O341" s="101"/>
      <c r="R341" s="59"/>
      <c r="S341" s="61"/>
      <c r="T341" s="61"/>
      <c r="U341" s="59"/>
      <c r="W341" s="62"/>
      <c r="X341" s="62"/>
    </row>
    <row r="342" spans="2:24" ht="14.25">
      <c r="B342" s="92"/>
      <c r="C342" s="6" t="s">
        <v>137</v>
      </c>
      <c r="D342" s="7">
        <v>10334</v>
      </c>
      <c r="E342" s="92">
        <v>42</v>
      </c>
      <c r="N342" s="100"/>
      <c r="O342" s="101"/>
      <c r="R342" s="59"/>
      <c r="S342" s="61"/>
      <c r="T342" s="61"/>
      <c r="U342" s="59"/>
      <c r="W342" s="62"/>
      <c r="X342" s="62"/>
    </row>
    <row r="343" spans="1:24" ht="14.25">
      <c r="A343" s="92">
        <v>1</v>
      </c>
      <c r="B343" s="92"/>
      <c r="C343" s="6" t="s">
        <v>157</v>
      </c>
      <c r="D343" s="7">
        <v>10145</v>
      </c>
      <c r="E343" s="92">
        <v>43</v>
      </c>
      <c r="N343" s="100"/>
      <c r="O343" s="101"/>
      <c r="R343" s="59"/>
      <c r="S343" s="61"/>
      <c r="T343" s="61"/>
      <c r="U343" s="59"/>
      <c r="W343" s="62"/>
      <c r="X343" s="62"/>
    </row>
    <row r="344" spans="1:24" ht="14.25">
      <c r="A344" s="92">
        <v>2</v>
      </c>
      <c r="B344" s="92"/>
      <c r="C344" s="6" t="s">
        <v>68</v>
      </c>
      <c r="D344" s="7">
        <v>10065</v>
      </c>
      <c r="E344" s="92">
        <v>44</v>
      </c>
      <c r="N344" s="100"/>
      <c r="O344" s="101"/>
      <c r="R344" s="59"/>
      <c r="S344" s="61"/>
      <c r="T344" s="61"/>
      <c r="U344" s="59"/>
      <c r="W344" s="62"/>
      <c r="X344" s="62"/>
    </row>
    <row r="345" spans="1:24" ht="14.25">
      <c r="A345" s="92">
        <v>3</v>
      </c>
      <c r="B345" s="92"/>
      <c r="C345" s="6" t="s">
        <v>159</v>
      </c>
      <c r="D345" s="7">
        <v>10139</v>
      </c>
      <c r="E345" s="92">
        <v>45</v>
      </c>
      <c r="N345" s="100"/>
      <c r="O345" s="101"/>
      <c r="R345" s="59"/>
      <c r="S345" s="61"/>
      <c r="T345" s="61"/>
      <c r="U345" s="59"/>
      <c r="W345" s="62"/>
      <c r="X345" s="62"/>
    </row>
    <row r="346" spans="1:24" ht="14.25">
      <c r="A346" s="92">
        <v>4</v>
      </c>
      <c r="B346" s="92"/>
      <c r="C346" s="6" t="s">
        <v>160</v>
      </c>
      <c r="D346" s="7">
        <v>10066</v>
      </c>
      <c r="E346" s="92">
        <v>46</v>
      </c>
      <c r="N346" s="100"/>
      <c r="O346" s="101"/>
      <c r="R346" s="59"/>
      <c r="S346" s="61"/>
      <c r="T346" s="61"/>
      <c r="U346" s="59"/>
      <c r="W346" s="62"/>
      <c r="X346" s="62"/>
    </row>
    <row r="347" spans="1:24" ht="14.25">
      <c r="A347" s="92">
        <v>5</v>
      </c>
      <c r="B347" s="92"/>
      <c r="C347" s="6" t="s">
        <v>69</v>
      </c>
      <c r="D347" s="7">
        <v>10068</v>
      </c>
      <c r="E347" s="92">
        <v>47</v>
      </c>
      <c r="N347" s="100"/>
      <c r="O347" s="101"/>
      <c r="R347" s="59"/>
      <c r="S347" s="61"/>
      <c r="T347" s="61"/>
      <c r="U347" s="59"/>
      <c r="W347" s="62"/>
      <c r="X347" s="62"/>
    </row>
    <row r="348" spans="1:24" ht="14.25">
      <c r="A348" s="92">
        <v>6</v>
      </c>
      <c r="B348" s="92"/>
      <c r="C348" s="6" t="s">
        <v>130</v>
      </c>
      <c r="D348" s="7">
        <v>10067</v>
      </c>
      <c r="E348" s="92">
        <v>48</v>
      </c>
      <c r="N348" s="100"/>
      <c r="O348" s="101"/>
      <c r="R348" s="59"/>
      <c r="S348" s="61"/>
      <c r="T348" s="61"/>
      <c r="U348" s="59"/>
      <c r="W348" s="62"/>
      <c r="X348" s="62"/>
    </row>
    <row r="349" spans="1:24" ht="14.25">
      <c r="A349" s="92">
        <v>7</v>
      </c>
      <c r="B349" s="92"/>
      <c r="C349" s="6" t="s">
        <v>161</v>
      </c>
      <c r="D349" s="7">
        <v>10069</v>
      </c>
      <c r="E349" s="92">
        <v>49</v>
      </c>
      <c r="N349" s="100"/>
      <c r="O349" s="101"/>
      <c r="R349" s="59"/>
      <c r="S349" s="61"/>
      <c r="T349" s="61"/>
      <c r="U349" s="59"/>
      <c r="W349" s="62"/>
      <c r="X349" s="62"/>
    </row>
    <row r="350" spans="1:24" ht="14.25">
      <c r="A350" s="92">
        <v>8</v>
      </c>
      <c r="B350" s="92"/>
      <c r="C350" s="6" t="s">
        <v>70</v>
      </c>
      <c r="D350" s="7" t="s">
        <v>71</v>
      </c>
      <c r="E350" s="92">
        <v>50</v>
      </c>
      <c r="N350" s="100"/>
      <c r="O350" s="101"/>
      <c r="R350" s="59"/>
      <c r="S350" s="61"/>
      <c r="T350" s="61"/>
      <c r="U350" s="59"/>
      <c r="W350" s="62"/>
      <c r="X350" s="62"/>
    </row>
    <row r="351" spans="1:24" ht="14.25">
      <c r="A351" s="92">
        <v>9</v>
      </c>
      <c r="B351" s="92"/>
      <c r="C351" s="6" t="s">
        <v>138</v>
      </c>
      <c r="D351" s="7">
        <v>10131</v>
      </c>
      <c r="E351" s="92">
        <v>51</v>
      </c>
      <c r="N351" s="100"/>
      <c r="O351" s="101"/>
      <c r="R351" s="59"/>
      <c r="S351" s="61"/>
      <c r="T351" s="61"/>
      <c r="U351" s="59"/>
      <c r="W351" s="62"/>
      <c r="X351" s="62"/>
    </row>
    <row r="352" spans="1:24" ht="14.25">
      <c r="A352" s="92">
        <v>10</v>
      </c>
      <c r="B352" s="92"/>
      <c r="C352" s="6" t="s">
        <v>72</v>
      </c>
      <c r="D352" s="7">
        <v>10131</v>
      </c>
      <c r="E352" s="92">
        <v>52</v>
      </c>
      <c r="N352" s="100"/>
      <c r="O352" s="101"/>
      <c r="R352" s="59"/>
      <c r="S352" s="61"/>
      <c r="T352" s="61"/>
      <c r="U352" s="59"/>
      <c r="W352" s="62"/>
      <c r="X352" s="62"/>
    </row>
    <row r="353" spans="1:24" ht="14.25">
      <c r="A353" s="92">
        <v>11</v>
      </c>
      <c r="B353" s="92"/>
      <c r="C353" s="6" t="s">
        <v>162</v>
      </c>
      <c r="D353" s="7" t="s">
        <v>259</v>
      </c>
      <c r="E353" s="92">
        <v>53</v>
      </c>
      <c r="N353" s="100"/>
      <c r="O353" s="101"/>
      <c r="R353" s="59"/>
      <c r="S353" s="61"/>
      <c r="T353" s="61"/>
      <c r="U353" s="59"/>
      <c r="W353" s="62"/>
      <c r="X353" s="62"/>
    </row>
    <row r="354" spans="1:24" ht="14.25">
      <c r="A354" s="92">
        <v>12</v>
      </c>
      <c r="B354" s="92"/>
      <c r="C354" s="6" t="s">
        <v>73</v>
      </c>
      <c r="D354" s="7">
        <v>10121</v>
      </c>
      <c r="E354" s="92">
        <v>54</v>
      </c>
      <c r="N354" s="100"/>
      <c r="O354" s="101"/>
      <c r="R354" s="59"/>
      <c r="S354" s="61"/>
      <c r="T354" s="61"/>
      <c r="U354" s="59"/>
      <c r="W354" s="62"/>
      <c r="X354" s="62"/>
    </row>
    <row r="355" spans="1:24" ht="14.25">
      <c r="A355" s="92">
        <v>13</v>
      </c>
      <c r="B355" s="92"/>
      <c r="C355" s="6" t="s">
        <v>74</v>
      </c>
      <c r="D355" s="7" t="s">
        <v>75</v>
      </c>
      <c r="E355" s="92">
        <v>55</v>
      </c>
      <c r="N355" s="100"/>
      <c r="O355" s="101"/>
      <c r="R355" s="59"/>
      <c r="S355" s="61"/>
      <c r="T355" s="61"/>
      <c r="U355" s="59"/>
      <c r="W355" s="62"/>
      <c r="X355" s="62"/>
    </row>
    <row r="356" spans="1:24" ht="14.25">
      <c r="A356" s="92">
        <v>14</v>
      </c>
      <c r="B356" s="92"/>
      <c r="C356" s="6" t="s">
        <v>76</v>
      </c>
      <c r="D356" s="7" t="s">
        <v>77</v>
      </c>
      <c r="E356" s="92">
        <v>56</v>
      </c>
      <c r="N356" s="100"/>
      <c r="O356" s="101"/>
      <c r="R356" s="59"/>
      <c r="S356" s="61"/>
      <c r="T356" s="61"/>
      <c r="U356" s="59"/>
      <c r="W356" s="62"/>
      <c r="X356" s="62"/>
    </row>
    <row r="357" spans="1:24" ht="14.25">
      <c r="A357" s="92">
        <v>15</v>
      </c>
      <c r="B357" s="92"/>
      <c r="C357" s="6" t="s">
        <v>78</v>
      </c>
      <c r="D357" s="7">
        <v>10071</v>
      </c>
      <c r="E357" s="92">
        <v>57</v>
      </c>
      <c r="N357" s="100"/>
      <c r="O357" s="101"/>
      <c r="R357" s="59"/>
      <c r="S357" s="61"/>
      <c r="T357" s="61"/>
      <c r="U357" s="59"/>
      <c r="W357" s="62"/>
      <c r="X357" s="62"/>
    </row>
    <row r="358" spans="1:24" ht="14.25">
      <c r="A358" s="92">
        <v>16</v>
      </c>
      <c r="B358" s="92"/>
      <c r="C358" s="6" t="s">
        <v>163</v>
      </c>
      <c r="D358" s="7">
        <v>10072</v>
      </c>
      <c r="E358" s="92">
        <v>58</v>
      </c>
      <c r="N358" s="100"/>
      <c r="O358" s="101"/>
      <c r="R358" s="59"/>
      <c r="S358" s="61"/>
      <c r="T358" s="61"/>
      <c r="U358" s="59"/>
      <c r="W358" s="62"/>
      <c r="X358" s="62"/>
    </row>
    <row r="359" spans="1:24" ht="14.25">
      <c r="A359" s="92">
        <v>17</v>
      </c>
      <c r="B359" s="92"/>
      <c r="C359" s="6" t="s">
        <v>79</v>
      </c>
      <c r="D359" s="7">
        <v>10073</v>
      </c>
      <c r="E359" s="92">
        <v>59</v>
      </c>
      <c r="N359" s="100"/>
      <c r="O359" s="101"/>
      <c r="R359" s="59"/>
      <c r="S359" s="61"/>
      <c r="T359" s="61"/>
      <c r="U359" s="59"/>
      <c r="W359" s="62"/>
      <c r="X359" s="62"/>
    </row>
    <row r="360" spans="1:24" ht="14.25">
      <c r="A360" s="92">
        <v>18</v>
      </c>
      <c r="B360" s="92"/>
      <c r="C360" s="6" t="s">
        <v>80</v>
      </c>
      <c r="D360" s="7" t="s">
        <v>81</v>
      </c>
      <c r="E360" s="92">
        <v>60</v>
      </c>
      <c r="N360" s="100"/>
      <c r="O360" s="101"/>
      <c r="R360" s="59"/>
      <c r="S360" s="61"/>
      <c r="T360" s="61"/>
      <c r="U360" s="59"/>
      <c r="W360" s="62"/>
      <c r="X360" s="62"/>
    </row>
    <row r="361" spans="1:24" ht="14.25">
      <c r="A361" s="92">
        <v>19</v>
      </c>
      <c r="B361" s="92"/>
      <c r="C361" s="6" t="s">
        <v>164</v>
      </c>
      <c r="D361" s="7">
        <v>10122</v>
      </c>
      <c r="E361" s="92">
        <v>61</v>
      </c>
      <c r="N361" s="100"/>
      <c r="O361" s="101"/>
      <c r="R361" s="59"/>
      <c r="S361" s="61"/>
      <c r="T361" s="61"/>
      <c r="U361" s="59"/>
      <c r="W361" s="62"/>
      <c r="X361" s="62"/>
    </row>
    <row r="362" spans="1:24" ht="14.25">
      <c r="A362" s="92">
        <v>20</v>
      </c>
      <c r="B362" s="92"/>
      <c r="C362" s="6" t="s">
        <v>165</v>
      </c>
      <c r="D362" s="7" t="s">
        <v>166</v>
      </c>
      <c r="E362" s="92">
        <v>62</v>
      </c>
      <c r="N362" s="100"/>
      <c r="O362" s="101"/>
      <c r="R362" s="59"/>
      <c r="S362" s="61"/>
      <c r="T362" s="61"/>
      <c r="U362" s="59"/>
      <c r="W362" s="62"/>
      <c r="X362" s="62"/>
    </row>
    <row r="363" spans="1:24" ht="14.25">
      <c r="A363" s="92">
        <v>21</v>
      </c>
      <c r="B363" s="92"/>
      <c r="C363" s="6" t="s">
        <v>83</v>
      </c>
      <c r="D363" s="7">
        <v>11174</v>
      </c>
      <c r="E363" s="92">
        <v>63</v>
      </c>
      <c r="N363" s="100"/>
      <c r="O363" s="101"/>
      <c r="R363" s="59"/>
      <c r="S363" s="61"/>
      <c r="T363" s="61"/>
      <c r="U363" s="59"/>
      <c r="W363" s="62"/>
      <c r="X363" s="62"/>
    </row>
    <row r="364" spans="1:24" ht="14.25">
      <c r="A364" s="92">
        <v>22</v>
      </c>
      <c r="B364" s="92"/>
      <c r="C364" s="6" t="s">
        <v>167</v>
      </c>
      <c r="D364" s="7">
        <v>10074</v>
      </c>
      <c r="E364" s="92">
        <v>64</v>
      </c>
      <c r="N364" s="100"/>
      <c r="O364" s="101"/>
      <c r="R364" s="59"/>
      <c r="S364" s="61"/>
      <c r="T364" s="61"/>
      <c r="U364" s="59"/>
      <c r="W364" s="62"/>
      <c r="X364" s="62"/>
    </row>
    <row r="365" spans="1:24" ht="14.25">
      <c r="A365" s="92">
        <v>23</v>
      </c>
      <c r="B365" s="92"/>
      <c r="C365" s="6" t="s">
        <v>84</v>
      </c>
      <c r="D365" s="7">
        <v>10075</v>
      </c>
      <c r="E365" s="92">
        <v>65</v>
      </c>
      <c r="N365" s="100"/>
      <c r="O365" s="101"/>
      <c r="R365" s="59"/>
      <c r="S365" s="61"/>
      <c r="T365" s="61"/>
      <c r="U365" s="59"/>
      <c r="W365" s="62"/>
      <c r="X365" s="62"/>
    </row>
    <row r="366" spans="1:24" ht="14.25">
      <c r="A366" s="92">
        <v>24</v>
      </c>
      <c r="B366" s="92"/>
      <c r="C366" s="6" t="s">
        <v>85</v>
      </c>
      <c r="D366" s="7">
        <v>10159</v>
      </c>
      <c r="E366" s="92">
        <v>66</v>
      </c>
      <c r="N366" s="100"/>
      <c r="O366" s="101"/>
      <c r="R366" s="59"/>
      <c r="S366" s="61"/>
      <c r="T366" s="61"/>
      <c r="U366" s="59"/>
      <c r="W366" s="62"/>
      <c r="X366" s="62"/>
    </row>
    <row r="367" spans="1:24" ht="14.25">
      <c r="A367" s="92">
        <v>25</v>
      </c>
      <c r="B367" s="92"/>
      <c r="C367" s="6" t="s">
        <v>86</v>
      </c>
      <c r="D367" s="7">
        <v>11093</v>
      </c>
      <c r="E367" s="92">
        <v>67</v>
      </c>
      <c r="N367" s="100"/>
      <c r="O367" s="101"/>
      <c r="R367" s="59"/>
      <c r="S367" s="61"/>
      <c r="T367" s="61"/>
      <c r="U367" s="59"/>
      <c r="W367" s="62"/>
      <c r="X367" s="62"/>
    </row>
    <row r="368" spans="1:24" ht="14.25">
      <c r="A368" s="92">
        <v>26</v>
      </c>
      <c r="B368" s="92"/>
      <c r="C368" s="6" t="s">
        <v>87</v>
      </c>
      <c r="D368" s="7">
        <v>10125</v>
      </c>
      <c r="E368" s="92">
        <v>68</v>
      </c>
      <c r="N368" s="100"/>
      <c r="O368" s="101"/>
      <c r="R368" s="59"/>
      <c r="S368" s="61"/>
      <c r="T368" s="61"/>
      <c r="U368" s="59"/>
      <c r="W368" s="62"/>
      <c r="X368" s="62"/>
    </row>
    <row r="369" spans="1:24" ht="14.25">
      <c r="A369" s="92">
        <v>27</v>
      </c>
      <c r="B369" s="92"/>
      <c r="C369" s="6" t="s">
        <v>88</v>
      </c>
      <c r="D369" s="7">
        <v>10126</v>
      </c>
      <c r="E369" s="92">
        <v>69</v>
      </c>
      <c r="N369" s="100"/>
      <c r="O369" s="101"/>
      <c r="R369" s="59"/>
      <c r="S369" s="61"/>
      <c r="T369" s="61"/>
      <c r="U369" s="59"/>
      <c r="W369" s="62"/>
      <c r="X369" s="62"/>
    </row>
    <row r="370" spans="2:24" ht="14.25">
      <c r="B370" s="92"/>
      <c r="C370" s="6" t="s">
        <v>273</v>
      </c>
      <c r="D370" s="7">
        <v>11513</v>
      </c>
      <c r="E370" s="92">
        <v>70</v>
      </c>
      <c r="N370" s="100"/>
      <c r="O370" s="101"/>
      <c r="R370" s="59"/>
      <c r="S370" s="61"/>
      <c r="T370" s="61"/>
      <c r="U370" s="59"/>
      <c r="W370" s="62"/>
      <c r="X370" s="62"/>
    </row>
    <row r="371" spans="1:24" ht="14.25">
      <c r="A371" s="92">
        <v>28</v>
      </c>
      <c r="B371" s="92"/>
      <c r="C371" s="6" t="s">
        <v>89</v>
      </c>
      <c r="D371" s="7">
        <v>10114</v>
      </c>
      <c r="E371" s="92">
        <v>71</v>
      </c>
      <c r="N371" s="100"/>
      <c r="O371" s="101"/>
      <c r="R371" s="59"/>
      <c r="S371" s="61"/>
      <c r="T371" s="61"/>
      <c r="U371" s="59"/>
      <c r="W371" s="62"/>
      <c r="X371" s="62"/>
    </row>
    <row r="372" spans="1:24" ht="14.25">
      <c r="A372" s="92">
        <v>29</v>
      </c>
      <c r="B372" s="92"/>
      <c r="C372" s="6" t="s">
        <v>168</v>
      </c>
      <c r="D372" s="7">
        <v>10140</v>
      </c>
      <c r="E372" s="92">
        <v>72</v>
      </c>
      <c r="N372" s="100"/>
      <c r="O372" s="101"/>
      <c r="R372" s="59"/>
      <c r="S372" s="61"/>
      <c r="T372" s="61"/>
      <c r="U372" s="59"/>
      <c r="W372" s="62"/>
      <c r="X372" s="62"/>
    </row>
    <row r="373" spans="1:24" ht="14.25">
      <c r="A373" s="92">
        <v>30</v>
      </c>
      <c r="B373" s="92"/>
      <c r="C373" s="6" t="s">
        <v>131</v>
      </c>
      <c r="D373" s="7">
        <v>10078</v>
      </c>
      <c r="E373" s="92">
        <v>73</v>
      </c>
      <c r="N373" s="100"/>
      <c r="O373" s="101"/>
      <c r="R373" s="59"/>
      <c r="S373" s="61"/>
      <c r="T373" s="61"/>
      <c r="U373" s="59"/>
      <c r="W373" s="62"/>
      <c r="X373" s="62"/>
    </row>
    <row r="374" spans="1:24" ht="14.25">
      <c r="A374" s="92">
        <v>31</v>
      </c>
      <c r="B374" s="92"/>
      <c r="C374" s="6" t="s">
        <v>169</v>
      </c>
      <c r="D374" s="7">
        <v>10079</v>
      </c>
      <c r="E374" s="92">
        <v>74</v>
      </c>
      <c r="N374" s="100"/>
      <c r="O374" s="101"/>
      <c r="R374" s="59"/>
      <c r="S374" s="61"/>
      <c r="T374" s="61"/>
      <c r="U374" s="59"/>
      <c r="W374" s="62"/>
      <c r="X374" s="62"/>
    </row>
    <row r="375" spans="2:24" ht="14.25">
      <c r="B375" s="92"/>
      <c r="C375" s="6" t="s">
        <v>91</v>
      </c>
      <c r="D375" s="7">
        <v>10081</v>
      </c>
      <c r="E375" s="92">
        <v>75</v>
      </c>
      <c r="N375" s="100"/>
      <c r="O375" s="101"/>
      <c r="R375" s="59"/>
      <c r="S375" s="61"/>
      <c r="T375" s="61"/>
      <c r="U375" s="59"/>
      <c r="W375" s="62"/>
      <c r="X375" s="62"/>
    </row>
    <row r="376" spans="2:24" ht="14.25">
      <c r="B376" s="92"/>
      <c r="C376" s="6" t="s">
        <v>92</v>
      </c>
      <c r="D376" s="7">
        <v>10080</v>
      </c>
      <c r="E376" s="92">
        <v>76</v>
      </c>
      <c r="N376" s="100"/>
      <c r="O376" s="101"/>
      <c r="R376" s="59"/>
      <c r="S376" s="61"/>
      <c r="T376" s="61"/>
      <c r="U376" s="59"/>
      <c r="W376" s="62"/>
      <c r="X376" s="62"/>
    </row>
    <row r="377" spans="2:24" ht="14.25">
      <c r="B377" s="92"/>
      <c r="C377" s="6" t="s">
        <v>93</v>
      </c>
      <c r="D377" s="7">
        <v>10132</v>
      </c>
      <c r="E377" s="92">
        <v>77</v>
      </c>
      <c r="N377" s="100"/>
      <c r="O377" s="101"/>
      <c r="R377" s="59"/>
      <c r="S377" s="61"/>
      <c r="T377" s="61"/>
      <c r="U377" s="59"/>
      <c r="W377" s="62"/>
      <c r="X377" s="62"/>
    </row>
    <row r="378" spans="2:24" ht="14.25">
      <c r="B378" s="92"/>
      <c r="C378" s="6" t="s">
        <v>270</v>
      </c>
      <c r="D378" s="7">
        <v>10185</v>
      </c>
      <c r="E378" s="92">
        <v>78</v>
      </c>
      <c r="N378" s="100"/>
      <c r="O378" s="101"/>
      <c r="R378" s="59"/>
      <c r="S378" s="61"/>
      <c r="T378" s="61"/>
      <c r="U378" s="59"/>
      <c r="W378" s="62"/>
      <c r="X378" s="62"/>
    </row>
    <row r="379" spans="2:24" ht="14.25">
      <c r="B379" s="92"/>
      <c r="C379" s="6" t="s">
        <v>170</v>
      </c>
      <c r="D379" s="7">
        <v>10082</v>
      </c>
      <c r="E379" s="92">
        <v>79</v>
      </c>
      <c r="N379" s="100"/>
      <c r="O379" s="101"/>
      <c r="R379" s="59"/>
      <c r="S379" s="61"/>
      <c r="T379" s="61"/>
      <c r="U379" s="59"/>
      <c r="W379" s="62"/>
      <c r="X379" s="62"/>
    </row>
    <row r="380" spans="1:24" ht="14.25">
      <c r="A380" s="92" t="s">
        <v>121</v>
      </c>
      <c r="B380" s="92"/>
      <c r="C380" s="6" t="s">
        <v>134</v>
      </c>
      <c r="D380" s="7">
        <v>10157</v>
      </c>
      <c r="E380" s="92">
        <v>80</v>
      </c>
      <c r="N380" s="100"/>
      <c r="O380" s="101"/>
      <c r="R380" s="59"/>
      <c r="S380" s="61"/>
      <c r="T380" s="61"/>
      <c r="U380" s="59"/>
      <c r="W380" s="62"/>
      <c r="X380" s="62"/>
    </row>
    <row r="381" spans="1:24" ht="14.25">
      <c r="A381" s="92" t="s">
        <v>23</v>
      </c>
      <c r="B381" s="92"/>
      <c r="C381" s="6" t="s">
        <v>171</v>
      </c>
      <c r="D381" s="7">
        <v>10156</v>
      </c>
      <c r="E381" s="92">
        <v>81</v>
      </c>
      <c r="N381" s="100"/>
      <c r="O381" s="101"/>
      <c r="R381" s="59"/>
      <c r="S381" s="61"/>
      <c r="T381" s="61"/>
      <c r="U381" s="59"/>
      <c r="W381" s="62"/>
      <c r="X381" s="62"/>
    </row>
    <row r="382" spans="1:24" ht="14.25">
      <c r="A382" s="92" t="s">
        <v>173</v>
      </c>
      <c r="B382" s="92"/>
      <c r="C382" s="6" t="s">
        <v>94</v>
      </c>
      <c r="D382" s="7">
        <v>10158</v>
      </c>
      <c r="E382" s="92">
        <v>82</v>
      </c>
      <c r="N382" s="100"/>
      <c r="O382" s="101"/>
      <c r="R382" s="59"/>
      <c r="S382" s="61"/>
      <c r="T382" s="61"/>
      <c r="U382" s="59"/>
      <c r="W382" s="62"/>
      <c r="X382" s="62"/>
    </row>
    <row r="383" spans="2:24" ht="14.25">
      <c r="B383" s="92"/>
      <c r="C383" s="6" t="s">
        <v>172</v>
      </c>
      <c r="D383" s="7">
        <v>10127</v>
      </c>
      <c r="E383" s="92">
        <v>83</v>
      </c>
      <c r="N383" s="100"/>
      <c r="O383" s="101"/>
      <c r="R383" s="59"/>
      <c r="S383" s="61"/>
      <c r="T383" s="61"/>
      <c r="U383" s="59"/>
      <c r="W383" s="62"/>
      <c r="X383" s="62"/>
    </row>
    <row r="384" spans="2:24" ht="14.25">
      <c r="B384" s="92"/>
      <c r="C384" s="6" t="s">
        <v>96</v>
      </c>
      <c r="D384" s="7">
        <v>10084</v>
      </c>
      <c r="E384" s="92">
        <v>84</v>
      </c>
      <c r="N384" s="100"/>
      <c r="O384" s="101"/>
      <c r="R384" s="59"/>
      <c r="S384" s="61"/>
      <c r="T384" s="61"/>
      <c r="U384" s="59"/>
      <c r="W384" s="62"/>
      <c r="X384" s="62"/>
    </row>
    <row r="385" spans="2:24" ht="14.25">
      <c r="B385" s="92"/>
      <c r="C385" s="6" t="s">
        <v>97</v>
      </c>
      <c r="D385" s="7">
        <v>10085</v>
      </c>
      <c r="E385" s="92">
        <v>85</v>
      </c>
      <c r="N385" s="100"/>
      <c r="O385" s="101"/>
      <c r="R385" s="59"/>
      <c r="S385" s="61"/>
      <c r="T385" s="61"/>
      <c r="U385" s="59"/>
      <c r="W385" s="62"/>
      <c r="X385" s="62"/>
    </row>
    <row r="386" spans="2:24" ht="14.25">
      <c r="B386" s="92"/>
      <c r="C386" s="6" t="s">
        <v>99</v>
      </c>
      <c r="D386" s="7">
        <v>10129</v>
      </c>
      <c r="E386" s="92">
        <v>86</v>
      </c>
      <c r="N386" s="100"/>
      <c r="O386" s="101"/>
      <c r="R386" s="59"/>
      <c r="S386" s="61"/>
      <c r="T386" s="61"/>
      <c r="U386" s="59"/>
      <c r="W386" s="62"/>
      <c r="X386" s="62"/>
    </row>
    <row r="387" spans="2:24" ht="14.25">
      <c r="B387" s="92"/>
      <c r="C387" s="6" t="s">
        <v>100</v>
      </c>
      <c r="D387" s="7" t="s">
        <v>101</v>
      </c>
      <c r="E387" s="92">
        <v>87</v>
      </c>
      <c r="N387" s="100"/>
      <c r="O387" s="101"/>
      <c r="R387" s="59"/>
      <c r="S387" s="61"/>
      <c r="T387" s="61"/>
      <c r="U387" s="59"/>
      <c r="W387" s="62"/>
      <c r="X387" s="62"/>
    </row>
    <row r="388" spans="2:24" ht="14.25">
      <c r="B388" s="92"/>
      <c r="C388" s="6" t="s">
        <v>174</v>
      </c>
      <c r="D388" s="7">
        <v>10120</v>
      </c>
      <c r="E388" s="92">
        <v>88</v>
      </c>
      <c r="N388" s="100"/>
      <c r="O388" s="101"/>
      <c r="R388" s="59"/>
      <c r="S388" s="61"/>
      <c r="T388" s="61"/>
      <c r="U388" s="59"/>
      <c r="W388" s="62"/>
      <c r="X388" s="62"/>
    </row>
    <row r="389" spans="2:24" ht="14.25">
      <c r="B389" s="92"/>
      <c r="C389" s="4" t="s">
        <v>260</v>
      </c>
      <c r="D389" s="5">
        <v>10188</v>
      </c>
      <c r="E389" s="92">
        <v>89</v>
      </c>
      <c r="N389" s="100"/>
      <c r="O389" s="101"/>
      <c r="R389" s="59"/>
      <c r="S389" s="61"/>
      <c r="T389" s="61"/>
      <c r="U389" s="59"/>
      <c r="W389" s="62"/>
      <c r="X389" s="62"/>
    </row>
    <row r="390" spans="2:24" ht="14.25">
      <c r="B390" s="92"/>
      <c r="C390" s="4" t="s">
        <v>175</v>
      </c>
      <c r="D390" s="5" t="s">
        <v>176</v>
      </c>
      <c r="E390" s="92">
        <v>90</v>
      </c>
      <c r="N390" s="100"/>
      <c r="O390" s="101"/>
      <c r="R390" s="59"/>
      <c r="S390" s="61"/>
      <c r="T390" s="61"/>
      <c r="U390" s="59"/>
      <c r="W390" s="62"/>
      <c r="X390" s="62"/>
    </row>
    <row r="391" spans="2:24" ht="14.25">
      <c r="B391" s="92"/>
      <c r="C391" s="4" t="s">
        <v>102</v>
      </c>
      <c r="D391" s="5" t="s">
        <v>103</v>
      </c>
      <c r="E391" s="92">
        <v>91</v>
      </c>
      <c r="N391" s="100"/>
      <c r="O391" s="101"/>
      <c r="R391" s="59"/>
      <c r="S391" s="61"/>
      <c r="T391" s="61"/>
      <c r="U391" s="59"/>
      <c r="W391" s="62"/>
      <c r="X391" s="62"/>
    </row>
    <row r="392" spans="2:24" ht="14.25">
      <c r="B392" s="92"/>
      <c r="C392" s="4" t="s">
        <v>177</v>
      </c>
      <c r="D392" s="5">
        <v>10119</v>
      </c>
      <c r="E392" s="92">
        <v>92</v>
      </c>
      <c r="N392" s="100"/>
      <c r="O392" s="101"/>
      <c r="R392" s="59"/>
      <c r="S392" s="61"/>
      <c r="T392" s="61"/>
      <c r="U392" s="59"/>
      <c r="W392" s="62"/>
      <c r="X392" s="62"/>
    </row>
    <row r="393" spans="2:24" ht="14.25">
      <c r="B393" s="92"/>
      <c r="C393" s="4" t="s">
        <v>104</v>
      </c>
      <c r="D393" s="5">
        <v>10086</v>
      </c>
      <c r="E393" s="92">
        <v>93</v>
      </c>
      <c r="N393" s="100"/>
      <c r="O393" s="101"/>
      <c r="R393" s="59"/>
      <c r="S393" s="61"/>
      <c r="T393" s="61"/>
      <c r="U393" s="59"/>
      <c r="W393" s="62"/>
      <c r="X393" s="62"/>
    </row>
    <row r="394" spans="2:24" ht="14.25">
      <c r="B394" s="92"/>
      <c r="C394" s="8" t="s">
        <v>111</v>
      </c>
      <c r="D394" s="5" t="s">
        <v>112</v>
      </c>
      <c r="E394" s="92">
        <v>94</v>
      </c>
      <c r="N394" s="100"/>
      <c r="O394" s="101"/>
      <c r="R394" s="59"/>
      <c r="S394" s="61"/>
      <c r="T394" s="61"/>
      <c r="U394" s="59"/>
      <c r="W394" s="62"/>
      <c r="X394" s="62"/>
    </row>
    <row r="395" spans="2:24" ht="14.25">
      <c r="B395" s="92"/>
      <c r="C395" s="4" t="s">
        <v>105</v>
      </c>
      <c r="D395" s="5">
        <v>10112</v>
      </c>
      <c r="E395" s="92">
        <v>95</v>
      </c>
      <c r="N395" s="100"/>
      <c r="O395" s="101"/>
      <c r="R395" s="59"/>
      <c r="S395" s="61"/>
      <c r="T395" s="61"/>
      <c r="U395" s="59"/>
      <c r="W395" s="62"/>
      <c r="X395" s="62"/>
    </row>
    <row r="396" spans="2:24" ht="14.25">
      <c r="B396" s="92"/>
      <c r="C396" s="4" t="s">
        <v>178</v>
      </c>
      <c r="D396" s="5">
        <v>10110</v>
      </c>
      <c r="E396" s="92">
        <v>96</v>
      </c>
      <c r="N396" s="100"/>
      <c r="O396" s="101"/>
      <c r="R396" s="59"/>
      <c r="S396" s="61"/>
      <c r="T396" s="61"/>
      <c r="U396" s="59"/>
      <c r="W396" s="62"/>
      <c r="X396" s="62"/>
    </row>
    <row r="397" spans="2:24" ht="14.25">
      <c r="B397" s="92"/>
      <c r="C397" s="4" t="s">
        <v>179</v>
      </c>
      <c r="D397" s="5">
        <v>10087</v>
      </c>
      <c r="E397" s="92">
        <v>97</v>
      </c>
      <c r="N397" s="100"/>
      <c r="O397" s="101"/>
      <c r="R397" s="59"/>
      <c r="S397" s="61"/>
      <c r="T397" s="61"/>
      <c r="U397" s="59"/>
      <c r="W397" s="62"/>
      <c r="X397" s="62"/>
    </row>
    <row r="398" spans="2:24" ht="14.25">
      <c r="B398" s="92"/>
      <c r="C398" s="4" t="s">
        <v>106</v>
      </c>
      <c r="D398" s="5">
        <v>10099</v>
      </c>
      <c r="E398" s="92">
        <v>98</v>
      </c>
      <c r="N398" s="100"/>
      <c r="O398" s="101"/>
      <c r="R398" s="59"/>
      <c r="S398" s="61"/>
      <c r="T398" s="61"/>
      <c r="U398" s="59"/>
      <c r="W398" s="62"/>
      <c r="X398" s="62"/>
    </row>
    <row r="399" spans="2:24" ht="14.25">
      <c r="B399" s="92"/>
      <c r="C399" s="4" t="s">
        <v>180</v>
      </c>
      <c r="D399" s="5">
        <v>10088</v>
      </c>
      <c r="E399" s="92">
        <v>99</v>
      </c>
      <c r="N399" s="100"/>
      <c r="O399" s="101"/>
      <c r="R399" s="59"/>
      <c r="S399" s="61"/>
      <c r="T399" s="61"/>
      <c r="U399" s="59"/>
      <c r="W399" s="62"/>
      <c r="X399" s="62"/>
    </row>
    <row r="400" spans="2:24" ht="14.25">
      <c r="B400" s="92"/>
      <c r="C400" s="4" t="s">
        <v>181</v>
      </c>
      <c r="D400" s="5">
        <v>10142</v>
      </c>
      <c r="E400" s="92">
        <v>100</v>
      </c>
      <c r="N400" s="100"/>
      <c r="O400" s="101"/>
      <c r="R400" s="59"/>
      <c r="S400" s="61"/>
      <c r="T400" s="61"/>
      <c r="U400" s="59"/>
      <c r="W400" s="62"/>
      <c r="X400" s="62"/>
    </row>
    <row r="401" spans="2:24" ht="14.25">
      <c r="B401" s="92"/>
      <c r="C401" s="4" t="s">
        <v>107</v>
      </c>
      <c r="D401" s="5">
        <v>10089</v>
      </c>
      <c r="E401" s="92">
        <v>101</v>
      </c>
      <c r="N401" s="100"/>
      <c r="O401" s="101"/>
      <c r="R401" s="59"/>
      <c r="S401" s="61"/>
      <c r="T401" s="61"/>
      <c r="U401" s="59"/>
      <c r="W401" s="62"/>
      <c r="X401" s="62"/>
    </row>
    <row r="402" spans="2:24" ht="14.25">
      <c r="B402" s="92"/>
      <c r="C402" s="4" t="s">
        <v>108</v>
      </c>
      <c r="D402" s="5">
        <v>10116</v>
      </c>
      <c r="E402" s="92">
        <v>102</v>
      </c>
      <c r="N402" s="100"/>
      <c r="O402" s="101"/>
      <c r="R402" s="59"/>
      <c r="S402" s="61"/>
      <c r="T402" s="61"/>
      <c r="U402" s="59"/>
      <c r="W402" s="62"/>
      <c r="X402" s="62"/>
    </row>
    <row r="403" spans="2:24" ht="14.25">
      <c r="B403" s="92"/>
      <c r="C403" s="4" t="s">
        <v>248</v>
      </c>
      <c r="D403" s="5">
        <v>10107</v>
      </c>
      <c r="E403" s="92">
        <v>103</v>
      </c>
      <c r="N403" s="100"/>
      <c r="O403" s="101"/>
      <c r="R403" s="59"/>
      <c r="S403" s="61"/>
      <c r="T403" s="61"/>
      <c r="U403" s="59"/>
      <c r="W403" s="62"/>
      <c r="X403" s="62"/>
    </row>
    <row r="404" spans="2:24" ht="14.25">
      <c r="B404" s="92"/>
      <c r="C404" s="4" t="s">
        <v>183</v>
      </c>
      <c r="D404" s="5">
        <v>10133</v>
      </c>
      <c r="E404" s="92">
        <v>104</v>
      </c>
      <c r="N404" s="100"/>
      <c r="O404" s="101"/>
      <c r="R404" s="59"/>
      <c r="S404" s="61"/>
      <c r="T404" s="61"/>
      <c r="U404" s="59"/>
      <c r="W404" s="62"/>
      <c r="X404" s="62"/>
    </row>
    <row r="405" spans="2:24" ht="14.25">
      <c r="B405" s="92"/>
      <c r="C405" s="4" t="s">
        <v>184</v>
      </c>
      <c r="D405" s="5">
        <v>10133</v>
      </c>
      <c r="E405" s="92">
        <v>105</v>
      </c>
      <c r="N405" s="100"/>
      <c r="O405" s="101"/>
      <c r="R405" s="59"/>
      <c r="S405" s="61"/>
      <c r="T405" s="61"/>
      <c r="U405" s="59"/>
      <c r="W405" s="62"/>
      <c r="X405" s="62"/>
    </row>
    <row r="406" spans="2:24" ht="14.25">
      <c r="B406" s="92"/>
      <c r="C406" s="4" t="s">
        <v>185</v>
      </c>
      <c r="D406" s="5">
        <v>10698</v>
      </c>
      <c r="E406" s="92">
        <v>106</v>
      </c>
      <c r="N406" s="100"/>
      <c r="O406" s="101"/>
      <c r="R406" s="59"/>
      <c r="S406" s="61"/>
      <c r="T406" s="61"/>
      <c r="U406" s="59"/>
      <c r="W406" s="62"/>
      <c r="X406" s="62"/>
    </row>
    <row r="407" spans="3:24" ht="14.25">
      <c r="C407" s="4" t="s">
        <v>186</v>
      </c>
      <c r="D407" s="5">
        <v>10093</v>
      </c>
      <c r="E407" s="92">
        <v>107</v>
      </c>
      <c r="N407" s="100"/>
      <c r="O407" s="101"/>
      <c r="R407" s="59"/>
      <c r="S407" s="61"/>
      <c r="T407" s="61"/>
      <c r="U407" s="59"/>
      <c r="W407" s="62"/>
      <c r="X407" s="62"/>
    </row>
    <row r="408" spans="3:24" ht="14.25">
      <c r="C408" s="4" t="s">
        <v>187</v>
      </c>
      <c r="D408" s="5">
        <v>10143</v>
      </c>
      <c r="E408" s="92">
        <v>108</v>
      </c>
      <c r="N408" s="100"/>
      <c r="O408" s="101"/>
      <c r="R408" s="59"/>
      <c r="S408" s="61"/>
      <c r="T408" s="61"/>
      <c r="U408" s="59"/>
      <c r="W408" s="62"/>
      <c r="X408" s="62"/>
    </row>
    <row r="409" spans="3:24" ht="14.25">
      <c r="C409" s="4" t="s">
        <v>188</v>
      </c>
      <c r="D409" s="5">
        <v>10092</v>
      </c>
      <c r="E409" s="92">
        <v>109</v>
      </c>
      <c r="N409" s="100"/>
      <c r="O409" s="101"/>
      <c r="R409" s="59"/>
      <c r="S409" s="61"/>
      <c r="T409" s="61"/>
      <c r="U409" s="59"/>
      <c r="W409" s="62"/>
      <c r="X409" s="62"/>
    </row>
    <row r="410" spans="3:24" ht="14.25">
      <c r="C410" s="4" t="s">
        <v>189</v>
      </c>
      <c r="D410" s="5">
        <v>10148</v>
      </c>
      <c r="E410" s="92">
        <v>110</v>
      </c>
      <c r="N410" s="100"/>
      <c r="O410" s="101"/>
      <c r="R410" s="59"/>
      <c r="S410" s="61"/>
      <c r="T410" s="61"/>
      <c r="U410" s="59"/>
      <c r="W410" s="62"/>
      <c r="X410" s="62"/>
    </row>
    <row r="411" spans="3:24" ht="14.25">
      <c r="C411" s="4" t="s">
        <v>190</v>
      </c>
      <c r="D411" s="5">
        <v>10094</v>
      </c>
      <c r="E411" s="92">
        <v>111</v>
      </c>
      <c r="N411" s="100"/>
      <c r="O411" s="101"/>
      <c r="R411" s="59"/>
      <c r="S411" s="61"/>
      <c r="T411" s="61"/>
      <c r="U411" s="59"/>
      <c r="W411" s="62"/>
      <c r="X411" s="62"/>
    </row>
    <row r="412" spans="3:24" ht="14.25">
      <c r="C412" s="4" t="s">
        <v>191</v>
      </c>
      <c r="D412" s="5">
        <v>10095</v>
      </c>
      <c r="E412" s="92">
        <v>112</v>
      </c>
      <c r="N412" s="100"/>
      <c r="O412" s="101"/>
      <c r="R412" s="59"/>
      <c r="S412" s="61"/>
      <c r="T412" s="61"/>
      <c r="U412" s="59"/>
      <c r="W412" s="62"/>
      <c r="X412" s="62"/>
    </row>
    <row r="413" spans="3:24" ht="14.25">
      <c r="C413" s="4" t="s">
        <v>192</v>
      </c>
      <c r="D413" s="5">
        <v>10108</v>
      </c>
      <c r="E413" s="92">
        <v>113</v>
      </c>
      <c r="N413" s="100"/>
      <c r="O413" s="101"/>
      <c r="R413" s="59"/>
      <c r="S413" s="61"/>
      <c r="T413" s="61"/>
      <c r="U413" s="59"/>
      <c r="W413" s="62"/>
      <c r="X413" s="62"/>
    </row>
    <row r="414" spans="3:24" ht="14.25">
      <c r="C414" s="4" t="s">
        <v>193</v>
      </c>
      <c r="D414" s="5">
        <v>10096</v>
      </c>
      <c r="E414" s="92">
        <v>114</v>
      </c>
      <c r="N414" s="100"/>
      <c r="O414" s="101"/>
      <c r="R414" s="59"/>
      <c r="S414" s="61"/>
      <c r="T414" s="61"/>
      <c r="U414" s="59"/>
      <c r="W414" s="62"/>
      <c r="X414" s="62"/>
    </row>
    <row r="415" spans="3:24" ht="14.25">
      <c r="C415" s="4" t="s">
        <v>109</v>
      </c>
      <c r="D415" s="5">
        <v>10098</v>
      </c>
      <c r="E415" s="92">
        <v>115</v>
      </c>
      <c r="N415" s="100"/>
      <c r="O415" s="101"/>
      <c r="R415" s="59"/>
      <c r="S415" s="61"/>
      <c r="T415" s="61"/>
      <c r="U415" s="59"/>
      <c r="W415" s="62"/>
      <c r="X415" s="62"/>
    </row>
    <row r="416" spans="3:24" ht="14.25">
      <c r="C416" s="4" t="s">
        <v>110</v>
      </c>
      <c r="D416" s="5">
        <v>10097</v>
      </c>
      <c r="E416" s="92">
        <v>116</v>
      </c>
      <c r="N416" s="100"/>
      <c r="O416" s="101"/>
      <c r="R416" s="59"/>
      <c r="S416" s="61"/>
      <c r="T416" s="61"/>
      <c r="U416" s="59"/>
      <c r="W416" s="62"/>
      <c r="X416" s="62"/>
    </row>
    <row r="417" spans="3:24" ht="14.25">
      <c r="C417" s="4" t="s">
        <v>132</v>
      </c>
      <c r="D417" s="5">
        <v>10100</v>
      </c>
      <c r="E417" s="92">
        <v>117</v>
      </c>
      <c r="N417" s="100"/>
      <c r="O417" s="101"/>
      <c r="R417" s="59"/>
      <c r="S417" s="61"/>
      <c r="T417" s="61"/>
      <c r="U417" s="59"/>
      <c r="W417" s="62"/>
      <c r="X417" s="62"/>
    </row>
    <row r="418" spans="3:24" ht="14.25">
      <c r="C418" s="4" t="s">
        <v>113</v>
      </c>
      <c r="D418" s="5">
        <v>10101</v>
      </c>
      <c r="E418" s="92">
        <v>118</v>
      </c>
      <c r="N418" s="100"/>
      <c r="O418" s="101"/>
      <c r="R418" s="59"/>
      <c r="S418" s="61"/>
      <c r="T418" s="61"/>
      <c r="U418" s="59"/>
      <c r="W418" s="62"/>
      <c r="X418" s="62"/>
    </row>
    <row r="419" spans="3:24" ht="14.25">
      <c r="C419" s="4" t="s">
        <v>139</v>
      </c>
      <c r="D419" s="5">
        <v>10103</v>
      </c>
      <c r="E419" s="92">
        <v>119</v>
      </c>
      <c r="N419" s="100"/>
      <c r="O419" s="101"/>
      <c r="R419" s="59"/>
      <c r="S419" s="61"/>
      <c r="T419" s="61"/>
      <c r="U419" s="59"/>
      <c r="W419" s="62"/>
      <c r="X419" s="62"/>
    </row>
    <row r="420" spans="3:24" ht="14.25">
      <c r="C420" s="4" t="s">
        <v>252</v>
      </c>
      <c r="D420" s="5">
        <v>10103</v>
      </c>
      <c r="E420" s="92">
        <v>120</v>
      </c>
      <c r="N420" s="100"/>
      <c r="O420" s="101"/>
      <c r="R420" s="59"/>
      <c r="S420" s="61"/>
      <c r="T420" s="61"/>
      <c r="U420" s="59"/>
      <c r="W420" s="62"/>
      <c r="X420" s="62"/>
    </row>
    <row r="421" spans="3:24" ht="14.25">
      <c r="C421" s="4" t="s">
        <v>194</v>
      </c>
      <c r="D421" s="5">
        <v>10124</v>
      </c>
      <c r="E421" s="92">
        <v>121</v>
      </c>
      <c r="N421" s="100"/>
      <c r="O421" s="101"/>
      <c r="R421" s="59"/>
      <c r="S421" s="61"/>
      <c r="T421" s="61"/>
      <c r="U421" s="59"/>
      <c r="W421" s="62"/>
      <c r="X421" s="62"/>
    </row>
    <row r="422" spans="3:24" ht="14.25">
      <c r="C422" s="4" t="s">
        <v>195</v>
      </c>
      <c r="D422" s="5" t="s">
        <v>250</v>
      </c>
      <c r="E422" s="92">
        <v>122</v>
      </c>
      <c r="N422" s="100"/>
      <c r="O422" s="101"/>
      <c r="R422" s="59"/>
      <c r="S422" s="61"/>
      <c r="T422" s="61"/>
      <c r="U422" s="59"/>
      <c r="W422" s="62"/>
      <c r="X422" s="62"/>
    </row>
    <row r="423" spans="3:24" ht="14.25">
      <c r="C423" s="4" t="s">
        <v>115</v>
      </c>
      <c r="D423" s="5">
        <v>10105</v>
      </c>
      <c r="E423" s="92">
        <v>123</v>
      </c>
      <c r="N423" s="100"/>
      <c r="O423" s="101"/>
      <c r="R423" s="59"/>
      <c r="S423" s="61"/>
      <c r="T423" s="61"/>
      <c r="U423" s="59"/>
      <c r="W423" s="62"/>
      <c r="X423" s="62"/>
    </row>
    <row r="424" spans="3:24" ht="14.25">
      <c r="C424" s="4" t="s">
        <v>116</v>
      </c>
      <c r="D424" s="5">
        <v>10123</v>
      </c>
      <c r="E424" s="92">
        <v>124</v>
      </c>
      <c r="N424" s="100"/>
      <c r="O424" s="101"/>
      <c r="R424" s="59"/>
      <c r="S424" s="61"/>
      <c r="T424" s="61"/>
      <c r="U424" s="59"/>
      <c r="W424" s="62"/>
      <c r="X424" s="62"/>
    </row>
    <row r="425" spans="3:24" ht="14.25">
      <c r="C425" s="4" t="s">
        <v>117</v>
      </c>
      <c r="D425" s="5">
        <v>10109</v>
      </c>
      <c r="E425" s="92">
        <v>125</v>
      </c>
      <c r="N425" s="100"/>
      <c r="O425" s="101"/>
      <c r="R425" s="59"/>
      <c r="S425" s="61"/>
      <c r="T425" s="61"/>
      <c r="U425" s="59"/>
      <c r="W425" s="62"/>
      <c r="X425" s="62"/>
    </row>
    <row r="426" spans="14:24" ht="12">
      <c r="N426" s="100"/>
      <c r="O426" s="101"/>
      <c r="R426" s="59"/>
      <c r="S426" s="61"/>
      <c r="T426" s="61"/>
      <c r="U426" s="59"/>
      <c r="W426" s="62"/>
      <c r="X426" s="62"/>
    </row>
    <row r="427" spans="14:24" ht="12">
      <c r="N427" s="100"/>
      <c r="O427" s="101"/>
      <c r="R427" s="59"/>
      <c r="S427" s="61"/>
      <c r="T427" s="61"/>
      <c r="U427" s="59"/>
      <c r="W427" s="62"/>
      <c r="X427" s="62"/>
    </row>
    <row r="428" spans="14:24" ht="12">
      <c r="N428" s="100"/>
      <c r="O428" s="101"/>
      <c r="R428" s="59"/>
      <c r="S428" s="61"/>
      <c r="T428" s="61"/>
      <c r="U428" s="59"/>
      <c r="W428" s="62"/>
      <c r="X428" s="62"/>
    </row>
    <row r="429" spans="14:24" ht="12">
      <c r="N429" s="100"/>
      <c r="O429" s="101"/>
      <c r="R429" s="59"/>
      <c r="S429" s="61"/>
      <c r="T429" s="61"/>
      <c r="U429" s="59"/>
      <c r="W429" s="62"/>
      <c r="X429" s="62"/>
    </row>
    <row r="430" spans="14:24" ht="12">
      <c r="N430" s="100"/>
      <c r="O430" s="101"/>
      <c r="R430" s="59"/>
      <c r="S430" s="61"/>
      <c r="T430" s="61"/>
      <c r="U430" s="59"/>
      <c r="W430" s="62"/>
      <c r="X430" s="62"/>
    </row>
    <row r="431" spans="14:24" ht="12">
      <c r="N431" s="100"/>
      <c r="O431" s="101"/>
      <c r="R431" s="59"/>
      <c r="S431" s="61"/>
      <c r="T431" s="61"/>
      <c r="U431" s="59"/>
      <c r="W431" s="62"/>
      <c r="X431" s="62"/>
    </row>
    <row r="432" spans="14:24" ht="12">
      <c r="N432" s="100"/>
      <c r="O432" s="101"/>
      <c r="R432" s="59"/>
      <c r="S432" s="61"/>
      <c r="T432" s="61"/>
      <c r="U432" s="59"/>
      <c r="W432" s="62"/>
      <c r="X432" s="62"/>
    </row>
    <row r="433" spans="14:24" ht="12">
      <c r="N433" s="100"/>
      <c r="O433" s="101"/>
      <c r="R433" s="59"/>
      <c r="S433" s="61"/>
      <c r="T433" s="61"/>
      <c r="U433" s="59"/>
      <c r="W433" s="62"/>
      <c r="X433" s="62"/>
    </row>
    <row r="434" spans="14:24" ht="12">
      <c r="N434" s="100"/>
      <c r="O434" s="101"/>
      <c r="R434" s="59"/>
      <c r="S434" s="61"/>
      <c r="T434" s="61"/>
      <c r="U434" s="59"/>
      <c r="W434" s="62"/>
      <c r="X434" s="62"/>
    </row>
    <row r="435" spans="14:24" ht="12">
      <c r="N435" s="100"/>
      <c r="O435" s="101"/>
      <c r="R435" s="59"/>
      <c r="S435" s="61"/>
      <c r="T435" s="61"/>
      <c r="U435" s="59"/>
      <c r="W435" s="62"/>
      <c r="X435" s="62"/>
    </row>
    <row r="436" spans="14:24" ht="12">
      <c r="N436" s="100"/>
      <c r="O436" s="101"/>
      <c r="R436" s="59"/>
      <c r="S436" s="61"/>
      <c r="T436" s="61"/>
      <c r="U436" s="59"/>
      <c r="W436" s="62"/>
      <c r="X436" s="62"/>
    </row>
    <row r="437" spans="14:24" ht="12">
      <c r="N437" s="100"/>
      <c r="O437" s="101"/>
      <c r="R437" s="59"/>
      <c r="S437" s="61"/>
      <c r="T437" s="61"/>
      <c r="U437" s="59"/>
      <c r="W437" s="62"/>
      <c r="X437" s="62"/>
    </row>
    <row r="438" spans="14:24" ht="12">
      <c r="N438" s="100"/>
      <c r="O438" s="101"/>
      <c r="R438" s="59"/>
      <c r="S438" s="61"/>
      <c r="T438" s="61"/>
      <c r="U438" s="59"/>
      <c r="W438" s="62"/>
      <c r="X438" s="62"/>
    </row>
    <row r="439" spans="14:24" ht="12">
      <c r="N439" s="100"/>
      <c r="O439" s="101"/>
      <c r="R439" s="59"/>
      <c r="S439" s="61"/>
      <c r="T439" s="61"/>
      <c r="U439" s="59"/>
      <c r="W439" s="62"/>
      <c r="X439" s="62"/>
    </row>
    <row r="440" spans="14:24" ht="12">
      <c r="N440" s="100"/>
      <c r="O440" s="101"/>
      <c r="R440" s="59"/>
      <c r="S440" s="61"/>
      <c r="T440" s="61"/>
      <c r="U440" s="59"/>
      <c r="W440" s="62"/>
      <c r="X440" s="62"/>
    </row>
    <row r="441" spans="14:24" ht="12">
      <c r="N441" s="100"/>
      <c r="O441" s="101"/>
      <c r="R441" s="59"/>
      <c r="S441" s="61"/>
      <c r="T441" s="61"/>
      <c r="U441" s="59"/>
      <c r="W441" s="62"/>
      <c r="X441" s="62"/>
    </row>
    <row r="442" spans="14:24" ht="12">
      <c r="N442" s="100"/>
      <c r="O442" s="101"/>
      <c r="R442" s="59"/>
      <c r="S442" s="61"/>
      <c r="T442" s="61"/>
      <c r="U442" s="59"/>
      <c r="W442" s="62"/>
      <c r="X442" s="62"/>
    </row>
    <row r="443" spans="14:24" ht="12">
      <c r="N443" s="100"/>
      <c r="O443" s="101"/>
      <c r="R443" s="59"/>
      <c r="S443" s="61"/>
      <c r="T443" s="61"/>
      <c r="U443" s="59"/>
      <c r="W443" s="62"/>
      <c r="X443" s="62"/>
    </row>
    <row r="444" spans="14:24" ht="12">
      <c r="N444" s="100"/>
      <c r="O444" s="101"/>
      <c r="R444" s="59"/>
      <c r="S444" s="61"/>
      <c r="T444" s="61"/>
      <c r="U444" s="59"/>
      <c r="W444" s="62"/>
      <c r="X444" s="62"/>
    </row>
    <row r="445" spans="14:24" ht="12">
      <c r="N445" s="100"/>
      <c r="O445" s="101"/>
      <c r="R445" s="59"/>
      <c r="S445" s="61"/>
      <c r="T445" s="61"/>
      <c r="U445" s="59"/>
      <c r="W445" s="62"/>
      <c r="X445" s="62"/>
    </row>
    <row r="446" spans="14:24" ht="12">
      <c r="N446" s="100"/>
      <c r="O446" s="101"/>
      <c r="R446" s="59"/>
      <c r="S446" s="61"/>
      <c r="T446" s="61"/>
      <c r="U446" s="59"/>
      <c r="W446" s="62"/>
      <c r="X446" s="62"/>
    </row>
    <row r="447" spans="14:24" ht="12">
      <c r="N447" s="100"/>
      <c r="O447" s="101"/>
      <c r="R447" s="59"/>
      <c r="S447" s="61"/>
      <c r="T447" s="61"/>
      <c r="U447" s="59"/>
      <c r="W447" s="62"/>
      <c r="X447" s="62"/>
    </row>
    <row r="448" spans="14:24" ht="12">
      <c r="N448" s="100"/>
      <c r="O448" s="101"/>
      <c r="R448" s="59"/>
      <c r="S448" s="61"/>
      <c r="T448" s="61"/>
      <c r="U448" s="59"/>
      <c r="W448" s="62"/>
      <c r="X448" s="62"/>
    </row>
    <row r="449" spans="14:24" ht="12">
      <c r="N449" s="100"/>
      <c r="O449" s="101"/>
      <c r="R449" s="59"/>
      <c r="S449" s="61"/>
      <c r="T449" s="61"/>
      <c r="U449" s="59"/>
      <c r="W449" s="62"/>
      <c r="X449" s="62"/>
    </row>
    <row r="450" spans="14:24" ht="12">
      <c r="N450" s="100"/>
      <c r="O450" s="101"/>
      <c r="R450" s="59"/>
      <c r="S450" s="61"/>
      <c r="T450" s="61"/>
      <c r="U450" s="59"/>
      <c r="W450" s="62"/>
      <c r="X450" s="62"/>
    </row>
    <row r="451" spans="14:24" ht="12">
      <c r="N451" s="100"/>
      <c r="O451" s="101"/>
      <c r="R451" s="59"/>
      <c r="S451" s="61"/>
      <c r="T451" s="61"/>
      <c r="U451" s="59"/>
      <c r="W451" s="62"/>
      <c r="X451" s="62"/>
    </row>
    <row r="452" spans="14:24" ht="12">
      <c r="N452" s="100"/>
      <c r="O452" s="101"/>
      <c r="R452" s="59"/>
      <c r="S452" s="61"/>
      <c r="T452" s="61"/>
      <c r="U452" s="59"/>
      <c r="W452" s="62"/>
      <c r="X452" s="62"/>
    </row>
    <row r="453" spans="14:24" ht="12">
      <c r="N453" s="100"/>
      <c r="O453" s="101"/>
      <c r="R453" s="59"/>
      <c r="S453" s="61"/>
      <c r="T453" s="61"/>
      <c r="U453" s="59"/>
      <c r="W453" s="62"/>
      <c r="X453" s="62"/>
    </row>
    <row r="454" spans="14:24" ht="12">
      <c r="N454" s="100"/>
      <c r="O454" s="101"/>
      <c r="R454" s="59"/>
      <c r="S454" s="61"/>
      <c r="T454" s="61"/>
      <c r="U454" s="59"/>
      <c r="W454" s="62"/>
      <c r="X454" s="62"/>
    </row>
    <row r="455" spans="14:24" ht="12">
      <c r="N455" s="100"/>
      <c r="O455" s="101"/>
      <c r="R455" s="59"/>
      <c r="S455" s="61"/>
      <c r="T455" s="61"/>
      <c r="U455" s="59"/>
      <c r="W455" s="62"/>
      <c r="X455" s="62"/>
    </row>
    <row r="456" spans="14:31" ht="12">
      <c r="N456" s="100"/>
      <c r="O456" s="101"/>
      <c r="R456" s="59"/>
      <c r="S456" s="61"/>
      <c r="T456" s="61"/>
      <c r="U456" s="59"/>
      <c r="W456" s="62"/>
      <c r="X456" s="62"/>
      <c r="AE456" s="47" t="s">
        <v>255</v>
      </c>
    </row>
    <row r="457" spans="14:24" ht="12">
      <c r="N457" s="100"/>
      <c r="O457" s="101"/>
      <c r="R457" s="59"/>
      <c r="S457" s="61"/>
      <c r="T457" s="61"/>
      <c r="U457" s="59"/>
      <c r="W457" s="62"/>
      <c r="X457" s="62"/>
    </row>
    <row r="458" spans="14:24" ht="12">
      <c r="N458" s="100"/>
      <c r="O458" s="101"/>
      <c r="R458" s="59"/>
      <c r="S458" s="61"/>
      <c r="T458" s="61"/>
      <c r="U458" s="59"/>
      <c r="W458" s="62"/>
      <c r="X458" s="62"/>
    </row>
    <row r="459" spans="14:15" ht="12">
      <c r="N459" s="100"/>
      <c r="O459" s="101"/>
    </row>
    <row r="460" spans="14:15" ht="12">
      <c r="N460" s="100"/>
      <c r="O460" s="101"/>
    </row>
    <row r="461" spans="14:15" ht="12">
      <c r="N461" s="100"/>
      <c r="O461" s="101"/>
    </row>
    <row r="462" spans="14:15" ht="12">
      <c r="N462" s="100"/>
      <c r="O462" s="101"/>
    </row>
    <row r="463" spans="14:15" ht="12">
      <c r="N463" s="100"/>
      <c r="O463" s="101"/>
    </row>
    <row r="464" spans="14:15" ht="12">
      <c r="N464" s="100"/>
      <c r="O464" s="101"/>
    </row>
    <row r="465" spans="14:15" ht="12">
      <c r="N465" s="100"/>
      <c r="O465" s="101"/>
    </row>
    <row r="466" spans="14:15" ht="12">
      <c r="N466" s="100"/>
      <c r="O466" s="101"/>
    </row>
    <row r="467" spans="14:15" ht="12">
      <c r="N467" s="100"/>
      <c r="O467" s="101"/>
    </row>
    <row r="468" spans="14:15" ht="12">
      <c r="N468" s="100"/>
      <c r="O468" s="101"/>
    </row>
    <row r="469" spans="14:15" ht="12">
      <c r="N469" s="100"/>
      <c r="O469" s="101"/>
    </row>
    <row r="470" spans="14:31" ht="12">
      <c r="N470" s="100"/>
      <c r="O470" s="101"/>
      <c r="AE470" s="47" t="s">
        <v>254</v>
      </c>
    </row>
    <row r="471" spans="14:15" ht="12">
      <c r="N471" s="100"/>
      <c r="O471" s="101"/>
    </row>
    <row r="472" spans="14:15" ht="12">
      <c r="N472" s="100"/>
      <c r="O472" s="101"/>
    </row>
    <row r="473" spans="14:15" ht="12">
      <c r="N473" s="100"/>
      <c r="O473" s="101"/>
    </row>
    <row r="474" spans="14:15" ht="12">
      <c r="N474" s="100"/>
      <c r="O474" s="101"/>
    </row>
    <row r="475" spans="14:15" ht="12">
      <c r="N475" s="100"/>
      <c r="O475" s="101"/>
    </row>
    <row r="476" spans="14:15" ht="12">
      <c r="N476" s="100"/>
      <c r="O476" s="101"/>
    </row>
    <row r="477" spans="14:15" ht="12">
      <c r="N477" s="100"/>
      <c r="O477" s="101"/>
    </row>
    <row r="478" spans="14:32" ht="12">
      <c r="N478" s="100"/>
      <c r="O478" s="101"/>
      <c r="AE478" s="47" t="s">
        <v>256</v>
      </c>
      <c r="AF478" s="47" t="s">
        <v>257</v>
      </c>
    </row>
    <row r="479" spans="14:15" ht="12">
      <c r="N479" s="100"/>
      <c r="O479" s="101"/>
    </row>
    <row r="480" spans="14:15" ht="12">
      <c r="N480" s="100"/>
      <c r="O480" s="101"/>
    </row>
    <row r="481" spans="14:15" ht="12">
      <c r="N481" s="100"/>
      <c r="O481" s="101"/>
    </row>
    <row r="482" spans="14:31" ht="12">
      <c r="N482" s="100"/>
      <c r="O482" s="101"/>
      <c r="AE482" s="47" t="s">
        <v>258</v>
      </c>
    </row>
    <row r="483" spans="14:15" ht="12">
      <c r="N483" s="100"/>
      <c r="O483" s="101"/>
    </row>
    <row r="484" spans="14:15" ht="12">
      <c r="N484" s="100"/>
      <c r="O484" s="101"/>
    </row>
    <row r="485" spans="14:15" ht="12">
      <c r="N485" s="100"/>
      <c r="O485" s="101"/>
    </row>
    <row r="486" spans="14:15" ht="12">
      <c r="N486" s="100"/>
      <c r="O486" s="101"/>
    </row>
  </sheetData>
  <sheetProtection/>
  <dataValidations count="22">
    <dataValidation type="list" allowBlank="1" showInputMessage="1" showErrorMessage="1" promptTitle="Staff Type" prompt="Select Type" errorTitle="Do Not Overtype" sqref="F184:F185">
      <formula1>$A$384:$A$45263</formula1>
    </dataValidation>
    <dataValidation type="list" allowBlank="1" showInputMessage="1" showErrorMessage="1" promptTitle="Select Term" sqref="E181:E185">
      <formula1>$A$465:$A$467</formula1>
    </dataValidation>
    <dataValidation type="list" allowBlank="1" showInputMessage="1" showErrorMessage="1" promptTitle="Continuous" prompt="If this is a new claim input Select No&#10;If ongoing select Yes" sqref="H184:H185">
      <formula1>$A$423:$A$424</formula1>
    </dataValidation>
    <dataValidation type="list" allowBlank="1" showInputMessage="1" showErrorMessage="1" promptTitle="Type" prompt="Select LTS/MTS/MAT" sqref="V181:V185">
      <formula1>$A$425:$A$428</formula1>
    </dataValidation>
    <dataValidation type="list" allowBlank="1" showInputMessage="1" showErrorMessage="1" promptTitle="Type" prompt="Select LTS/MTS/MAT" sqref="V186:V197">
      <formula1>$A$429:$A$433</formula1>
    </dataValidation>
    <dataValidation type="list" allowBlank="1" showInputMessage="1" showErrorMessage="1" promptTitle="School" prompt="Select School" sqref="A181:A188">
      <formula1>$C$385:$C$509</formula1>
    </dataValidation>
    <dataValidation type="list" allowBlank="1" showInputMessage="1" showErrorMessage="1" promptTitle="Continuous" prompt="If this is a new claim input Select No&#10;If ongoing select Yes" sqref="H181:H183">
      <formula1>$A$411:$A$412</formula1>
    </dataValidation>
    <dataValidation type="list" allowBlank="1" showInputMessage="1" showErrorMessage="1" promptTitle="Staff Type" prompt="Select Type" errorTitle="Do Not Overtype" sqref="F181:F183">
      <formula1>$A$374:$A$398</formula1>
    </dataValidation>
    <dataValidation type="list" allowBlank="1" showInputMessage="1" showErrorMessage="1" promptTitle="Select Term" sqref="E3:E180">
      <formula1>$A$456:$A$458</formula1>
    </dataValidation>
    <dataValidation type="list" allowBlank="1" showInputMessage="1" showErrorMessage="1" promptTitle="Staff Type" prompt="Select Type" errorTitle="Do Not Overtype" sqref="F123">
      <formula1>$A$334:$A$45212</formula1>
    </dataValidation>
    <dataValidation type="list" allowBlank="1" showInputMessage="1" showErrorMessage="1" promptTitle="Staff Type" prompt="Select Type" errorTitle="Do Not Overtype" sqref="F164:F165">
      <formula1>$A$336:$A$45214</formula1>
    </dataValidation>
    <dataValidation type="list" allowBlank="1" showInputMessage="1" showErrorMessage="1" promptTitle="Staff Type" prompt="Select Type" errorTitle="Do Not Overtype" sqref="F119:F121">
      <formula1>$A$337:$A$45215</formula1>
    </dataValidation>
    <dataValidation type="list" allowBlank="1" showInputMessage="1" showErrorMessage="1" promptTitle="Continuous" prompt="If this is a new claim input Select No&#10;If ongoing select Yes" sqref="H112">
      <formula1>$A$383:$A$384</formula1>
    </dataValidation>
    <dataValidation type="list" allowBlank="1" showInputMessage="1" showErrorMessage="1" promptTitle="Staff Type" prompt="Select Type" errorTitle="Do Not Overtype" sqref="F112">
      <formula1>$A$345:$A$45223</formula1>
    </dataValidation>
    <dataValidation type="list" allowBlank="1" showInputMessage="1" showErrorMessage="1" promptTitle="Continuous" prompt="If this is a new claim input Select No&#10;If ongoing select Yes" sqref="H107">
      <formula1>$A$387:$A$388</formula1>
    </dataValidation>
    <dataValidation type="list" allowBlank="1" showInputMessage="1" showErrorMessage="1" promptTitle="Staff Type" prompt="Select Type" errorTitle="Do Not Overtype" sqref="F107:F111">
      <formula1>$A$349:$A$45227</formula1>
    </dataValidation>
    <dataValidation type="list" allowBlank="1" showInputMessage="1" showErrorMessage="1" promptTitle="Staff Type" prompt="Select Type" errorTitle="Do Not Overtype" sqref="F91 F98">
      <formula1>$A$353:$A$45231</formula1>
    </dataValidation>
    <dataValidation type="list" allowBlank="1" showInputMessage="1" showErrorMessage="1" promptTitle="Staff Type" prompt="Select Type" errorTitle="Do Not Overtype" sqref="F89">
      <formula1>$A$328:$A$349</formula1>
    </dataValidation>
    <dataValidation type="list" allowBlank="1" showInputMessage="1" showErrorMessage="1" promptTitle="Staff Type" prompt="Select Type" errorTitle="Do Not Overtype" sqref="F80 F86:F88">
      <formula1>$A$374:$A$45252</formula1>
    </dataValidation>
    <dataValidation type="list" allowBlank="1" showInputMessage="1" showErrorMessage="1" sqref="F81:F85 F166:F180 F92:F97 F99:F106 F90 F113:F118 F124:F163 F122 F3:F79">
      <formula1>$A$378:$A$399</formula1>
    </dataValidation>
    <dataValidation type="list" allowBlank="1" showInputMessage="1" showErrorMessage="1" sqref="H108:H111 H113:H180 H3:H106">
      <formula1>$A$412:$A$413</formula1>
    </dataValidation>
    <dataValidation type="list" allowBlank="1" showInputMessage="1" showErrorMessage="1" promptTitle="Type" prompt="Select LTS/MTS/MAT" sqref="V3:V180">
      <formula1>$A$415:$A$418</formula1>
    </dataValidation>
  </dataValidations>
  <printOptions/>
  <pageMargins left="0.19" right="0.17" top="0.34" bottom="0.2" header="0.15" footer="0.2"/>
  <pageSetup fitToWidth="2" horizontalDpi="600" verticalDpi="600" orientation="portrait" paperSize="9" scale="89" r:id="rId3"/>
  <headerFooter alignWithMargins="0">
    <oddFooter>&amp;L&amp;Z&amp;F&amp;R&amp;D</oddFooter>
  </headerFooter>
  <colBreaks count="1" manualBreakCount="1">
    <brk id="16" min="57" max="103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D129"/>
  <sheetViews>
    <sheetView zoomScalePageLayoutView="0" workbookViewId="0" topLeftCell="A1">
      <selection activeCell="D8" sqref="D8:E9"/>
    </sheetView>
  </sheetViews>
  <sheetFormatPr defaultColWidth="9.140625" defaultRowHeight="12.75"/>
  <cols>
    <col min="1" max="1" width="3.7109375" style="0" customWidth="1"/>
    <col min="2" max="2" width="28.8515625" style="13" customWidth="1"/>
    <col min="3" max="3" width="9.140625" style="10" customWidth="1"/>
    <col min="4" max="4" width="15.140625" style="0" customWidth="1"/>
  </cols>
  <sheetData>
    <row r="2" ht="15.75">
      <c r="B2" s="9" t="s">
        <v>199</v>
      </c>
    </row>
    <row r="3" spans="2:4" ht="32.25" thickBot="1">
      <c r="B3" s="11" t="s">
        <v>200</v>
      </c>
      <c r="C3" s="12" t="s">
        <v>201</v>
      </c>
      <c r="D3" s="12" t="s">
        <v>15</v>
      </c>
    </row>
    <row r="4" spans="2:3" ht="15" thickBot="1">
      <c r="B4" s="2" t="s">
        <v>209</v>
      </c>
      <c r="C4" s="3"/>
    </row>
    <row r="5" spans="1:4" ht="14.25">
      <c r="A5">
        <v>1</v>
      </c>
      <c r="B5" s="2" t="s">
        <v>22</v>
      </c>
      <c r="C5" s="3">
        <v>11094</v>
      </c>
      <c r="D5" t="s">
        <v>0</v>
      </c>
    </row>
    <row r="6" spans="1:4" ht="14.25">
      <c r="A6">
        <v>2</v>
      </c>
      <c r="B6" s="4" t="s">
        <v>125</v>
      </c>
      <c r="C6" s="5">
        <v>10042</v>
      </c>
      <c r="D6" t="s">
        <v>0</v>
      </c>
    </row>
    <row r="7" spans="1:4" ht="14.25">
      <c r="A7">
        <v>3</v>
      </c>
      <c r="B7" s="6" t="s">
        <v>32</v>
      </c>
      <c r="C7" s="7">
        <v>10040</v>
      </c>
      <c r="D7" t="s">
        <v>0</v>
      </c>
    </row>
    <row r="8" spans="1:4" ht="14.25">
      <c r="A8">
        <v>4</v>
      </c>
      <c r="B8" s="6" t="s">
        <v>126</v>
      </c>
      <c r="C8" s="7">
        <v>10043</v>
      </c>
      <c r="D8" t="s">
        <v>0</v>
      </c>
    </row>
    <row r="9" spans="1:4" ht="14.25">
      <c r="A9">
        <v>5</v>
      </c>
      <c r="B9" s="6" t="s">
        <v>127</v>
      </c>
      <c r="C9" s="7">
        <v>10117</v>
      </c>
      <c r="D9" t="s">
        <v>0</v>
      </c>
    </row>
    <row r="10" spans="1:4" ht="14.25">
      <c r="A10">
        <v>6</v>
      </c>
      <c r="B10" s="6" t="s">
        <v>142</v>
      </c>
      <c r="C10" s="7" t="s">
        <v>143</v>
      </c>
      <c r="D10" t="s">
        <v>204</v>
      </c>
    </row>
    <row r="11" spans="1:4" ht="14.25">
      <c r="A11">
        <v>7</v>
      </c>
      <c r="B11" s="6" t="s">
        <v>33</v>
      </c>
      <c r="C11" s="7">
        <v>10044</v>
      </c>
      <c r="D11" t="s">
        <v>0</v>
      </c>
    </row>
    <row r="12" spans="1:4" ht="14.25">
      <c r="A12">
        <v>8</v>
      </c>
      <c r="B12" s="6" t="s">
        <v>35</v>
      </c>
      <c r="C12" s="7">
        <v>10044</v>
      </c>
      <c r="D12" t="s">
        <v>203</v>
      </c>
    </row>
    <row r="13" spans="1:4" ht="14.25">
      <c r="A13">
        <v>9</v>
      </c>
      <c r="B13" s="6" t="s">
        <v>36</v>
      </c>
      <c r="C13" s="7">
        <v>10128</v>
      </c>
      <c r="D13" t="s">
        <v>0</v>
      </c>
    </row>
    <row r="14" spans="1:4" ht="14.25">
      <c r="A14">
        <v>10</v>
      </c>
      <c r="B14" s="6" t="s">
        <v>247</v>
      </c>
      <c r="C14" s="7">
        <v>11278</v>
      </c>
      <c r="D14" t="s">
        <v>0</v>
      </c>
    </row>
    <row r="15" spans="1:4" ht="14.25">
      <c r="A15">
        <v>11</v>
      </c>
      <c r="B15" s="6" t="s">
        <v>38</v>
      </c>
      <c r="C15" s="7">
        <v>10045</v>
      </c>
      <c r="D15" t="s">
        <v>0</v>
      </c>
    </row>
    <row r="16" spans="1:4" ht="14.25">
      <c r="A16">
        <v>12</v>
      </c>
      <c r="B16" s="6" t="s">
        <v>135</v>
      </c>
      <c r="C16" s="7">
        <v>10045</v>
      </c>
      <c r="D16" t="s">
        <v>203</v>
      </c>
    </row>
    <row r="17" spans="1:4" ht="14.25">
      <c r="A17">
        <v>13</v>
      </c>
      <c r="B17" s="6" t="s">
        <v>145</v>
      </c>
      <c r="C17" s="7">
        <v>10137</v>
      </c>
      <c r="D17" t="s">
        <v>0</v>
      </c>
    </row>
    <row r="18" spans="1:4" ht="14.25">
      <c r="A18">
        <v>14</v>
      </c>
      <c r="B18" s="6" t="s">
        <v>146</v>
      </c>
      <c r="C18" s="7">
        <v>10115</v>
      </c>
      <c r="D18" t="s">
        <v>0</v>
      </c>
    </row>
    <row r="19" spans="1:4" ht="14.25">
      <c r="A19">
        <v>15</v>
      </c>
      <c r="B19" s="6" t="s">
        <v>39</v>
      </c>
      <c r="C19" s="7" t="s">
        <v>40</v>
      </c>
      <c r="D19" t="s">
        <v>204</v>
      </c>
    </row>
    <row r="20" spans="1:4" ht="14.25">
      <c r="A20">
        <v>16</v>
      </c>
      <c r="B20" s="6" t="s">
        <v>43</v>
      </c>
      <c r="C20" s="7">
        <v>10130</v>
      </c>
      <c r="D20" s="46" t="s">
        <v>240</v>
      </c>
    </row>
    <row r="21" spans="1:4" ht="14.25">
      <c r="A21">
        <v>17</v>
      </c>
      <c r="B21" s="6" t="s">
        <v>45</v>
      </c>
      <c r="C21" s="7">
        <v>10047</v>
      </c>
      <c r="D21" t="s">
        <v>0</v>
      </c>
    </row>
    <row r="22" spans="1:4" ht="14.25">
      <c r="A22">
        <v>18</v>
      </c>
      <c r="B22" s="6" t="s">
        <v>47</v>
      </c>
      <c r="C22" s="7">
        <v>10046</v>
      </c>
      <c r="D22" t="s">
        <v>0</v>
      </c>
    </row>
    <row r="23" spans="1:4" ht="14.25">
      <c r="A23">
        <v>19</v>
      </c>
      <c r="B23" s="6" t="s">
        <v>48</v>
      </c>
      <c r="C23" s="7">
        <v>10048</v>
      </c>
      <c r="D23" t="s">
        <v>0</v>
      </c>
    </row>
    <row r="24" spans="1:4" ht="14.25">
      <c r="A24">
        <v>20</v>
      </c>
      <c r="B24" s="6" t="s">
        <v>128</v>
      </c>
      <c r="C24" s="7">
        <v>10118</v>
      </c>
      <c r="D24" t="s">
        <v>0</v>
      </c>
    </row>
    <row r="25" spans="1:4" ht="14.25">
      <c r="A25">
        <v>21</v>
      </c>
      <c r="B25" s="6" t="s">
        <v>129</v>
      </c>
      <c r="C25" s="7">
        <v>10049</v>
      </c>
      <c r="D25" t="s">
        <v>0</v>
      </c>
    </row>
    <row r="26" spans="1:4" ht="14.25">
      <c r="A26">
        <v>22</v>
      </c>
      <c r="B26" s="6" t="s">
        <v>49</v>
      </c>
      <c r="C26" s="7">
        <v>10049</v>
      </c>
      <c r="D26" t="s">
        <v>203</v>
      </c>
    </row>
    <row r="27" spans="1:4" ht="14.25">
      <c r="A27">
        <v>23</v>
      </c>
      <c r="B27" s="6" t="s">
        <v>50</v>
      </c>
      <c r="C27" s="7">
        <v>10050</v>
      </c>
      <c r="D27" t="s">
        <v>0</v>
      </c>
    </row>
    <row r="28" spans="1:4" ht="14.25">
      <c r="A28">
        <v>24</v>
      </c>
      <c r="B28" s="6" t="s">
        <v>51</v>
      </c>
      <c r="C28" s="7" t="s">
        <v>52</v>
      </c>
      <c r="D28" t="s">
        <v>204</v>
      </c>
    </row>
    <row r="29" spans="1:4" ht="14.25">
      <c r="A29">
        <v>25</v>
      </c>
      <c r="B29" s="6" t="s">
        <v>53</v>
      </c>
      <c r="C29" s="7">
        <v>10051</v>
      </c>
      <c r="D29" t="s">
        <v>0</v>
      </c>
    </row>
    <row r="30" spans="1:4" ht="14.25">
      <c r="A30">
        <v>26</v>
      </c>
      <c r="B30" s="6" t="s">
        <v>149</v>
      </c>
      <c r="C30" s="7">
        <v>10953</v>
      </c>
      <c r="D30" t="s">
        <v>0</v>
      </c>
    </row>
    <row r="31" spans="1:4" ht="14.25">
      <c r="A31">
        <v>27</v>
      </c>
      <c r="B31" s="6" t="s">
        <v>54</v>
      </c>
      <c r="C31" s="7">
        <v>10054</v>
      </c>
      <c r="D31" t="s">
        <v>0</v>
      </c>
    </row>
    <row r="32" spans="1:4" ht="14.25">
      <c r="A32">
        <v>28</v>
      </c>
      <c r="B32" s="6" t="s">
        <v>150</v>
      </c>
      <c r="C32" s="7" t="s">
        <v>151</v>
      </c>
      <c r="D32" t="s">
        <v>204</v>
      </c>
    </row>
    <row r="33" spans="1:4" ht="14.25">
      <c r="A33">
        <v>29</v>
      </c>
      <c r="B33" s="6" t="s">
        <v>55</v>
      </c>
      <c r="C33" s="7">
        <v>10055</v>
      </c>
      <c r="D33" t="s">
        <v>0</v>
      </c>
    </row>
    <row r="34" spans="1:4" ht="14.25">
      <c r="A34">
        <v>30</v>
      </c>
      <c r="B34" s="6" t="s">
        <v>136</v>
      </c>
      <c r="C34" s="7">
        <v>10055</v>
      </c>
      <c r="D34" t="s">
        <v>203</v>
      </c>
    </row>
    <row r="35" spans="1:4" ht="14.25">
      <c r="A35">
        <v>31</v>
      </c>
      <c r="B35" s="6" t="s">
        <v>56</v>
      </c>
      <c r="C35" s="7" t="s">
        <v>57</v>
      </c>
      <c r="D35" t="s">
        <v>204</v>
      </c>
    </row>
    <row r="36" spans="1:4" ht="14.25">
      <c r="A36">
        <v>32</v>
      </c>
      <c r="B36" s="6" t="s">
        <v>58</v>
      </c>
      <c r="C36" s="7">
        <v>10056</v>
      </c>
      <c r="D36" t="s">
        <v>0</v>
      </c>
    </row>
    <row r="37" spans="1:4" ht="14.25">
      <c r="A37">
        <v>33</v>
      </c>
      <c r="B37" s="6" t="s">
        <v>59</v>
      </c>
      <c r="C37" s="7">
        <v>10057</v>
      </c>
      <c r="D37" t="s">
        <v>0</v>
      </c>
    </row>
    <row r="38" spans="1:4" ht="14.25">
      <c r="A38">
        <v>34</v>
      </c>
      <c r="B38" s="6" t="s">
        <v>60</v>
      </c>
      <c r="C38" s="7">
        <v>10083</v>
      </c>
      <c r="D38" t="s">
        <v>0</v>
      </c>
    </row>
    <row r="39" spans="1:4" ht="14.25">
      <c r="A39">
        <v>35</v>
      </c>
      <c r="B39" s="6" t="s">
        <v>61</v>
      </c>
      <c r="C39" s="7">
        <v>10059</v>
      </c>
      <c r="D39" t="s">
        <v>0</v>
      </c>
    </row>
    <row r="40" spans="1:4" ht="14.25">
      <c r="A40">
        <v>36</v>
      </c>
      <c r="B40" s="6" t="s">
        <v>152</v>
      </c>
      <c r="C40" s="7" t="s">
        <v>153</v>
      </c>
      <c r="D40" t="s">
        <v>204</v>
      </c>
    </row>
    <row r="41" spans="1:4" ht="14.25">
      <c r="A41">
        <v>37</v>
      </c>
      <c r="B41" s="6" t="s">
        <v>62</v>
      </c>
      <c r="C41" s="7">
        <v>10061</v>
      </c>
      <c r="D41" t="s">
        <v>0</v>
      </c>
    </row>
    <row r="42" spans="1:4" ht="14.25">
      <c r="A42">
        <v>38</v>
      </c>
      <c r="B42" s="6" t="s">
        <v>64</v>
      </c>
      <c r="C42" s="7">
        <v>10060</v>
      </c>
      <c r="D42" t="s">
        <v>0</v>
      </c>
    </row>
    <row r="43" spans="1:4" ht="14.25">
      <c r="A43">
        <v>39</v>
      </c>
      <c r="B43" s="6" t="s">
        <v>154</v>
      </c>
      <c r="C43" s="7" t="s">
        <v>155</v>
      </c>
      <c r="D43" t="s">
        <v>204</v>
      </c>
    </row>
    <row r="44" spans="1:4" ht="14.25">
      <c r="A44">
        <v>40</v>
      </c>
      <c r="B44" s="6" t="s">
        <v>66</v>
      </c>
      <c r="C44" s="7">
        <v>10063</v>
      </c>
      <c r="D44" t="s">
        <v>0</v>
      </c>
    </row>
    <row r="45" spans="1:4" ht="14.25">
      <c r="A45">
        <v>41</v>
      </c>
      <c r="B45" s="6" t="s">
        <v>156</v>
      </c>
      <c r="C45" s="7">
        <v>10062</v>
      </c>
      <c r="D45" t="s">
        <v>0</v>
      </c>
    </row>
    <row r="46" spans="1:4" ht="14.25">
      <c r="A46">
        <v>42</v>
      </c>
      <c r="B46" s="6" t="s">
        <v>67</v>
      </c>
      <c r="C46" s="7">
        <v>10064</v>
      </c>
      <c r="D46" t="s">
        <v>0</v>
      </c>
    </row>
    <row r="47" spans="1:4" ht="14.25">
      <c r="A47">
        <v>43</v>
      </c>
      <c r="B47" s="6" t="s">
        <v>137</v>
      </c>
      <c r="C47" s="7">
        <v>10064</v>
      </c>
      <c r="D47" t="s">
        <v>203</v>
      </c>
    </row>
    <row r="48" spans="1:4" ht="14.25">
      <c r="A48">
        <v>44</v>
      </c>
      <c r="B48" s="6" t="s">
        <v>157</v>
      </c>
      <c r="C48" s="7">
        <v>10145</v>
      </c>
      <c r="D48" t="s">
        <v>0</v>
      </c>
    </row>
    <row r="49" spans="1:4" ht="14.25">
      <c r="A49">
        <v>45</v>
      </c>
      <c r="B49" s="6" t="s">
        <v>68</v>
      </c>
      <c r="C49" s="7">
        <v>10065</v>
      </c>
      <c r="D49" t="s">
        <v>0</v>
      </c>
    </row>
    <row r="50" spans="1:4" ht="14.25">
      <c r="A50">
        <v>46</v>
      </c>
      <c r="B50" s="6" t="s">
        <v>159</v>
      </c>
      <c r="C50" s="7">
        <v>10139</v>
      </c>
      <c r="D50" t="s">
        <v>0</v>
      </c>
    </row>
    <row r="51" spans="1:4" ht="14.25">
      <c r="A51">
        <v>47</v>
      </c>
      <c r="B51" s="6" t="s">
        <v>160</v>
      </c>
      <c r="C51" s="7">
        <v>10066</v>
      </c>
      <c r="D51" t="s">
        <v>0</v>
      </c>
    </row>
    <row r="52" spans="1:4" ht="14.25">
      <c r="A52">
        <v>48</v>
      </c>
      <c r="B52" s="6" t="s">
        <v>69</v>
      </c>
      <c r="C52" s="7">
        <v>10068</v>
      </c>
      <c r="D52" t="s">
        <v>0</v>
      </c>
    </row>
    <row r="53" spans="1:4" ht="14.25">
      <c r="A53">
        <v>49</v>
      </c>
      <c r="B53" s="6" t="s">
        <v>130</v>
      </c>
      <c r="C53" s="7">
        <v>10067</v>
      </c>
      <c r="D53" t="s">
        <v>0</v>
      </c>
    </row>
    <row r="54" spans="1:4" ht="14.25">
      <c r="A54">
        <v>50</v>
      </c>
      <c r="B54" s="6" t="s">
        <v>161</v>
      </c>
      <c r="C54" s="7">
        <v>10069</v>
      </c>
      <c r="D54" t="s">
        <v>0</v>
      </c>
    </row>
    <row r="55" spans="1:4" ht="14.25">
      <c r="A55">
        <v>51</v>
      </c>
      <c r="B55" s="6" t="s">
        <v>70</v>
      </c>
      <c r="C55" s="7" t="s">
        <v>71</v>
      </c>
      <c r="D55" t="s">
        <v>204</v>
      </c>
    </row>
    <row r="56" spans="1:4" ht="14.25">
      <c r="A56">
        <v>52</v>
      </c>
      <c r="B56" s="6" t="s">
        <v>138</v>
      </c>
      <c r="C56" s="7">
        <v>10131</v>
      </c>
      <c r="D56" t="s">
        <v>203</v>
      </c>
    </row>
    <row r="57" spans="1:4" ht="14.25">
      <c r="A57">
        <v>53</v>
      </c>
      <c r="B57" s="6" t="s">
        <v>72</v>
      </c>
      <c r="C57" s="7">
        <v>10131</v>
      </c>
      <c r="D57" s="46" t="s">
        <v>240</v>
      </c>
    </row>
    <row r="58" spans="1:4" ht="14.25">
      <c r="A58">
        <v>54</v>
      </c>
      <c r="B58" s="6" t="s">
        <v>162</v>
      </c>
      <c r="C58" s="7">
        <v>10146</v>
      </c>
      <c r="D58" t="s">
        <v>0</v>
      </c>
    </row>
    <row r="59" spans="1:4" ht="14.25">
      <c r="A59">
        <v>55</v>
      </c>
      <c r="B59" s="6" t="s">
        <v>73</v>
      </c>
      <c r="C59" s="7">
        <v>10121</v>
      </c>
      <c r="D59" t="s">
        <v>0</v>
      </c>
    </row>
    <row r="60" spans="1:4" ht="14.25">
      <c r="A60">
        <v>56</v>
      </c>
      <c r="B60" s="6" t="s">
        <v>74</v>
      </c>
      <c r="C60" s="7" t="s">
        <v>75</v>
      </c>
      <c r="D60" t="s">
        <v>204</v>
      </c>
    </row>
    <row r="61" spans="1:4" ht="14.25">
      <c r="A61">
        <v>57</v>
      </c>
      <c r="B61" s="6" t="s">
        <v>76</v>
      </c>
      <c r="C61" s="7" t="s">
        <v>77</v>
      </c>
      <c r="D61" t="s">
        <v>204</v>
      </c>
    </row>
    <row r="62" spans="1:4" ht="14.25">
      <c r="A62">
        <v>58</v>
      </c>
      <c r="B62" s="6" t="s">
        <v>78</v>
      </c>
      <c r="C62" s="7">
        <v>10071</v>
      </c>
      <c r="D62" t="s">
        <v>0</v>
      </c>
    </row>
    <row r="63" spans="1:4" ht="14.25">
      <c r="A63">
        <v>59</v>
      </c>
      <c r="B63" s="6" t="s">
        <v>163</v>
      </c>
      <c r="C63" s="7">
        <v>10072</v>
      </c>
      <c r="D63" t="s">
        <v>0</v>
      </c>
    </row>
    <row r="64" spans="1:4" ht="14.25">
      <c r="A64">
        <v>60</v>
      </c>
      <c r="B64" s="6" t="s">
        <v>79</v>
      </c>
      <c r="C64" s="7">
        <v>10073</v>
      </c>
      <c r="D64" t="s">
        <v>0</v>
      </c>
    </row>
    <row r="65" spans="1:4" ht="14.25">
      <c r="A65">
        <v>61</v>
      </c>
      <c r="B65" s="6" t="s">
        <v>80</v>
      </c>
      <c r="C65" s="7" t="s">
        <v>81</v>
      </c>
      <c r="D65" t="s">
        <v>204</v>
      </c>
    </row>
    <row r="66" spans="1:4" ht="14.25">
      <c r="A66">
        <v>62</v>
      </c>
      <c r="B66" s="6" t="s">
        <v>164</v>
      </c>
      <c r="C66" s="7">
        <v>10122</v>
      </c>
      <c r="D66" t="s">
        <v>203</v>
      </c>
    </row>
    <row r="67" spans="1:4" ht="14.25">
      <c r="A67">
        <v>63</v>
      </c>
      <c r="B67" s="6" t="s">
        <v>165</v>
      </c>
      <c r="C67" s="7" t="s">
        <v>166</v>
      </c>
      <c r="D67" t="s">
        <v>204</v>
      </c>
    </row>
    <row r="68" spans="1:4" ht="14.25">
      <c r="A68">
        <v>64</v>
      </c>
      <c r="B68" s="6" t="s">
        <v>83</v>
      </c>
      <c r="C68" s="7">
        <v>11174</v>
      </c>
      <c r="D68" t="s">
        <v>0</v>
      </c>
    </row>
    <row r="69" spans="1:4" ht="14.25">
      <c r="A69">
        <v>65</v>
      </c>
      <c r="B69" s="6" t="s">
        <v>167</v>
      </c>
      <c r="C69" s="7">
        <v>10074</v>
      </c>
      <c r="D69" t="s">
        <v>0</v>
      </c>
    </row>
    <row r="70" spans="1:4" ht="14.25">
      <c r="A70">
        <v>66</v>
      </c>
      <c r="B70" s="6" t="s">
        <v>84</v>
      </c>
      <c r="C70" s="7">
        <v>10075</v>
      </c>
      <c r="D70" t="s">
        <v>0</v>
      </c>
    </row>
    <row r="71" spans="1:4" ht="14.25">
      <c r="A71">
        <v>67</v>
      </c>
      <c r="B71" s="6" t="s">
        <v>85</v>
      </c>
      <c r="C71" s="7">
        <v>10159</v>
      </c>
      <c r="D71" t="s">
        <v>0</v>
      </c>
    </row>
    <row r="72" spans="1:4" ht="14.25">
      <c r="A72">
        <v>68</v>
      </c>
      <c r="B72" s="6" t="s">
        <v>86</v>
      </c>
      <c r="C72" s="7">
        <v>11093</v>
      </c>
      <c r="D72" t="s">
        <v>0</v>
      </c>
    </row>
    <row r="73" spans="1:4" ht="14.25">
      <c r="A73">
        <v>69</v>
      </c>
      <c r="B73" s="6" t="s">
        <v>87</v>
      </c>
      <c r="C73" s="7">
        <v>10125</v>
      </c>
      <c r="D73" t="s">
        <v>0</v>
      </c>
    </row>
    <row r="74" spans="1:4" ht="14.25">
      <c r="A74">
        <v>70</v>
      </c>
      <c r="B74" s="6" t="s">
        <v>88</v>
      </c>
      <c r="C74" s="7">
        <v>10126</v>
      </c>
      <c r="D74" t="s">
        <v>0</v>
      </c>
    </row>
    <row r="75" spans="1:4" ht="14.25">
      <c r="A75">
        <v>71</v>
      </c>
      <c r="B75" s="6" t="s">
        <v>89</v>
      </c>
      <c r="C75" s="7">
        <v>10114</v>
      </c>
      <c r="D75" t="s">
        <v>0</v>
      </c>
    </row>
    <row r="76" spans="1:4" ht="14.25">
      <c r="A76">
        <v>72</v>
      </c>
      <c r="B76" s="6" t="s">
        <v>168</v>
      </c>
      <c r="C76" s="7">
        <v>10140</v>
      </c>
      <c r="D76" t="s">
        <v>0</v>
      </c>
    </row>
    <row r="77" spans="1:4" ht="14.25">
      <c r="A77">
        <v>73</v>
      </c>
      <c r="B77" s="6" t="s">
        <v>131</v>
      </c>
      <c r="C77" s="7">
        <v>10078</v>
      </c>
      <c r="D77" t="s">
        <v>0</v>
      </c>
    </row>
    <row r="78" spans="1:4" ht="14.25">
      <c r="A78">
        <v>74</v>
      </c>
      <c r="B78" s="6" t="s">
        <v>169</v>
      </c>
      <c r="C78" s="7">
        <v>10079</v>
      </c>
      <c r="D78" t="s">
        <v>0</v>
      </c>
    </row>
    <row r="79" spans="1:4" ht="14.25">
      <c r="A79">
        <v>75</v>
      </c>
      <c r="B79" s="6" t="s">
        <v>91</v>
      </c>
      <c r="C79" s="7">
        <v>10081</v>
      </c>
      <c r="D79" t="s">
        <v>0</v>
      </c>
    </row>
    <row r="80" spans="1:4" ht="14.25">
      <c r="A80">
        <v>76</v>
      </c>
      <c r="B80" s="6" t="s">
        <v>92</v>
      </c>
      <c r="C80" s="7">
        <v>10080</v>
      </c>
      <c r="D80" t="s">
        <v>0</v>
      </c>
    </row>
    <row r="81" spans="1:4" ht="14.25">
      <c r="A81">
        <v>77</v>
      </c>
      <c r="B81" s="6" t="s">
        <v>93</v>
      </c>
      <c r="C81" s="7">
        <v>10132</v>
      </c>
      <c r="D81" s="46" t="s">
        <v>240</v>
      </c>
    </row>
    <row r="82" spans="1:4" ht="14.25">
      <c r="A82">
        <v>78</v>
      </c>
      <c r="B82" s="6" t="s">
        <v>170</v>
      </c>
      <c r="C82" s="7">
        <v>10082</v>
      </c>
      <c r="D82" t="s">
        <v>0</v>
      </c>
    </row>
    <row r="83" spans="1:4" ht="14.25">
      <c r="A83">
        <v>79</v>
      </c>
      <c r="B83" s="6" t="s">
        <v>134</v>
      </c>
      <c r="C83" s="7">
        <v>10157</v>
      </c>
      <c r="D83" t="s">
        <v>0</v>
      </c>
    </row>
    <row r="84" spans="1:4" ht="14.25">
      <c r="A84">
        <v>80</v>
      </c>
      <c r="B84" s="6" t="s">
        <v>171</v>
      </c>
      <c r="C84" s="7">
        <v>10156</v>
      </c>
      <c r="D84" t="s">
        <v>0</v>
      </c>
    </row>
    <row r="85" spans="1:4" ht="14.25">
      <c r="A85">
        <v>81</v>
      </c>
      <c r="B85" s="6" t="s">
        <v>94</v>
      </c>
      <c r="C85" s="7">
        <v>10158</v>
      </c>
      <c r="D85" t="s">
        <v>0</v>
      </c>
    </row>
    <row r="86" spans="1:4" ht="14.25">
      <c r="A86">
        <v>82</v>
      </c>
      <c r="B86" s="6" t="s">
        <v>172</v>
      </c>
      <c r="C86" s="7">
        <v>10127</v>
      </c>
      <c r="D86" t="s">
        <v>0</v>
      </c>
    </row>
    <row r="87" spans="1:4" ht="14.25">
      <c r="A87">
        <v>83</v>
      </c>
      <c r="B87" s="6" t="s">
        <v>96</v>
      </c>
      <c r="C87" s="7">
        <v>10084</v>
      </c>
      <c r="D87" t="s">
        <v>0</v>
      </c>
    </row>
    <row r="88" spans="1:4" ht="14.25">
      <c r="A88">
        <v>84</v>
      </c>
      <c r="B88" s="6" t="s">
        <v>97</v>
      </c>
      <c r="C88" s="7">
        <v>10085</v>
      </c>
      <c r="D88" t="s">
        <v>0</v>
      </c>
    </row>
    <row r="89" spans="1:4" ht="14.25">
      <c r="A89">
        <v>85</v>
      </c>
      <c r="B89" s="6" t="s">
        <v>99</v>
      </c>
      <c r="C89" s="7">
        <v>10129</v>
      </c>
      <c r="D89" t="s">
        <v>0</v>
      </c>
    </row>
    <row r="90" spans="1:4" ht="14.25">
      <c r="A90">
        <v>86</v>
      </c>
      <c r="B90" s="6" t="s">
        <v>100</v>
      </c>
      <c r="C90" s="7" t="s">
        <v>101</v>
      </c>
      <c r="D90" t="s">
        <v>204</v>
      </c>
    </row>
    <row r="91" spans="1:4" ht="14.25">
      <c r="A91">
        <v>87</v>
      </c>
      <c r="B91" s="6" t="s">
        <v>174</v>
      </c>
      <c r="C91" s="7">
        <v>10120</v>
      </c>
      <c r="D91" t="s">
        <v>203</v>
      </c>
    </row>
    <row r="92" spans="1:4" ht="14.25">
      <c r="A92">
        <v>88</v>
      </c>
      <c r="B92" s="4" t="s">
        <v>175</v>
      </c>
      <c r="C92" s="5" t="s">
        <v>176</v>
      </c>
      <c r="D92" t="s">
        <v>204</v>
      </c>
    </row>
    <row r="93" spans="1:4" ht="14.25">
      <c r="A93">
        <v>89</v>
      </c>
      <c r="B93" s="4" t="s">
        <v>102</v>
      </c>
      <c r="C93" s="5" t="s">
        <v>103</v>
      </c>
      <c r="D93" t="s">
        <v>204</v>
      </c>
    </row>
    <row r="94" spans="1:4" ht="14.25">
      <c r="A94">
        <v>90</v>
      </c>
      <c r="B94" s="4" t="s">
        <v>177</v>
      </c>
      <c r="C94" s="5">
        <v>10119</v>
      </c>
      <c r="D94" t="s">
        <v>0</v>
      </c>
    </row>
    <row r="95" spans="1:4" ht="14.25">
      <c r="A95">
        <v>91</v>
      </c>
      <c r="B95" s="4" t="s">
        <v>104</v>
      </c>
      <c r="C95" s="5">
        <v>10086</v>
      </c>
      <c r="D95" t="s">
        <v>0</v>
      </c>
    </row>
    <row r="96" spans="1:4" ht="14.25">
      <c r="A96">
        <v>92</v>
      </c>
      <c r="B96" s="8" t="s">
        <v>111</v>
      </c>
      <c r="C96" s="5" t="s">
        <v>112</v>
      </c>
      <c r="D96" t="s">
        <v>204</v>
      </c>
    </row>
    <row r="97" spans="1:4" ht="14.25">
      <c r="A97">
        <v>93</v>
      </c>
      <c r="B97" s="4" t="s">
        <v>105</v>
      </c>
      <c r="C97" s="5">
        <v>10112</v>
      </c>
      <c r="D97" t="s">
        <v>0</v>
      </c>
    </row>
    <row r="98" spans="1:4" ht="14.25">
      <c r="A98">
        <v>94</v>
      </c>
      <c r="B98" s="4" t="s">
        <v>202</v>
      </c>
      <c r="C98" s="5">
        <v>11381</v>
      </c>
      <c r="D98" t="s">
        <v>0</v>
      </c>
    </row>
    <row r="99" spans="1:4" ht="14.25">
      <c r="A99">
        <v>95</v>
      </c>
      <c r="B99" s="4" t="s">
        <v>178</v>
      </c>
      <c r="C99" s="5">
        <v>10110</v>
      </c>
      <c r="D99" t="s">
        <v>0</v>
      </c>
    </row>
    <row r="100" spans="1:4" ht="14.25">
      <c r="A100">
        <v>96</v>
      </c>
      <c r="B100" s="4" t="s">
        <v>179</v>
      </c>
      <c r="C100" s="5">
        <v>10087</v>
      </c>
      <c r="D100" t="s">
        <v>0</v>
      </c>
    </row>
    <row r="101" spans="1:4" ht="14.25">
      <c r="A101">
        <v>97</v>
      </c>
      <c r="B101" s="4" t="s">
        <v>106</v>
      </c>
      <c r="C101" s="5">
        <v>10099</v>
      </c>
      <c r="D101" t="s">
        <v>0</v>
      </c>
    </row>
    <row r="102" spans="1:4" ht="14.25">
      <c r="A102">
        <v>98</v>
      </c>
      <c r="B102" s="4" t="s">
        <v>180</v>
      </c>
      <c r="C102" s="5">
        <v>10088</v>
      </c>
      <c r="D102" t="s">
        <v>0</v>
      </c>
    </row>
    <row r="103" spans="1:4" ht="14.25">
      <c r="A103">
        <v>99</v>
      </c>
      <c r="B103" s="4" t="s">
        <v>181</v>
      </c>
      <c r="C103" s="5">
        <v>10142</v>
      </c>
      <c r="D103" t="s">
        <v>0</v>
      </c>
    </row>
    <row r="104" spans="1:4" ht="14.25">
      <c r="A104">
        <v>100</v>
      </c>
      <c r="B104" s="4" t="s">
        <v>107</v>
      </c>
      <c r="C104" s="5">
        <v>10089</v>
      </c>
      <c r="D104" t="s">
        <v>0</v>
      </c>
    </row>
    <row r="105" spans="1:4" ht="14.25">
      <c r="A105">
        <v>101</v>
      </c>
      <c r="B105" s="4" t="s">
        <v>108</v>
      </c>
      <c r="C105" s="5">
        <v>10116</v>
      </c>
      <c r="D105" t="s">
        <v>0</v>
      </c>
    </row>
    <row r="106" spans="1:4" ht="14.25">
      <c r="A106">
        <v>102</v>
      </c>
      <c r="B106" s="4" t="s">
        <v>182</v>
      </c>
      <c r="C106" s="5">
        <v>10107</v>
      </c>
      <c r="D106" t="s">
        <v>0</v>
      </c>
    </row>
    <row r="107" spans="1:4" ht="14.25">
      <c r="A107">
        <v>103</v>
      </c>
      <c r="B107" s="4" t="s">
        <v>183</v>
      </c>
      <c r="C107" s="5">
        <v>10133</v>
      </c>
      <c r="D107" t="s">
        <v>203</v>
      </c>
    </row>
    <row r="108" spans="1:4" ht="14.25">
      <c r="A108">
        <v>104</v>
      </c>
      <c r="B108" s="4" t="s">
        <v>184</v>
      </c>
      <c r="C108" s="5">
        <v>10133</v>
      </c>
      <c r="D108" s="46" t="s">
        <v>240</v>
      </c>
    </row>
    <row r="109" spans="1:4" ht="14.25">
      <c r="A109">
        <v>105</v>
      </c>
      <c r="B109" s="4" t="s">
        <v>185</v>
      </c>
      <c r="C109" s="5">
        <v>10698</v>
      </c>
      <c r="D109" t="s">
        <v>0</v>
      </c>
    </row>
    <row r="110" spans="1:4" ht="14.25">
      <c r="A110">
        <v>106</v>
      </c>
      <c r="B110" s="4" t="s">
        <v>186</v>
      </c>
      <c r="C110" s="5">
        <v>10093</v>
      </c>
      <c r="D110" t="s">
        <v>0</v>
      </c>
    </row>
    <row r="111" spans="1:4" ht="14.25">
      <c r="A111">
        <v>107</v>
      </c>
      <c r="B111" s="4" t="s">
        <v>187</v>
      </c>
      <c r="C111" s="5">
        <v>10143</v>
      </c>
      <c r="D111" t="s">
        <v>0</v>
      </c>
    </row>
    <row r="112" spans="1:4" ht="14.25">
      <c r="A112">
        <v>108</v>
      </c>
      <c r="B112" s="4" t="s">
        <v>188</v>
      </c>
      <c r="C112" s="5">
        <v>10092</v>
      </c>
      <c r="D112" t="s">
        <v>0</v>
      </c>
    </row>
    <row r="113" spans="1:4" ht="14.25">
      <c r="A113">
        <v>109</v>
      </c>
      <c r="B113" s="4" t="s">
        <v>189</v>
      </c>
      <c r="C113" s="5">
        <v>10148</v>
      </c>
      <c r="D113" t="s">
        <v>0</v>
      </c>
    </row>
    <row r="114" spans="1:4" ht="14.25">
      <c r="A114">
        <v>110</v>
      </c>
      <c r="B114" s="4" t="s">
        <v>190</v>
      </c>
      <c r="C114" s="5">
        <v>10094</v>
      </c>
      <c r="D114" t="s">
        <v>0</v>
      </c>
    </row>
    <row r="115" spans="1:4" ht="14.25">
      <c r="A115">
        <v>111</v>
      </c>
      <c r="B115" s="4" t="s">
        <v>191</v>
      </c>
      <c r="C115" s="5">
        <v>10095</v>
      </c>
      <c r="D115" t="s">
        <v>0</v>
      </c>
    </row>
    <row r="116" spans="1:4" ht="14.25">
      <c r="A116">
        <v>112</v>
      </c>
      <c r="B116" s="4" t="s">
        <v>192</v>
      </c>
      <c r="C116" s="5">
        <v>10108</v>
      </c>
      <c r="D116" t="s">
        <v>0</v>
      </c>
    </row>
    <row r="117" spans="1:4" ht="14.25">
      <c r="A117">
        <v>113</v>
      </c>
      <c r="B117" s="4" t="s">
        <v>193</v>
      </c>
      <c r="C117" s="5">
        <v>10096</v>
      </c>
      <c r="D117" t="s">
        <v>0</v>
      </c>
    </row>
    <row r="118" spans="1:4" ht="14.25">
      <c r="A118">
        <v>114</v>
      </c>
      <c r="B118" s="4" t="s">
        <v>109</v>
      </c>
      <c r="C118" s="5">
        <v>10098</v>
      </c>
      <c r="D118" t="s">
        <v>0</v>
      </c>
    </row>
    <row r="119" spans="1:4" ht="14.25">
      <c r="A119">
        <v>115</v>
      </c>
      <c r="B119" s="4" t="s">
        <v>110</v>
      </c>
      <c r="C119" s="5">
        <v>10097</v>
      </c>
      <c r="D119" t="s">
        <v>0</v>
      </c>
    </row>
    <row r="120" spans="1:4" ht="14.25">
      <c r="A120">
        <v>116</v>
      </c>
      <c r="B120" s="4" t="s">
        <v>132</v>
      </c>
      <c r="C120" s="5">
        <v>10100</v>
      </c>
      <c r="D120" t="s">
        <v>0</v>
      </c>
    </row>
    <row r="121" spans="1:4" ht="14.25">
      <c r="A121">
        <v>117</v>
      </c>
      <c r="B121" s="4" t="s">
        <v>113</v>
      </c>
      <c r="C121" s="5">
        <v>10101</v>
      </c>
      <c r="D121" t="s">
        <v>0</v>
      </c>
    </row>
    <row r="122" spans="1:4" ht="14.25">
      <c r="A122">
        <v>118</v>
      </c>
      <c r="B122" s="4" t="s">
        <v>139</v>
      </c>
      <c r="C122" s="5">
        <v>10103</v>
      </c>
      <c r="D122" t="s">
        <v>203</v>
      </c>
    </row>
    <row r="123" spans="1:4" ht="14.25">
      <c r="A123">
        <v>119</v>
      </c>
      <c r="B123" s="4" t="s">
        <v>133</v>
      </c>
      <c r="C123" s="5">
        <v>10103</v>
      </c>
      <c r="D123" t="s">
        <v>0</v>
      </c>
    </row>
    <row r="124" spans="1:4" ht="14.25">
      <c r="A124">
        <v>120</v>
      </c>
      <c r="B124" s="4" t="s">
        <v>114</v>
      </c>
      <c r="C124" s="5">
        <v>10102</v>
      </c>
      <c r="D124" t="s">
        <v>0</v>
      </c>
    </row>
    <row r="125" spans="1:4" ht="14.25">
      <c r="A125">
        <v>121</v>
      </c>
      <c r="B125" s="4" t="s">
        <v>194</v>
      </c>
      <c r="C125" s="5">
        <v>10124</v>
      </c>
      <c r="D125" t="s">
        <v>0</v>
      </c>
    </row>
    <row r="126" spans="1:4" ht="14.25">
      <c r="A126">
        <v>122</v>
      </c>
      <c r="B126" s="4" t="s">
        <v>195</v>
      </c>
      <c r="C126" s="5">
        <v>10144</v>
      </c>
      <c r="D126" t="s">
        <v>0</v>
      </c>
    </row>
    <row r="127" spans="1:4" ht="14.25">
      <c r="A127">
        <v>123</v>
      </c>
      <c r="B127" s="4" t="s">
        <v>115</v>
      </c>
      <c r="C127" s="5">
        <v>10105</v>
      </c>
      <c r="D127" t="s">
        <v>0</v>
      </c>
    </row>
    <row r="128" spans="1:4" ht="14.25">
      <c r="A128">
        <v>124</v>
      </c>
      <c r="B128" s="4" t="s">
        <v>116</v>
      </c>
      <c r="C128" s="5">
        <v>10123</v>
      </c>
      <c r="D128" t="s">
        <v>0</v>
      </c>
    </row>
    <row r="129" spans="1:4" ht="14.25">
      <c r="A129">
        <v>125</v>
      </c>
      <c r="B129" s="4" t="s">
        <v>117</v>
      </c>
      <c r="C129" s="5">
        <v>10109</v>
      </c>
      <c r="D129" t="s">
        <v>0</v>
      </c>
    </row>
  </sheetData>
  <sheetProtection/>
  <autoFilter ref="A4:D129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27"/>
  <sheetViews>
    <sheetView showGridLines="0" zoomScalePageLayoutView="0" workbookViewId="0" topLeftCell="A1">
      <selection activeCell="D8" sqref="D8:E9"/>
    </sheetView>
  </sheetViews>
  <sheetFormatPr defaultColWidth="9.140625" defaultRowHeight="12.75"/>
  <cols>
    <col min="1" max="5" width="10.421875" style="0" customWidth="1"/>
    <col min="6" max="6" width="20.7109375" style="0" customWidth="1"/>
    <col min="7" max="9" width="10.421875" style="0" customWidth="1"/>
    <col min="10" max="11" width="11.421875" style="0" customWidth="1"/>
  </cols>
  <sheetData>
    <row r="1" ht="18">
      <c r="A1" s="76" t="s">
        <v>241</v>
      </c>
    </row>
    <row r="4" spans="1:5" ht="15">
      <c r="A4" s="78">
        <v>1</v>
      </c>
      <c r="B4" s="78"/>
      <c r="C4" s="78" t="s">
        <v>242</v>
      </c>
      <c r="D4" s="78"/>
      <c r="E4" s="78"/>
    </row>
    <row r="6" spans="1:3" ht="15">
      <c r="A6">
        <v>2</v>
      </c>
      <c r="C6" s="78" t="s">
        <v>243</v>
      </c>
    </row>
    <row r="17" spans="1:3" ht="15">
      <c r="A17">
        <v>3</v>
      </c>
      <c r="C17" s="78" t="s">
        <v>244</v>
      </c>
    </row>
    <row r="20" spans="1:3" ht="15">
      <c r="A20">
        <v>4</v>
      </c>
      <c r="C20" s="78" t="s">
        <v>245</v>
      </c>
    </row>
    <row r="22" spans="1:2" ht="15">
      <c r="A22" s="78"/>
      <c r="B22" s="78" t="s">
        <v>246</v>
      </c>
    </row>
    <row r="23" ht="13.5" thickBot="1"/>
    <row r="24" spans="2:6" ht="18">
      <c r="B24" s="39" t="s">
        <v>221</v>
      </c>
      <c r="C24" s="40"/>
      <c r="D24" s="40"/>
      <c r="E24" s="40"/>
      <c r="F24" s="41"/>
    </row>
    <row r="25" spans="2:6" ht="15.75">
      <c r="B25" s="37" t="s">
        <v>224</v>
      </c>
      <c r="C25" s="38"/>
      <c r="D25" s="38"/>
      <c r="E25" s="24" t="s">
        <v>225</v>
      </c>
      <c r="F25" s="42"/>
    </row>
    <row r="26" spans="2:6" ht="15.75">
      <c r="B26" s="37" t="s">
        <v>222</v>
      </c>
      <c r="C26" s="38"/>
      <c r="D26" s="38"/>
      <c r="E26" s="24" t="s">
        <v>223</v>
      </c>
      <c r="F26" s="42"/>
    </row>
    <row r="27" spans="2:6" ht="18.75" thickBot="1">
      <c r="B27" s="43" t="s">
        <v>228</v>
      </c>
      <c r="C27" s="32"/>
      <c r="D27" s="32"/>
      <c r="E27" s="44" t="s">
        <v>249</v>
      </c>
      <c r="F27" s="45"/>
    </row>
  </sheetData>
  <sheetProtection/>
  <hyperlinks>
    <hyperlink ref="E26" r:id="rId1" display="faz.saeed@barnet.gov.uk"/>
    <hyperlink ref="E25" r:id="rId2" display="nicole.gibson@barnet.gov.uk"/>
    <hyperlink ref="E27" r:id="rId3" display="gary.topp@barnet.gov.uk"/>
  </hyperlinks>
  <printOptions/>
  <pageMargins left="0.7" right="0.7" top="0.75" bottom="0.75" header="0.3" footer="0.3"/>
  <pageSetup orientation="portrait" paperSize="9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Support</cp:lastModifiedBy>
  <cp:lastPrinted>2014-03-19T13:13:30Z</cp:lastPrinted>
  <dcterms:created xsi:type="dcterms:W3CDTF">2014-01-22T09:53:11Z</dcterms:created>
  <dcterms:modified xsi:type="dcterms:W3CDTF">2018-03-22T14:37:54Z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