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showHorizontalScroll="0" xWindow="65521" yWindow="65521" windowWidth="19155" windowHeight="6360" tabRatio="778" firstSheet="5" activeTab="5"/>
  </bookViews>
  <sheets>
    <sheet name="fee income 0910" sheetId="1" state="hidden" r:id="rId1"/>
    <sheet name="basic entitlement 0910" sheetId="2" state="hidden" r:id="rId2"/>
    <sheet name="alloc0910" sheetId="3" state="hidden" r:id="rId3"/>
    <sheet name="Staff Rates" sheetId="4" state="hidden" r:id="rId4"/>
    <sheet name="2009-10" sheetId="5" state="hidden" r:id="rId5"/>
    <sheet name="Report" sheetId="6" r:id="rId6"/>
    <sheet name="All Centres" sheetId="7" r:id="rId7"/>
    <sheet name="Children" sheetId="8" r:id="rId8"/>
    <sheet name="Types" sheetId="9" state="hidden" r:id="rId9"/>
    <sheet name="Childcare" sheetId="10" state="hidden" r:id="rId10"/>
    <sheet name="Data" sheetId="11" state="hidden" r:id="rId11"/>
  </sheets>
  <externalReferences>
    <externalReference r:id="rId15"/>
  </externalReferences>
  <definedNames>
    <definedName name="Num">'[1].xls].xls].xls].xls].xls].xls].xls].xls].xls]Report'!$F$8</definedName>
    <definedName name="_xlnm.Print_Area" localSheetId="6">'All Centres'!$A$1:$L$33</definedName>
    <definedName name="_xlnm.Print_Area" localSheetId="5">'Report'!$A$1:$H$60</definedName>
    <definedName name="type">'[1].xls].xls].xls].xls].xls].xls].xls].xls].xls]Report'!$L$8</definedName>
  </definedNames>
  <calcPr fullCalcOnLoad="1"/>
  <pivotCaches>
    <pivotCache cacheId="2" r:id="rId12"/>
  </pivotCaches>
</workbook>
</file>

<file path=xl/sharedStrings.xml><?xml version="1.0" encoding="utf-8"?>
<sst xmlns="http://schemas.openxmlformats.org/spreadsheetml/2006/main" count="731" uniqueCount="283">
  <si>
    <t>ID</t>
  </si>
  <si>
    <t>DCSF</t>
  </si>
  <si>
    <t>Name</t>
  </si>
  <si>
    <t>Childcare</t>
  </si>
  <si>
    <t>Type</t>
  </si>
  <si>
    <t>Code</t>
  </si>
  <si>
    <t>0-2yos</t>
  </si>
  <si>
    <t>2-3yos</t>
  </si>
  <si>
    <t>3-4yos</t>
  </si>
  <si>
    <t>Phase</t>
  </si>
  <si>
    <t>Manager</t>
  </si>
  <si>
    <t>Teacher</t>
  </si>
  <si>
    <t>Caretaker</t>
  </si>
  <si>
    <t>Outreach</t>
  </si>
  <si>
    <t>Children's Centres - Financial Year 2010-11</t>
  </si>
  <si>
    <t>Phase2</t>
  </si>
  <si>
    <t>Phase3</t>
  </si>
  <si>
    <t>SOA</t>
  </si>
  <si>
    <t>N</t>
  </si>
  <si>
    <t>School</t>
  </si>
  <si>
    <t xml:space="preserve">N </t>
  </si>
  <si>
    <t>2A</t>
  </si>
  <si>
    <t>2B</t>
  </si>
  <si>
    <t>2C</t>
  </si>
  <si>
    <t>2D</t>
  </si>
  <si>
    <t>Wingfield</t>
  </si>
  <si>
    <t>Newstead</t>
  </si>
  <si>
    <t>Parkfield</t>
  </si>
  <si>
    <t>Fairway</t>
  </si>
  <si>
    <t>Underhill</t>
  </si>
  <si>
    <t>Barnfield</t>
  </si>
  <si>
    <t>Bell Lane</t>
  </si>
  <si>
    <t>Childs Hill</t>
  </si>
  <si>
    <t>Stonegrove</t>
  </si>
  <si>
    <t>Kennedy Leigh</t>
  </si>
  <si>
    <t>Sweets Way</t>
  </si>
  <si>
    <t>Hampden Way</t>
  </si>
  <si>
    <t>Four Libraries</t>
  </si>
  <si>
    <t>Coppetts Wood</t>
  </si>
  <si>
    <t>The Hyde</t>
  </si>
  <si>
    <t>Grand Total</t>
  </si>
  <si>
    <t>HT</t>
  </si>
  <si>
    <t>Recept</t>
  </si>
  <si>
    <t>FS</t>
  </si>
  <si>
    <t>BusMgr</t>
  </si>
  <si>
    <t>Sites</t>
  </si>
  <si>
    <t>Spare1</t>
  </si>
  <si>
    <t>Spare2</t>
  </si>
  <si>
    <t>Two Youth Centres</t>
  </si>
  <si>
    <t>P2-30ChSch1</t>
  </si>
  <si>
    <t>P2-70NCSA1</t>
  </si>
  <si>
    <t>P2-30ChSA1</t>
  </si>
  <si>
    <t>P2-70NCSch1</t>
  </si>
  <si>
    <t>P3-70NCSA1</t>
  </si>
  <si>
    <t>P3-70NCSA4</t>
  </si>
  <si>
    <t>NC</t>
  </si>
  <si>
    <t>SA</t>
  </si>
  <si>
    <t>2E</t>
  </si>
  <si>
    <t>2F</t>
  </si>
  <si>
    <t>2G</t>
  </si>
  <si>
    <t>2H</t>
  </si>
  <si>
    <t>P2-70ChSA1</t>
  </si>
  <si>
    <t>P2-70ChSch1</t>
  </si>
  <si>
    <t>P2-30NCSch1</t>
  </si>
  <si>
    <t>P2-30NCSA1</t>
  </si>
  <si>
    <t>P3-70NCSA2</t>
  </si>
  <si>
    <t>3G</t>
  </si>
  <si>
    <t>3G2</t>
  </si>
  <si>
    <t>3G4</t>
  </si>
  <si>
    <t>Count of Type</t>
  </si>
  <si>
    <t>Outdoors</t>
  </si>
  <si>
    <t>Headteacher</t>
  </si>
  <si>
    <t>IntArea</t>
  </si>
  <si>
    <t>St Margaret's</t>
  </si>
  <si>
    <t>OccupCore</t>
  </si>
  <si>
    <t>OccupXday</t>
  </si>
  <si>
    <t>OccupXwk</t>
  </si>
  <si>
    <t>Children</t>
  </si>
  <si>
    <t>Staff</t>
  </si>
  <si>
    <t>SOccupCore</t>
  </si>
  <si>
    <t>SOccupXday</t>
  </si>
  <si>
    <t>SOccupXwk</t>
  </si>
  <si>
    <t>Deputy</t>
  </si>
  <si>
    <t>Cook</t>
  </si>
  <si>
    <t>Domestic</t>
  </si>
  <si>
    <t>NonPay</t>
  </si>
  <si>
    <t>Admin</t>
  </si>
  <si>
    <t>Non Pay</t>
  </si>
  <si>
    <t>Basic Entitlement</t>
  </si>
  <si>
    <t>Inflation</t>
  </si>
  <si>
    <t>Data</t>
  </si>
  <si>
    <t>FT Salary</t>
  </si>
  <si>
    <t>NON-PAY COSTS</t>
  </si>
  <si>
    <t>Description</t>
  </si>
  <si>
    <t>Business Manager</t>
  </si>
  <si>
    <t>Adminis-trator</t>
  </si>
  <si>
    <t>Recep-tionist</t>
  </si>
  <si>
    <t>Total</t>
  </si>
  <si>
    <t>Ratio</t>
  </si>
  <si>
    <t>Standard-ised Amount</t>
  </si>
  <si>
    <t>Equipment</t>
  </si>
  <si>
    <t>Travel</t>
  </si>
  <si>
    <t>Head-teacher</t>
  </si>
  <si>
    <t>Training</t>
  </si>
  <si>
    <t>Maternity / Sick scheme</t>
  </si>
  <si>
    <t>Community Groups</t>
  </si>
  <si>
    <t>Utilities</t>
  </si>
  <si>
    <t>SLAs</t>
  </si>
  <si>
    <t>Sub Total</t>
  </si>
  <si>
    <t>Pitch</t>
  </si>
  <si>
    <t>External</t>
  </si>
  <si>
    <t>Insurance</t>
  </si>
  <si>
    <t>A</t>
  </si>
  <si>
    <t>Stand alone - childcare</t>
  </si>
  <si>
    <t>B</t>
  </si>
  <si>
    <t>Primary School - childcare</t>
  </si>
  <si>
    <t>C1</t>
  </si>
  <si>
    <t>Nursery School</t>
  </si>
  <si>
    <t>C2</t>
  </si>
  <si>
    <t>D</t>
  </si>
  <si>
    <t>Primary School - no childcare</t>
  </si>
  <si>
    <t>D1</t>
  </si>
  <si>
    <t>Primary School - no childcare - renting</t>
  </si>
  <si>
    <t>F</t>
  </si>
  <si>
    <t>Stand alone - no childcare - renting</t>
  </si>
  <si>
    <t>Funding</t>
  </si>
  <si>
    <t>V18</t>
  </si>
  <si>
    <t>Difference</t>
  </si>
  <si>
    <t>Stand alone - no childcare</t>
  </si>
  <si>
    <t>Contribution to Basic Entitlement</t>
  </si>
  <si>
    <t>Rate</t>
  </si>
  <si>
    <t>Mat/Sick</t>
  </si>
  <si>
    <t>ComGrps</t>
  </si>
  <si>
    <t>Internal</t>
  </si>
  <si>
    <t>2009/10 Rate</t>
  </si>
  <si>
    <t>TOTAL</t>
  </si>
  <si>
    <t>Please choose a centre</t>
  </si>
  <si>
    <t>Characteristics</t>
  </si>
  <si>
    <t>Deprivation</t>
  </si>
  <si>
    <t>Staffing model</t>
  </si>
  <si>
    <t>Receptionist(s)</t>
  </si>
  <si>
    <t>Teacher with QTS</t>
  </si>
  <si>
    <t>Outreach worker(s)</t>
  </si>
  <si>
    <t>Family support worker (s)</t>
  </si>
  <si>
    <t>Administrator(s)</t>
  </si>
  <si>
    <t>Domestic support</t>
  </si>
  <si>
    <t>Catering staff</t>
  </si>
  <si>
    <t>Occupancy costs</t>
  </si>
  <si>
    <t>Grade</t>
  </si>
  <si>
    <t>Salary</t>
  </si>
  <si>
    <t>Oncost</t>
  </si>
  <si>
    <t>2009/10</t>
  </si>
  <si>
    <t>Diff %</t>
  </si>
  <si>
    <t>Calculation of Standard Staff Costs</t>
  </si>
  <si>
    <t>17th March 2010</t>
  </si>
  <si>
    <t>2010/11</t>
  </si>
  <si>
    <t>Maternity &amp; Sickness</t>
  </si>
  <si>
    <t>Service Level Agreements</t>
  </si>
  <si>
    <t>Cleaning and Repairs</t>
  </si>
  <si>
    <t>Staff Travel</t>
  </si>
  <si>
    <t>Weighting</t>
  </si>
  <si>
    <t>TOTAL FUNDING FOR 2010/11</t>
  </si>
  <si>
    <t>CHILDREN'S CENTRE FUNDING STATEMENT</t>
  </si>
  <si>
    <t>APRIL 2010 - MARCH 2011</t>
  </si>
  <si>
    <t>Issued:</t>
  </si>
  <si>
    <t>Printed:</t>
  </si>
  <si>
    <t>M6 +1TLR*</t>
  </si>
  <si>
    <t>M6</t>
  </si>
  <si>
    <t>Apr-Aug</t>
  </si>
  <si>
    <t>Sep-Mar</t>
  </si>
  <si>
    <t>Composite</t>
  </si>
  <si>
    <t>TLR1 min</t>
  </si>
  <si>
    <t>TLR1 max</t>
  </si>
  <si>
    <t>Funded</t>
  </si>
  <si>
    <t xml:space="preserve">Funded </t>
  </si>
  <si>
    <t>Calculated</t>
  </si>
  <si>
    <t>Outdoor equipment</t>
  </si>
  <si>
    <t>Type Funding</t>
  </si>
  <si>
    <t>OutdoorF</t>
  </si>
  <si>
    <t>IntAreaF</t>
  </si>
  <si>
    <t>STAFF COSTS</t>
  </si>
  <si>
    <t>SEN</t>
  </si>
  <si>
    <t>Absence and training</t>
  </si>
  <si>
    <t>Rate per hour</t>
  </si>
  <si>
    <t>Rate per annum</t>
  </si>
  <si>
    <t>Hours per annum (36 x 45)</t>
  </si>
  <si>
    <t>Core Day</t>
  </si>
  <si>
    <t>Hours</t>
  </si>
  <si>
    <t>Weeks</t>
  </si>
  <si>
    <t>ExtDay</t>
  </si>
  <si>
    <t>ExtWeeks</t>
  </si>
  <si>
    <t>% staffed</t>
  </si>
  <si>
    <t>0-2yo</t>
  </si>
  <si>
    <t>2-3yo</t>
  </si>
  <si>
    <t>3-4yo</t>
  </si>
  <si>
    <t>Extended Day</t>
  </si>
  <si>
    <t>Extended Weeks</t>
  </si>
  <si>
    <t>Core Day (38 weeks, 6.5 hours per day)</t>
  </si>
  <si>
    <t>Extended Day (38 weeks, 3.5 hours per day)</t>
  </si>
  <si>
    <t>Extended Weeks (10 weeks,10 hours per day)</t>
  </si>
  <si>
    <t>Staffing</t>
  </si>
  <si>
    <t>Fees</t>
  </si>
  <si>
    <t>Occupancy</t>
  </si>
  <si>
    <t xml:space="preserve">Childcare </t>
  </si>
  <si>
    <t>FEES</t>
  </si>
  <si>
    <t>Carestaff</t>
  </si>
  <si>
    <t>Carefees</t>
  </si>
  <si>
    <t>GrandTotal</t>
  </si>
  <si>
    <t>Staffing %</t>
  </si>
  <si>
    <t>Click for details</t>
  </si>
  <si>
    <t>Go Back to Main Report</t>
  </si>
  <si>
    <t>All Centres</t>
  </si>
  <si>
    <t>Centre</t>
  </si>
  <si>
    <t>Summary of Children's Centre Funding</t>
  </si>
  <si>
    <t>Back to report</t>
  </si>
  <si>
    <t>Version 20a (Mar 09)</t>
  </si>
  <si>
    <t>CCNo</t>
  </si>
  <si>
    <t>CCName</t>
  </si>
  <si>
    <t>Formula</t>
  </si>
  <si>
    <t>Fee Target</t>
  </si>
  <si>
    <t>LA Funding</t>
  </si>
  <si>
    <t>Estimated NEF</t>
  </si>
  <si>
    <t>6a</t>
  </si>
  <si>
    <t>All centres</t>
  </si>
  <si>
    <t>Children's Centre Data</t>
  </si>
  <si>
    <t>various</t>
  </si>
  <si>
    <t>Hours, weeks, days</t>
  </si>
  <si>
    <t>Staff Ratios</t>
  </si>
  <si>
    <t>Support Workers</t>
  </si>
  <si>
    <t>Infrastructure</t>
  </si>
  <si>
    <t>TOTALS</t>
  </si>
  <si>
    <t>Version 18</t>
  </si>
  <si>
    <t>0-2 yos</t>
  </si>
  <si>
    <t>2-3 yos</t>
  </si>
  <si>
    <t>3-5yos</t>
  </si>
  <si>
    <t>Ext Day Wkr</t>
  </si>
  <si>
    <t>Outreach Wkr</t>
  </si>
  <si>
    <t>Internal Area (Pupil Led)</t>
  </si>
  <si>
    <t>External Area (Pupil Led)</t>
  </si>
  <si>
    <t>NNDR</t>
  </si>
  <si>
    <t>Childcare Staff</t>
  </si>
  <si>
    <t>Outreach Staff</t>
  </si>
  <si>
    <t>Closed in hols</t>
  </si>
  <si>
    <t>OK</t>
  </si>
  <si>
    <t>Old Type</t>
  </si>
  <si>
    <t>X</t>
  </si>
  <si>
    <t>Diff</t>
  </si>
  <si>
    <t>NEF</t>
  </si>
  <si>
    <t>Expected Income from Fees</t>
  </si>
  <si>
    <t>GRAND</t>
  </si>
  <si>
    <t>CORE DAY</t>
  </si>
  <si>
    <t>EXTENDED DAY</t>
  </si>
  <si>
    <t>EXTENDED WEEKS</t>
  </si>
  <si>
    <t>ALL</t>
  </si>
  <si>
    <t>Pupils</t>
  </si>
  <si>
    <t>Open %</t>
  </si>
  <si>
    <t>Income</t>
  </si>
  <si>
    <t>National Rates</t>
  </si>
  <si>
    <t>External Area</t>
  </si>
  <si>
    <t>Fully open, so occupancy/fee income increased</t>
  </si>
  <si>
    <t>Opened later than expected in 2009/10. Fully open, so occupancy/income increased</t>
  </si>
  <si>
    <t>Comments</t>
  </si>
  <si>
    <t>2009/10 revised</t>
  </si>
  <si>
    <t>QTS</t>
  </si>
  <si>
    <t>70% now</t>
  </si>
  <si>
    <t>-</t>
  </si>
  <si>
    <t>New</t>
  </si>
  <si>
    <t>If you have any queries please contact the Schools Funding Team</t>
  </si>
  <si>
    <t>Carol Beckman, 020 8359 7636, carol.beckman@barnet.gov.uk</t>
  </si>
  <si>
    <t>Claire Gray, 020 8359 7377, claire.gray@barnet.gov.uk</t>
  </si>
  <si>
    <t>Indicative staff costs</t>
  </si>
  <si>
    <t>Estimated fee/grant income</t>
  </si>
  <si>
    <t>Click for all centres</t>
  </si>
  <si>
    <t>Others</t>
  </si>
  <si>
    <t>8&amp;9</t>
  </si>
  <si>
    <t>Canada Villa and Church Passage</t>
  </si>
  <si>
    <t>SSBudget</t>
  </si>
  <si>
    <t>Additional required</t>
  </si>
  <si>
    <t>Canada Villa</t>
  </si>
  <si>
    <t>Chipping Barnet Library</t>
  </si>
  <si>
    <t>Months Open</t>
  </si>
  <si>
    <t>Adjusted Total</t>
  </si>
  <si>
    <t>Open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</si>
</sst>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Phase&quot;\ General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0.0%"/>
    <numFmt numFmtId="169" formatCode="_-&quot;£&quot;* #,##0_-;\-&quot;£&quot;* #,##0_-;_-&quot;£&quot;* &quot;-&quot;??_-;_-@_-"/>
    <numFmt numFmtId="170" formatCode="0.000"/>
    <numFmt numFmtId="171" formatCode="0.0000"/>
    <numFmt numFmtId="172" formatCode="0.00000"/>
    <numFmt numFmtId="173" formatCode="&quot;£&quot;#,##0.0;\-&quot;£&quot;#,##0.0"/>
    <numFmt numFmtId="174" formatCode="_-&quot;£&quot;* #,##0.0_-;\-&quot;£&quot;* #,##0.0_-;_-&quot;£&quot;* &quot;-&quot;??_-;_-@_-"/>
    <numFmt numFmtId="175" formatCode="_-* #,##0.0_-;\-* #,##0.0_-;_-* &quot;-&quot;?_-;_-@_-"/>
    <numFmt numFmtId="176" formatCode="_-&quot;£&quot;* #,##0.000_-;\-&quot;£&quot;* #,##0.000_-;_-&quot;£&quot;* &quot;-&quot;??_-;_-@_-"/>
    <numFmt numFmtId="177" formatCode="_-&quot;£&quot;* #,##0.0000_-;\-&quot;£&quot;* #,##0.0000_-;_-&quot;£&quot;* &quot;-&quot;??_-;_-@_-"/>
    <numFmt numFmtId="178" formatCode="#,##0.00_ ;\-#,##0.00\ "/>
    <numFmt numFmtId="179" formatCode="#,##0.0"/>
    <numFmt numFmtId="180" formatCode="0_)"/>
    <numFmt numFmtId="181" formatCode="dd/mm/yy;@"/>
    <numFmt numFmtId="182" formatCode="[$-809]dd\ mmmm\ yyyy"/>
    <numFmt numFmtId="183" formatCode="[$-F800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dd\ mmm\ yyyy"/>
    <numFmt numFmtId="189" formatCode="mmm\ yyyy"/>
    <numFmt numFmtId="190" formatCode="B2dd\-mmm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_-* #,##0.000_-;\-* #,##0.000_-;_-* &quot;-&quot;??_-;_-@_-"/>
    <numFmt numFmtId="197" formatCode="0.0000000"/>
    <numFmt numFmtId="198" formatCode="0.000000"/>
    <numFmt numFmtId="199" formatCode="mmm\-yyyy"/>
    <numFmt numFmtId="200" formatCode="mmm\ yy"/>
    <numFmt numFmtId="201" formatCode="ddd\ dd"/>
    <numFmt numFmtId="202" formatCode="mmmm\ yyyy"/>
    <numFmt numFmtId="203" formatCode="&quot;£&quot;#,##0.00"/>
    <numFmt numFmtId="204" formatCode="&quot;£&quot;#,##0.00;[Red]&quot;£&quot;#,##0.00"/>
    <numFmt numFmtId="205" formatCode="[$-809]dd\ mmmm\ yyyy;@"/>
    <numFmt numFmtId="206" formatCode="#,##0.00;[Red]#,##0.00"/>
    <numFmt numFmtId="207" formatCode="&quot;£&quot;#,##0_);\(&quot;£&quot;#,##0\)"/>
    <numFmt numFmtId="208" formatCode="&quot;£&quot;#,##0_);[Red]\(&quot;£&quot;#,##0\)"/>
    <numFmt numFmtId="209" formatCode="&quot;£&quot;#,##0.00_);\(&quot;£&quot;#,##0.00\)"/>
    <numFmt numFmtId="210" formatCode="&quot;£&quot;#,##0.00_);[Red]\(&quot;£&quot;#,##0.00\)"/>
    <numFmt numFmtId="211" formatCode="m/d/yy"/>
    <numFmt numFmtId="212" formatCode="d\-mmm\-yy"/>
    <numFmt numFmtId="213" formatCode="d\-mmm"/>
    <numFmt numFmtId="214" formatCode="h:mm"/>
    <numFmt numFmtId="215" formatCode="h:mm:ss"/>
    <numFmt numFmtId="216" formatCode="m/d/yy\ h:mm"/>
    <numFmt numFmtId="217" formatCode="#,##0.00;\(#,##0.00\)"/>
    <numFmt numFmtId="218" formatCode="&quot;£&quot;#,##0"/>
    <numFmt numFmtId="219" formatCode="#,##0.00\ [$грн.-422]"/>
    <numFmt numFmtId="220" formatCode="&quot;£&quot;#,##0.0"/>
    <numFmt numFmtId="221" formatCode="&quot;£&quot;#,##0.000"/>
    <numFmt numFmtId="222" formatCode="_-* #,##0.0000_-;\-* #,##0.0000_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>
        <color indexed="22"/>
      </left>
      <right style="thin"/>
      <top style="thick">
        <color indexed="22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>
        <color indexed="41"/>
      </right>
      <top style="thin"/>
      <bottom style="thick">
        <color indexed="41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ck">
        <color indexed="22"/>
      </right>
      <top style="thin"/>
      <bottom>
        <color indexed="63"/>
      </bottom>
    </border>
    <border>
      <left style="thin"/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22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43" fontId="0" fillId="0" borderId="0" xfId="15" applyAlignment="1">
      <alignment/>
    </xf>
    <xf numFmtId="166" fontId="0" fillId="0" borderId="0" xfId="15" applyNumberFormat="1" applyAlignment="1">
      <alignment/>
    </xf>
    <xf numFmtId="0" fontId="0" fillId="0" borderId="0" xfId="0" applyFont="1" applyAlignment="1">
      <alignment/>
    </xf>
    <xf numFmtId="9" fontId="0" fillId="0" borderId="0" xfId="21" applyAlignment="1">
      <alignment/>
    </xf>
    <xf numFmtId="0" fontId="0" fillId="0" borderId="0" xfId="0" applyAlignment="1">
      <alignment horizontal="center"/>
    </xf>
    <xf numFmtId="9" fontId="0" fillId="0" borderId="0" xfId="21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43" fontId="0" fillId="0" borderId="12" xfId="15" applyBorder="1" applyAlignment="1">
      <alignment/>
    </xf>
    <xf numFmtId="166" fontId="0" fillId="0" borderId="12" xfId="15" applyNumberFormat="1" applyBorder="1" applyAlignment="1">
      <alignment/>
    </xf>
    <xf numFmtId="166" fontId="2" fillId="0" borderId="13" xfId="15" applyNumberFormat="1" applyFont="1" applyBorder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2" fillId="0" borderId="11" xfId="0" applyNumberFormat="1" applyFont="1" applyFill="1" applyBorder="1" applyAlignment="1">
      <alignment/>
    </xf>
    <xf numFmtId="43" fontId="2" fillId="0" borderId="11" xfId="15" applyFont="1" applyFill="1" applyBorder="1" applyAlignment="1">
      <alignment/>
    </xf>
    <xf numFmtId="0" fontId="2" fillId="0" borderId="0" xfId="0" applyFont="1" applyAlignment="1">
      <alignment horizontal="center"/>
    </xf>
    <xf numFmtId="166" fontId="2" fillId="0" borderId="12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20" xfId="0" applyFill="1" applyBorder="1" applyAlignment="1">
      <alignment/>
    </xf>
    <xf numFmtId="168" fontId="0" fillId="0" borderId="0" xfId="21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6" fontId="2" fillId="0" borderId="12" xfId="15" applyNumberFormat="1" applyFont="1" applyBorder="1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/>
    </xf>
    <xf numFmtId="166" fontId="2" fillId="0" borderId="21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5" fontId="0" fillId="2" borderId="0" xfId="0" applyNumberFormat="1" applyFill="1" applyBorder="1" applyAlignment="1">
      <alignment horizontal="left"/>
    </xf>
    <xf numFmtId="166" fontId="0" fillId="0" borderId="22" xfId="0" applyNumberFormat="1" applyBorder="1" applyAlignment="1">
      <alignment/>
    </xf>
    <xf numFmtId="0" fontId="2" fillId="2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2" fontId="0" fillId="0" borderId="0" xfId="0" applyNumberFormat="1" applyAlignment="1">
      <alignment/>
    </xf>
    <xf numFmtId="43" fontId="0" fillId="0" borderId="0" xfId="15" applyNumberFormat="1" applyAlignment="1">
      <alignment/>
    </xf>
    <xf numFmtId="166" fontId="2" fillId="0" borderId="22" xfId="0" applyNumberFormat="1" applyFont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/>
    </xf>
    <xf numFmtId="166" fontId="0" fillId="0" borderId="0" xfId="15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0" fillId="4" borderId="23" xfId="20" applyFont="1" applyFill="1" applyBorder="1" applyAlignment="1">
      <alignment horizontal="center"/>
    </xf>
    <xf numFmtId="4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66" fontId="0" fillId="0" borderId="0" xfId="15" applyNumberFormat="1" applyFont="1" applyAlignment="1">
      <alignment horizontal="center"/>
    </xf>
    <xf numFmtId="0" fontId="7" fillId="0" borderId="0" xfId="0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169" fontId="0" fillId="0" borderId="0" xfId="17" applyNumberFormat="1" applyFont="1" applyAlignment="1">
      <alignment/>
    </xf>
    <xf numFmtId="44" fontId="0" fillId="0" borderId="0" xfId="17" applyNumberFormat="1" applyFont="1" applyAlignment="1">
      <alignment/>
    </xf>
    <xf numFmtId="169" fontId="0" fillId="0" borderId="0" xfId="17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6" fillId="6" borderId="22" xfId="0" applyFont="1" applyFill="1" applyBorder="1" applyAlignment="1">
      <alignment horizontal="center" wrapText="1"/>
    </xf>
    <xf numFmtId="0" fontId="6" fillId="7" borderId="22" xfId="0" applyFont="1" applyFill="1" applyBorder="1" applyAlignment="1">
      <alignment horizontal="center" wrapText="1"/>
    </xf>
    <xf numFmtId="0" fontId="6" fillId="8" borderId="2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Alignment="1">
      <alignment horizontal="center"/>
    </xf>
    <xf numFmtId="169" fontId="7" fillId="0" borderId="0" xfId="0" applyNumberFormat="1" applyAlignment="1">
      <alignment/>
    </xf>
    <xf numFmtId="166" fontId="7" fillId="0" borderId="0" xfId="0" applyNumberFormat="1" applyAlignment="1">
      <alignment/>
    </xf>
    <xf numFmtId="169" fontId="7" fillId="0" borderId="0" xfId="17" applyNumberFormat="1" applyAlignment="1">
      <alignment/>
    </xf>
    <xf numFmtId="169" fontId="2" fillId="0" borderId="0" xfId="0" applyNumberFormat="1" applyFont="1" applyAlignment="1">
      <alignment/>
    </xf>
    <xf numFmtId="0" fontId="7" fillId="9" borderId="0" xfId="0" applyFill="1" applyAlignment="1">
      <alignment/>
    </xf>
    <xf numFmtId="169" fontId="0" fillId="9" borderId="0" xfId="17" applyNumberFormat="1" applyFont="1" applyFill="1" applyAlignment="1">
      <alignment/>
    </xf>
    <xf numFmtId="0" fontId="7" fillId="6" borderId="22" xfId="0" applyFill="1" applyBorder="1" applyAlignment="1">
      <alignment/>
    </xf>
    <xf numFmtId="0" fontId="8" fillId="0" borderId="0" xfId="0" applyFont="1" applyAlignment="1">
      <alignment horizontal="center" wrapText="1"/>
    </xf>
    <xf numFmtId="0" fontId="8" fillId="6" borderId="22" xfId="0" applyFont="1" applyFill="1" applyBorder="1" applyAlignment="1">
      <alignment horizontal="center" wrapText="1"/>
    </xf>
    <xf numFmtId="0" fontId="8" fillId="10" borderId="0" xfId="0" applyFont="1" applyFill="1" applyAlignment="1">
      <alignment horizontal="center" wrapText="1"/>
    </xf>
    <xf numFmtId="9" fontId="7" fillId="0" borderId="0" xfId="0" applyNumberFormat="1" applyAlignment="1">
      <alignment/>
    </xf>
    <xf numFmtId="2" fontId="7" fillId="0" borderId="0" xfId="0" applyNumberFormat="1" applyAlignment="1">
      <alignment/>
    </xf>
    <xf numFmtId="0" fontId="7" fillId="0" borderId="0" xfId="0" applyBorder="1" applyAlignment="1">
      <alignment/>
    </xf>
    <xf numFmtId="178" fontId="7" fillId="0" borderId="0" xfId="0" applyNumberFormat="1" applyAlignment="1">
      <alignment/>
    </xf>
    <xf numFmtId="0" fontId="7" fillId="0" borderId="0" xfId="0" applyFill="1" applyBorder="1" applyAlignment="1">
      <alignment/>
    </xf>
    <xf numFmtId="171" fontId="7" fillId="0" borderId="0" xfId="0" applyNumberFormat="1" applyAlignment="1">
      <alignment/>
    </xf>
    <xf numFmtId="0" fontId="7" fillId="0" borderId="0" xfId="0" applyFont="1" applyAlignment="1">
      <alignment/>
    </xf>
    <xf numFmtId="9" fontId="0" fillId="11" borderId="0" xfId="0" applyNumberFormat="1" applyFill="1" applyAlignment="1">
      <alignment/>
    </xf>
    <xf numFmtId="0" fontId="0" fillId="11" borderId="0" xfId="0" applyFill="1" applyAlignment="1">
      <alignment/>
    </xf>
    <xf numFmtId="0" fontId="7" fillId="0" borderId="22" xfId="0" applyBorder="1" applyAlignment="1">
      <alignment/>
    </xf>
    <xf numFmtId="0" fontId="6" fillId="8" borderId="22" xfId="0" applyFont="1" applyFill="1" applyBorder="1" applyAlignment="1">
      <alignment horizontal="center"/>
    </xf>
    <xf numFmtId="5" fontId="7" fillId="0" borderId="0" xfId="0" applyNumberFormat="1" applyAlignment="1">
      <alignment/>
    </xf>
    <xf numFmtId="9" fontId="7" fillId="0" borderId="0" xfId="21" applyAlignment="1">
      <alignment/>
    </xf>
    <xf numFmtId="166" fontId="7" fillId="0" borderId="0" xfId="15" applyNumberFormat="1" applyAlignment="1">
      <alignment/>
    </xf>
    <xf numFmtId="0" fontId="0" fillId="0" borderId="12" xfId="0" applyBorder="1" applyAlignment="1">
      <alignment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6" fontId="0" fillId="4" borderId="0" xfId="0" applyNumberFormat="1" applyFill="1" applyAlignment="1">
      <alignment/>
    </xf>
    <xf numFmtId="0" fontId="2" fillId="4" borderId="0" xfId="0" applyFont="1" applyFill="1" applyAlignment="1">
      <alignment horizontal="center"/>
    </xf>
    <xf numFmtId="166" fontId="0" fillId="4" borderId="0" xfId="15" applyNumberFormat="1" applyFill="1" applyAlignment="1">
      <alignment/>
    </xf>
    <xf numFmtId="166" fontId="2" fillId="4" borderId="12" xfId="0" applyNumberFormat="1" applyFont="1" applyFill="1" applyBorder="1" applyAlignment="1">
      <alignment/>
    </xf>
    <xf numFmtId="166" fontId="2" fillId="4" borderId="12" xfId="15" applyNumberFormat="1" applyFont="1" applyFill="1" applyBorder="1" applyAlignment="1">
      <alignment/>
    </xf>
    <xf numFmtId="166" fontId="2" fillId="4" borderId="21" xfId="0" applyNumberFormat="1" applyFont="1" applyFill="1" applyBorder="1" applyAlignment="1">
      <alignment/>
    </xf>
    <xf numFmtId="166" fontId="2" fillId="4" borderId="22" xfId="0" applyNumberFormat="1" applyFont="1" applyFill="1" applyBorder="1" applyAlignment="1">
      <alignment/>
    </xf>
    <xf numFmtId="166" fontId="0" fillId="4" borderId="22" xfId="0" applyNumberFormat="1" applyFill="1" applyBorder="1" applyAlignment="1">
      <alignment/>
    </xf>
    <xf numFmtId="9" fontId="0" fillId="0" borderId="0" xfId="0" applyNumberFormat="1" applyAlignment="1">
      <alignment horizontal="left"/>
    </xf>
    <xf numFmtId="166" fontId="0" fillId="0" borderId="0" xfId="15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15" applyNumberFormat="1" applyFont="1" applyAlignment="1">
      <alignment horizontal="center"/>
    </xf>
    <xf numFmtId="166" fontId="2" fillId="0" borderId="0" xfId="15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2" fillId="0" borderId="0" xfId="15" applyNumberFormat="1" applyFont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 horizontal="right"/>
    </xf>
    <xf numFmtId="1" fontId="0" fillId="0" borderId="0" xfId="21" applyNumberFormat="1" applyBorder="1" applyAlignment="1">
      <alignment horizontal="center"/>
    </xf>
    <xf numFmtId="9" fontId="0" fillId="0" borderId="0" xfId="21" applyBorder="1" applyAlignment="1">
      <alignment horizontal="center"/>
    </xf>
    <xf numFmtId="0" fontId="0" fillId="0" borderId="18" xfId="15" applyNumberFormat="1" applyBorder="1" applyAlignment="1">
      <alignment horizontal="center"/>
    </xf>
    <xf numFmtId="0" fontId="2" fillId="0" borderId="11" xfId="0" applyFont="1" applyBorder="1" applyAlignment="1">
      <alignment horizontal="right"/>
    </xf>
    <xf numFmtId="9" fontId="0" fillId="0" borderId="11" xfId="21" applyBorder="1" applyAlignment="1">
      <alignment horizontal="center"/>
    </xf>
    <xf numFmtId="0" fontId="0" fillId="0" borderId="20" xfId="15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2" borderId="19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0" xfId="0" applyFill="1" applyBorder="1" applyAlignment="1">
      <alignment/>
    </xf>
    <xf numFmtId="5" fontId="2" fillId="2" borderId="24" xfId="0" applyNumberFormat="1" applyFont="1" applyFill="1" applyBorder="1" applyAlignment="1">
      <alignment horizontal="center"/>
    </xf>
    <xf numFmtId="5" fontId="0" fillId="4" borderId="25" xfId="20" applyNumberFormat="1" applyFont="1" applyFill="1" applyBorder="1" applyAlignment="1">
      <alignment horizontal="center"/>
    </xf>
    <xf numFmtId="0" fontId="0" fillId="4" borderId="25" xfId="20" applyFont="1" applyFill="1" applyBorder="1" applyAlignment="1">
      <alignment horizontal="center"/>
    </xf>
    <xf numFmtId="9" fontId="2" fillId="0" borderId="22" xfId="21" applyFont="1" applyBorder="1" applyAlignment="1">
      <alignment/>
    </xf>
    <xf numFmtId="9" fontId="0" fillId="0" borderId="0" xfId="21" applyFont="1" applyAlignment="1">
      <alignment horizontal="center"/>
    </xf>
    <xf numFmtId="166" fontId="2" fillId="0" borderId="22" xfId="15" applyNumberFormat="1" applyFont="1" applyBorder="1" applyAlignment="1">
      <alignment/>
    </xf>
    <xf numFmtId="9" fontId="0" fillId="0" borderId="26" xfId="0" applyNumberFormat="1" applyFill="1" applyBorder="1" applyAlignment="1">
      <alignment/>
    </xf>
    <xf numFmtId="166" fontId="0" fillId="0" borderId="26" xfId="15" applyNumberFormat="1" applyBorder="1" applyAlignment="1">
      <alignment/>
    </xf>
    <xf numFmtId="9" fontId="0" fillId="0" borderId="26" xfId="21" applyBorder="1" applyAlignment="1">
      <alignment/>
    </xf>
    <xf numFmtId="0" fontId="2" fillId="0" borderId="0" xfId="0" applyFont="1" applyAlignment="1">
      <alignment horizontal="left"/>
    </xf>
    <xf numFmtId="0" fontId="6" fillId="2" borderId="27" xfId="20" applyFont="1" applyFill="1" applyBorder="1" applyAlignment="1">
      <alignment horizontal="center" vertical="center" wrapText="1"/>
    </xf>
    <xf numFmtId="0" fontId="6" fillId="2" borderId="28" xfId="2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166" fontId="0" fillId="0" borderId="26" xfId="0" applyNumberFormat="1" applyBorder="1" applyAlignment="1">
      <alignment/>
    </xf>
    <xf numFmtId="43" fontId="0" fillId="0" borderId="26" xfId="0" applyNumberFormat="1" applyBorder="1" applyAlignment="1">
      <alignment/>
    </xf>
    <xf numFmtId="0" fontId="2" fillId="0" borderId="0" xfId="0" applyFont="1" applyAlignment="1">
      <alignment wrapText="1"/>
    </xf>
    <xf numFmtId="0" fontId="2" fillId="3" borderId="29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>
      <alignment horizontal="center"/>
    </xf>
    <xf numFmtId="5" fontId="2" fillId="2" borderId="29" xfId="0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right"/>
    </xf>
    <xf numFmtId="0" fontId="7" fillId="0" borderId="13" xfId="0" applyBorder="1" applyAlignment="1">
      <alignment horizontal="center"/>
    </xf>
    <xf numFmtId="0" fontId="7" fillId="0" borderId="12" xfId="0" applyBorder="1" applyAlignment="1">
      <alignment horizontal="center"/>
    </xf>
    <xf numFmtId="0" fontId="7" fillId="0" borderId="30" xfId="0" applyBorder="1" applyAlignment="1">
      <alignment horizontal="center"/>
    </xf>
    <xf numFmtId="5" fontId="7" fillId="9" borderId="22" xfId="17" applyNumberFormat="1" applyFill="1" applyBorder="1" applyAlignment="1">
      <alignment horizontal="center"/>
    </xf>
    <xf numFmtId="0" fontId="6" fillId="8" borderId="13" xfId="0" applyFont="1" applyFill="1" applyBorder="1" applyAlignment="1">
      <alignment horizontal="center" wrapText="1"/>
    </xf>
    <xf numFmtId="0" fontId="6" fillId="8" borderId="12" xfId="0" applyFont="1" applyFill="1" applyBorder="1" applyAlignment="1">
      <alignment horizontal="center" wrapText="1"/>
    </xf>
    <xf numFmtId="0" fontId="6" fillId="8" borderId="30" xfId="0" applyFont="1" applyFill="1" applyBorder="1" applyAlignment="1">
      <alignment horizontal="center" wrapText="1"/>
    </xf>
    <xf numFmtId="0" fontId="7" fillId="0" borderId="11" xfId="0" applyBorder="1" applyAlignment="1">
      <alignment horizontal="center"/>
    </xf>
    <xf numFmtId="203" fontId="7" fillId="0" borderId="0" xfId="0" applyNumberFormat="1" applyAlignment="1">
      <alignment horizontal="center"/>
    </xf>
    <xf numFmtId="5" fontId="7" fillId="0" borderId="22" xfId="17" applyNumberFormat="1" applyBorder="1" applyAlignment="1">
      <alignment horizontal="center"/>
    </xf>
    <xf numFmtId="17" fontId="7" fillId="0" borderId="0" xfId="0" applyNumberFormat="1" applyAlignment="1">
      <alignment horizontal="left"/>
    </xf>
    <xf numFmtId="0" fontId="7" fillId="6" borderId="22" xfId="0" applyFill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7" borderId="13" xfId="0" applyFont="1" applyFill="1" applyBorder="1" applyAlignment="1">
      <alignment horizontal="center" wrapText="1"/>
    </xf>
    <xf numFmtId="0" fontId="6" fillId="7" borderId="30" xfId="0" applyFont="1" applyFill="1" applyBorder="1" applyAlignment="1">
      <alignment horizontal="center" wrapText="1"/>
    </xf>
    <xf numFmtId="0" fontId="6" fillId="6" borderId="2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166" fontId="0" fillId="0" borderId="0" xfId="15" applyNumberFormat="1" applyAlignment="1">
      <alignment horizontal="center" vertical="center"/>
    </xf>
    <xf numFmtId="166" fontId="0" fillId="0" borderId="0" xfId="15" applyNumberFormat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2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CCFFFF"/>
        </patternFill>
      </fill>
      <border/>
    </dxf>
    <dxf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rol.beckman\Local%20Settings\Temporary%20Internet%20Files\Content.IE5\8AHI3A0S\CC_Formula_Version_20a@16_March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ERep89"/>
      <sheetName val=".xls].xls].xls].xls].xls].xls].xls].xls].xls]Report"/>
      <sheetName val=".xls].xls].xls].xls].xls].xls].xls].xls].xls]Ebasic89"/>
      <sheetName val=".xls].xls].xls].xls].xls].xls].xls].xls].xls]basic entitlement"/>
      <sheetName val=".xls].xls].xls].xls].xls].xls].xls].xls].xls]oldbasic"/>
      <sheetName val=".xls].xls].xls].xls].xls].xls].xls].xls].xls]Ealloc89"/>
      <sheetName val=".xls].xls].xls].xls].xls].xls].xls].xls].xls]alloc"/>
      <sheetName val=".xls].xls].xls].xls].xls].xls].xls].xls].xls]oldformula"/>
      <sheetName val=".xls].xls].xls].xls].xls].xls].xls].xls].xls]oldincome"/>
      <sheetName val=".xls].xls].xls].xls].xls].xls].xls].xls].xls]Ecinrate89"/>
      <sheetName val=".xls].xls].xls].xls].xls].xls].xls].xls].xls]cin rate"/>
      <sheetName val=".xls].xls].xls].xls].xls].xls].xls].xls].xls]Esummary89"/>
      <sheetName val=".xls].xls].xls].xls].xls].xls].xls].xls].xls]Summary"/>
      <sheetName val=".xls].xls].xls].xls].xls].xls].xls].xls].xls]EBasicrep89"/>
      <sheetName val=".xls].xls].xls].xls].xls].xls].xls].xls].xls]Basic"/>
      <sheetName val=".xls].xls].xls].xls].xls].xls].xls].xls].xls]Ecinnef89"/>
      <sheetName val=".xls].xls].xls].xls].xls].xls].xls].xls].xls]cin&amp;nef"/>
      <sheetName val=".xls].xls].xls].xls].xls].xls].xls].xls].xls]Efeeincome89"/>
      <sheetName val=".xls].xls].xls].xls].xls].xls].xls].xls].xls]fee income"/>
      <sheetName val=".xls].xls].xls].xls].xls].xls].xls].xls].xls]Edata89"/>
      <sheetName val=".xls].xls].xls].xls].xls].xls].xls].xls].xls]data"/>
      <sheetName val=".xls].xls].xls].xls].xls].xls].xls].xls].xls]Estaff89"/>
      <sheetName val=".xls].xls].xls].xls].xls].xls].xls].xls].xls]staff"/>
      <sheetName val=".xls].xls].xls].xls].xls].xls].xls].xls]ERep89"/>
      <sheetName val=".xls].xls].xls].xls].xls].xls].xls].xls]Report"/>
      <sheetName val=".xls].xls].xls].xls].xls].xls].xls].xls]Ebasic89"/>
      <sheetName val=".xls].xls].xls].xls].xls].xls].xls].xls]oldbasic"/>
      <sheetName val=".xls].xls].xls].xls].xls].xls].xls].xls]Ealloc89"/>
      <sheetName val=".xls].xls].xls].xls].xls].xls].xls].xls]alloc"/>
      <sheetName val=".xls].xls].xls].xls].xls].xls].xls].xls]oldformula"/>
      <sheetName val=".xls].xls].xls].xls].xls].xls].xls].xls]oldincome"/>
      <sheetName val=".xls].xls].xls].xls].xls].xls].xls].xls]Ecinrate89"/>
      <sheetName val=".xls].xls].xls].xls].xls].xls].xls].xls]cin rate"/>
      <sheetName val=".xls].xls].xls].xls].xls].xls].xls].xls]Esummary89"/>
      <sheetName val=".xls].xls].xls].xls].xls].xls].xls].xls]Summary"/>
      <sheetName val=".xls].xls].xls].xls].xls].xls].xls].xls]EBasicrep89"/>
      <sheetName val=".xls].xls].xls].xls].xls].xls].xls].xls]Basic"/>
      <sheetName val=".xls].xls].xls].xls].xls].xls].xls].xls]Ecinnef89"/>
      <sheetName val=".xls].xls].xls].xls].xls].xls].xls].xls]cin&amp;nef"/>
      <sheetName val=".xls].xls].xls].xls].xls].xls].xls].xls]Efeeincome89"/>
      <sheetName val=".xls].xls].xls].xls].xls].xls].xls].xls]fee income"/>
      <sheetName val=".xls].xls].xls].xls].xls].xls].xls].xls]Edata89"/>
      <sheetName val=".xls].xls].xls].xls].xls].xls].xls].xls]data"/>
      <sheetName val=".xls].xls].xls].xls].xls].xls].xls].xls]Estaff89"/>
      <sheetName val=".xls].xls].xls].xls].xls].xls].xls].xls]staff"/>
      <sheetName val=".xls].xls].xls].xls].xls].xls].xls].xls].xls].xls]ERep89"/>
      <sheetName val=".xls].xls].xls].xls].xls].xls].xls].xls].xls].xls]Report"/>
      <sheetName val=".xls].xls].xls].xls].xls].xls].xls].xls].xls].xls]Ebasic89"/>
      <sheetName val=".xls].xls].xls].xls].xls].xls].xls].xls].xls].xls]basic entitlement"/>
      <sheetName val=".xls].xls].xls].xls].xls].xls].xls].xls].xls].xls]oldbasic"/>
      <sheetName val=".xls].xls].xls].xls].xls].xls].xls].xls].xls].xls]Ealloc89"/>
      <sheetName val=".xls].xls].xls].xls].xls].xls].xls].xls].xls].xls]alloc"/>
      <sheetName val=".xls].xls].xls].xls].xls].xls].xls].xls].xls].xls]oldformula"/>
      <sheetName val=".xls].xls].xls].xls].xls].xls].xls].xls].xls].xls]oldincome"/>
      <sheetName val=".xls].xls].xls].xls].xls].xls].xls].xls].xls].xls]Ecinrate89"/>
      <sheetName val=".xls].xls].xls].xls].xls].xls].xls].xls].xls].xls]cin rate"/>
      <sheetName val=".xls].xls].xls].xls].xls].xls].xls].xls].xls].xls]Esummary89"/>
      <sheetName val=".xls].xls].xls].xls].xls].xls].xls].xls].xls].xls]Summary"/>
      <sheetName val=".xls].xls].xls].xls].xls].xls].xls].xls].xls].xls]EBasicrep89"/>
      <sheetName val=".xls].xls].xls].xls].xls].xls].xls].xls].xls].xls]Basic"/>
      <sheetName val=".xls].xls].xls].xls].xls].xls].xls].xls].xls].xls]Ecinnef89"/>
      <sheetName val=".xls].xls].xls].xls].xls].xls].xls].xls].xls].xls]cin&amp;nef"/>
      <sheetName val=".xls].xls].xls].xls].xls].xls].xls].xls].xls].xls]Efeeincome89"/>
      <sheetName val=".xls].xls].xls].xls].xls].xls].xls].xls].xls].xls]fee income"/>
      <sheetName val=".xls].xls].xls].xls].xls].xls].xls].xls].xls].xls]Edata89"/>
      <sheetName val=".xls].xls].xls].xls].xls].xls].xls].xls].xls].xls]data"/>
      <sheetName val=".xls].xls].xls].xls].xls].xls].xls].xls].xls].xls]Estaff89"/>
      <sheetName val=".xls].xls].xls].xls].xls].xls].xls].xls].xls].xls]staff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Phase">
      <sharedItems containsBlank="1" containsMixedTypes="0" count="4">
        <s v="Phase2"/>
        <m/>
        <s v="Phase3"/>
        <s v="Phase 3"/>
      </sharedItems>
    </cacheField>
    <cacheField name="SOA">
      <sharedItems containsString="0" containsBlank="1" containsMixedTypes="0" containsNumber="1" count="3">
        <n v="0.3"/>
        <n v="0.7"/>
        <m/>
      </sharedItems>
    </cacheField>
    <cacheField name="Childcare">
      <sharedItems containsBlank="1" containsMixedTypes="0" count="4">
        <s v="Childcare"/>
        <s v="N"/>
        <s v="N "/>
        <m/>
      </sharedItems>
    </cacheField>
    <cacheField name="School">
      <sharedItems containsBlank="1" containsMixedTypes="0" count="3">
        <s v="N"/>
        <s v="School"/>
        <m/>
      </sharedItems>
    </cacheField>
    <cacheField name="Spare1">
      <sharedItems containsString="0" containsBlank="1" count="1">
        <m/>
      </sharedItems>
    </cacheField>
    <cacheField name="Spare2">
      <sharedItems containsString="0" containsBlank="1" count="1">
        <m/>
      </sharedItems>
    </cacheField>
    <cacheField name="Sites">
      <sharedItems containsString="0" containsBlank="1" containsMixedTypes="0" containsNumber="1" containsInteger="1" count="4">
        <n v="1"/>
        <m/>
        <n v="2"/>
        <n v="4"/>
      </sharedItems>
    </cacheField>
    <cacheField name="Code">
      <sharedItems containsBlank="1" containsMixedTypes="0" count="31">
        <s v="P2-30ChSA1"/>
        <s v="P2-30ChSch1"/>
        <s v="P2-30NCSA1"/>
        <s v="P2-30NCSch1"/>
        <s v="P2-70ChSA1"/>
        <s v="P2-70ChSch1"/>
        <s v="P2-70NCSA1"/>
        <s v="P2-70NCSch1"/>
        <m/>
        <s v="P3-70NCSA1"/>
        <s v="P3-70NCSA2"/>
        <s v="P3-70NCSA4"/>
        <s v="P1-30ChSA1"/>
        <s v="P3-30ChSA1"/>
        <s v="P1-30CSA"/>
        <s v="P2-30CSA"/>
        <s v="P3-30CSA"/>
        <s v="P1-70NCSA"/>
        <s v="P2-70NCSA"/>
        <s v="P3-70NCSA"/>
        <s v="P1-30CSch"/>
        <s v="P2-30CSch"/>
        <s v="P3-30CSch"/>
        <s v="P1-70NCSch"/>
        <s v="P2-70NCSch"/>
        <s v="P3-70NCSch"/>
        <s v="P1-30ChSch1"/>
        <s v="P1-70NCSch1"/>
        <s v="P3-30ChSch1"/>
        <s v="P3-70NCSch1"/>
        <s v="P1-70NCSA1"/>
      </sharedItems>
    </cacheField>
    <cacheField name="Type">
      <sharedItems containsBlank="1" containsMixedTypes="0" count="12">
        <s v="2A"/>
        <s v="2B"/>
        <s v="2C"/>
        <s v="2D"/>
        <s v="2E"/>
        <s v="2F"/>
        <s v="2G"/>
        <s v="2H"/>
        <m/>
        <s v="3G"/>
        <s v="3G2"/>
        <s v="3G4"/>
      </sharedItems>
    </cacheField>
    <cacheField name="Manager">
      <sharedItems containsString="0" containsBlank="1" containsMixedTypes="0" containsNumber="1" containsInteger="1" count="2">
        <n v="1"/>
        <m/>
      </sharedItems>
    </cacheField>
    <cacheField name="HT">
      <sharedItems containsString="0" containsBlank="1" containsMixedTypes="0" containsNumber="1" containsInteger="1" count="3">
        <n v="0"/>
        <n v="1"/>
        <m/>
      </sharedItems>
    </cacheField>
    <cacheField name="Teacher">
      <sharedItems containsString="0" containsBlank="1" containsMixedTypes="0" containsNumber="1" count="3">
        <n v="0.5"/>
        <n v="0"/>
        <m/>
      </sharedItems>
    </cacheField>
    <cacheField name="Recept">
      <sharedItems containsString="0" containsBlank="1" containsMixedTypes="0" containsNumber="1" count="4">
        <m/>
        <n v="0.6"/>
        <n v="1.2"/>
        <n v="2.4"/>
      </sharedItems>
    </cacheField>
    <cacheField name="Outreach">
      <sharedItems containsString="0" containsBlank="1" containsMixedTypes="0" containsNumber="1" containsInteger="1" count="4">
        <m/>
        <n v="1"/>
        <n v="2"/>
        <n v="4"/>
      </sharedItems>
    </cacheField>
    <cacheField name="FS">
      <sharedItems containsString="0" containsBlank="1" containsMixedTypes="0" containsNumber="1" containsInteger="1" count="4">
        <m/>
        <n v="1"/>
        <n v="2"/>
        <n v="4"/>
      </sharedItems>
    </cacheField>
    <cacheField name="Caretaker">
      <sharedItems containsString="0" containsBlank="1" containsMixedTypes="0" containsNumber="1" containsInteger="1" count="2">
        <m/>
        <n v="0"/>
      </sharedItems>
    </cacheField>
    <cacheField name="BusMgr">
      <sharedItems containsString="0" containsBlank="1" containsMixedTypes="0" containsNumber="1" containsInteger="1" count="2">
        <m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0:M53" firstHeaderRow="1" firstDataRow="2" firstDataCol="1"/>
  <pivotFields count="17">
    <pivotField compact="0" outline="0" subtotalTop="0" showAll="0"/>
    <pivotField compact="0" outline="0" subtotalTop="0" showAll="0" numFmtId="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2">
        <item m="1" x="14"/>
        <item m="1" x="20"/>
        <item m="1" x="17"/>
        <item m="1" x="23"/>
        <item m="1" x="15"/>
        <item m="1" x="21"/>
        <item m="1" x="18"/>
        <item m="1" x="24"/>
        <item m="1" x="16"/>
        <item m="1" x="22"/>
        <item m="1" x="19"/>
        <item m="1" x="25"/>
        <item m="1" x="26"/>
        <item m="1" x="30"/>
        <item m="1" x="12"/>
        <item m="1" x="27"/>
        <item h="1" x="8"/>
        <item x="1"/>
        <item x="6"/>
        <item x="0"/>
        <item x="7"/>
        <item m="1" x="28"/>
        <item x="9"/>
        <item m="1" x="13"/>
        <item m="1" x="29"/>
        <item x="11"/>
        <item x="4"/>
        <item x="5"/>
        <item x="3"/>
        <item x="2"/>
        <item x="10"/>
        <item t="default"/>
      </items>
    </pivotField>
    <pivotField axis="axisCol" dataField="1" compact="0" outline="0" subtotalTop="0" showAll="0">
      <items count="13">
        <item x="0"/>
        <item x="1"/>
        <item x="2"/>
        <item x="3"/>
        <item x="4"/>
        <item x="5"/>
        <item x="6"/>
        <item x="7"/>
        <item x="9"/>
        <item x="10"/>
        <item x="11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12">
    <i>
      <x v="17"/>
    </i>
    <i>
      <x v="18"/>
    </i>
    <i>
      <x v="19"/>
    </i>
    <i>
      <x v="20"/>
    </i>
    <i>
      <x v="22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8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Count of Type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4">
      <pane xSplit="2" ySplit="3" topLeftCell="C7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9.140625" defaultRowHeight="12.75"/>
  <cols>
    <col min="1" max="1" width="11.421875" style="96" customWidth="1"/>
    <col min="2" max="2" width="25.00390625" style="96" bestFit="1" customWidth="1"/>
    <col min="3" max="3" width="9.57421875" style="96" bestFit="1" customWidth="1"/>
    <col min="4" max="5" width="10.8515625" style="96" bestFit="1" customWidth="1"/>
    <col min="6" max="13" width="11.421875" style="96" customWidth="1"/>
    <col min="14" max="14" width="12.7109375" style="96" customWidth="1"/>
    <col min="15" max="15" width="12.7109375" style="96" bestFit="1" customWidth="1"/>
    <col min="16" max="18" width="11.421875" style="96" customWidth="1"/>
    <col min="19" max="19" width="15.421875" style="96" bestFit="1" customWidth="1"/>
    <col min="20" max="16384" width="11.421875" style="96" customWidth="1"/>
  </cols>
  <sheetData>
    <row r="1" ht="15.75">
      <c r="A1" s="89" t="s">
        <v>248</v>
      </c>
    </row>
    <row r="4" spans="3:19" ht="15">
      <c r="C4" s="197">
        <v>175</v>
      </c>
      <c r="D4" s="197"/>
      <c r="E4" s="197"/>
      <c r="F4" s="197">
        <v>75</v>
      </c>
      <c r="G4" s="197"/>
      <c r="H4" s="197"/>
      <c r="I4" s="197">
        <v>220</v>
      </c>
      <c r="J4" s="197"/>
      <c r="K4" s="197"/>
      <c r="L4" s="203"/>
      <c r="M4" s="203"/>
      <c r="N4" s="203"/>
      <c r="O4" s="130" t="s">
        <v>249</v>
      </c>
      <c r="Q4" s="202">
        <f>8.97*5*38</f>
        <v>1704.3</v>
      </c>
      <c r="R4" s="202"/>
      <c r="S4" s="202"/>
    </row>
    <row r="5" spans="3:19" ht="15">
      <c r="C5" s="194" t="s">
        <v>250</v>
      </c>
      <c r="D5" s="195"/>
      <c r="E5" s="196"/>
      <c r="F5" s="194" t="s">
        <v>251</v>
      </c>
      <c r="G5" s="195"/>
      <c r="H5" s="196"/>
      <c r="I5" s="194" t="s">
        <v>252</v>
      </c>
      <c r="J5" s="195"/>
      <c r="K5" s="196"/>
      <c r="L5" s="194" t="s">
        <v>135</v>
      </c>
      <c r="M5" s="195"/>
      <c r="N5" s="196"/>
      <c r="O5" s="130" t="s">
        <v>135</v>
      </c>
      <c r="Q5" s="201" t="s">
        <v>247</v>
      </c>
      <c r="R5" s="201"/>
      <c r="S5" s="201"/>
    </row>
    <row r="6" spans="1:19" ht="15">
      <c r="A6" s="86" t="s">
        <v>216</v>
      </c>
      <c r="B6" s="86" t="s">
        <v>217</v>
      </c>
      <c r="C6" s="105" t="s">
        <v>232</v>
      </c>
      <c r="D6" s="105" t="s">
        <v>233</v>
      </c>
      <c r="E6" s="105" t="s">
        <v>234</v>
      </c>
      <c r="F6" s="106" t="s">
        <v>232</v>
      </c>
      <c r="G6" s="106" t="s">
        <v>233</v>
      </c>
      <c r="H6" s="106" t="s">
        <v>234</v>
      </c>
      <c r="I6" s="107" t="s">
        <v>232</v>
      </c>
      <c r="J6" s="107" t="s">
        <v>233</v>
      </c>
      <c r="K6" s="107" t="s">
        <v>234</v>
      </c>
      <c r="L6" s="108" t="s">
        <v>232</v>
      </c>
      <c r="M6" s="108" t="s">
        <v>233</v>
      </c>
      <c r="N6" s="108" t="s">
        <v>234</v>
      </c>
      <c r="O6" s="131" t="s">
        <v>253</v>
      </c>
      <c r="Q6" s="198" t="s">
        <v>234</v>
      </c>
      <c r="R6" s="199"/>
      <c r="S6" s="200"/>
    </row>
    <row r="7" spans="1:19" ht="15">
      <c r="A7" s="91"/>
      <c r="B7" s="91"/>
      <c r="Q7" s="96" t="s">
        <v>254</v>
      </c>
      <c r="R7" s="96" t="s">
        <v>255</v>
      </c>
      <c r="S7" s="96" t="s">
        <v>256</v>
      </c>
    </row>
    <row r="8" spans="1:2" ht="15">
      <c r="A8" s="92">
        <v>0</v>
      </c>
      <c r="B8" s="93" t="s">
        <v>136</v>
      </c>
    </row>
    <row r="9" spans="1:19" ht="15">
      <c r="A9" s="92">
        <v>1</v>
      </c>
      <c r="B9" s="93" t="s">
        <v>27</v>
      </c>
      <c r="C9" s="132">
        <v>53865</v>
      </c>
      <c r="D9" s="132">
        <v>119700</v>
      </c>
      <c r="E9" s="132">
        <v>119700</v>
      </c>
      <c r="F9" s="132">
        <v>5130</v>
      </c>
      <c r="G9" s="132">
        <v>11400</v>
      </c>
      <c r="H9" s="132">
        <v>11400</v>
      </c>
      <c r="I9" s="132">
        <v>5940</v>
      </c>
      <c r="J9" s="132">
        <v>13200</v>
      </c>
      <c r="K9" s="132">
        <v>13200</v>
      </c>
      <c r="L9" s="132">
        <f aca="true" t="shared" si="0" ref="L9:L21">C9+F9+I9</f>
        <v>64935</v>
      </c>
      <c r="M9" s="132">
        <f aca="true" t="shared" si="1" ref="M9:M21">D9+G9+J9</f>
        <v>144300</v>
      </c>
      <c r="N9" s="132">
        <f aca="true" t="shared" si="2" ref="N9:N21">E9+H9+K9</f>
        <v>144300</v>
      </c>
      <c r="O9" s="132">
        <f aca="true" t="shared" si="3" ref="O9:O21">SUM(L9:N9)</f>
        <v>353535</v>
      </c>
      <c r="Q9" s="96">
        <v>21.5</v>
      </c>
      <c r="R9" s="133">
        <v>1</v>
      </c>
      <c r="S9" s="134">
        <f aca="true" t="shared" si="4" ref="S9:S21">Q9*$Q$4</f>
        <v>36642.45</v>
      </c>
    </row>
    <row r="10" spans="1:19" ht="15">
      <c r="A10" s="92">
        <v>2</v>
      </c>
      <c r="B10" s="93" t="s">
        <v>25</v>
      </c>
      <c r="C10" s="132">
        <v>0</v>
      </c>
      <c r="D10" s="132">
        <v>95760</v>
      </c>
      <c r="E10" s="132">
        <v>95760</v>
      </c>
      <c r="F10" s="132">
        <v>0</v>
      </c>
      <c r="G10" s="132">
        <v>9120</v>
      </c>
      <c r="H10" s="132">
        <v>9120</v>
      </c>
      <c r="I10" s="132">
        <v>0</v>
      </c>
      <c r="J10" s="132">
        <v>10560</v>
      </c>
      <c r="K10" s="132">
        <v>10560</v>
      </c>
      <c r="L10" s="132">
        <f t="shared" si="0"/>
        <v>0</v>
      </c>
      <c r="M10" s="132">
        <f t="shared" si="1"/>
        <v>115440</v>
      </c>
      <c r="N10" s="132">
        <f t="shared" si="2"/>
        <v>115440</v>
      </c>
      <c r="O10" s="132">
        <f t="shared" si="3"/>
        <v>230880</v>
      </c>
      <c r="Q10" s="96">
        <v>39.5</v>
      </c>
      <c r="R10" s="133">
        <v>1</v>
      </c>
      <c r="S10" s="134">
        <f t="shared" si="4"/>
        <v>67319.84999999999</v>
      </c>
    </row>
    <row r="11" spans="1:19" ht="15">
      <c r="A11" s="92">
        <v>3</v>
      </c>
      <c r="B11" s="93" t="s">
        <v>39</v>
      </c>
      <c r="C11" s="132">
        <v>0</v>
      </c>
      <c r="D11" s="132">
        <v>45885</v>
      </c>
      <c r="E11" s="132">
        <v>53532.5</v>
      </c>
      <c r="F11" s="132">
        <v>0</v>
      </c>
      <c r="G11" s="132">
        <v>4370</v>
      </c>
      <c r="H11" s="132">
        <v>5098.333333333333</v>
      </c>
      <c r="I11" s="132">
        <v>0</v>
      </c>
      <c r="J11" s="132">
        <v>4693.333333333332</v>
      </c>
      <c r="K11" s="132">
        <v>5475.555555555556</v>
      </c>
      <c r="L11" s="132">
        <f t="shared" si="0"/>
        <v>0</v>
      </c>
      <c r="M11" s="132">
        <f t="shared" si="1"/>
        <v>54948.33333333333</v>
      </c>
      <c r="N11" s="132">
        <f t="shared" si="2"/>
        <v>64106.38888888889</v>
      </c>
      <c r="O11" s="132">
        <f t="shared" si="3"/>
        <v>119054.72222222222</v>
      </c>
      <c r="Q11" s="96">
        <v>7</v>
      </c>
      <c r="R11" s="133">
        <f>7/12</f>
        <v>0.5833333333333334</v>
      </c>
      <c r="S11" s="134">
        <f t="shared" si="4"/>
        <v>11930.1</v>
      </c>
    </row>
    <row r="12" spans="1:19" ht="15">
      <c r="A12" s="92">
        <v>4</v>
      </c>
      <c r="B12" s="93" t="s">
        <v>73</v>
      </c>
      <c r="C12" s="132">
        <v>0</v>
      </c>
      <c r="D12" s="132">
        <v>0</v>
      </c>
      <c r="E12" s="132">
        <v>119700</v>
      </c>
      <c r="F12" s="132">
        <v>0</v>
      </c>
      <c r="G12" s="132">
        <v>0</v>
      </c>
      <c r="H12" s="132">
        <v>11400</v>
      </c>
      <c r="I12" s="132">
        <v>0</v>
      </c>
      <c r="J12" s="132">
        <v>0</v>
      </c>
      <c r="K12" s="132">
        <v>0</v>
      </c>
      <c r="L12" s="132">
        <f t="shared" si="0"/>
        <v>0</v>
      </c>
      <c r="M12" s="132">
        <f t="shared" si="1"/>
        <v>0</v>
      </c>
      <c r="N12" s="132">
        <f t="shared" si="2"/>
        <v>131100</v>
      </c>
      <c r="O12" s="132">
        <f t="shared" si="3"/>
        <v>131100</v>
      </c>
      <c r="Q12" s="96">
        <v>0</v>
      </c>
      <c r="R12" s="133">
        <v>1</v>
      </c>
      <c r="S12" s="134">
        <f t="shared" si="4"/>
        <v>0</v>
      </c>
    </row>
    <row r="13" spans="1:19" ht="15">
      <c r="A13" s="92">
        <v>7</v>
      </c>
      <c r="B13" s="93" t="s">
        <v>38</v>
      </c>
      <c r="C13" s="132">
        <v>0</v>
      </c>
      <c r="D13" s="132">
        <v>0</v>
      </c>
      <c r="E13" s="132">
        <v>47880</v>
      </c>
      <c r="F13" s="132">
        <v>0</v>
      </c>
      <c r="G13" s="132">
        <v>0</v>
      </c>
      <c r="H13" s="132">
        <v>4560</v>
      </c>
      <c r="I13" s="132">
        <v>0</v>
      </c>
      <c r="J13" s="132">
        <v>0</v>
      </c>
      <c r="K13" s="132">
        <v>5280</v>
      </c>
      <c r="L13" s="132">
        <f t="shared" si="0"/>
        <v>0</v>
      </c>
      <c r="M13" s="132">
        <f t="shared" si="1"/>
        <v>0</v>
      </c>
      <c r="N13" s="132">
        <f t="shared" si="2"/>
        <v>57720</v>
      </c>
      <c r="O13" s="132">
        <f t="shared" si="3"/>
        <v>57720</v>
      </c>
      <c r="Q13" s="96">
        <v>0</v>
      </c>
      <c r="R13" s="133">
        <v>1</v>
      </c>
      <c r="S13" s="134">
        <f t="shared" si="4"/>
        <v>0</v>
      </c>
    </row>
    <row r="14" spans="1:19" ht="15">
      <c r="A14" s="92">
        <v>8</v>
      </c>
      <c r="B14" s="93" t="s">
        <v>26</v>
      </c>
      <c r="C14" s="132">
        <v>0</v>
      </c>
      <c r="D14" s="132">
        <v>77805</v>
      </c>
      <c r="E14" s="132">
        <v>77805</v>
      </c>
      <c r="F14" s="132">
        <v>0</v>
      </c>
      <c r="G14" s="132">
        <v>7410</v>
      </c>
      <c r="H14" s="132">
        <v>7410</v>
      </c>
      <c r="I14" s="132">
        <v>0</v>
      </c>
      <c r="J14" s="132">
        <v>8580</v>
      </c>
      <c r="K14" s="132">
        <v>8580</v>
      </c>
      <c r="L14" s="132">
        <f t="shared" si="0"/>
        <v>0</v>
      </c>
      <c r="M14" s="132">
        <f t="shared" si="1"/>
        <v>93795</v>
      </c>
      <c r="N14" s="132">
        <f t="shared" si="2"/>
        <v>93795</v>
      </c>
      <c r="O14" s="132">
        <f t="shared" si="3"/>
        <v>187590</v>
      </c>
      <c r="Q14" s="96">
        <v>20</v>
      </c>
      <c r="R14" s="133">
        <v>1</v>
      </c>
      <c r="S14" s="134">
        <f t="shared" si="4"/>
        <v>34086</v>
      </c>
    </row>
    <row r="15" spans="1:19" ht="15">
      <c r="A15" s="92">
        <v>9</v>
      </c>
      <c r="B15" s="94" t="s">
        <v>28</v>
      </c>
      <c r="C15" s="132">
        <v>0</v>
      </c>
      <c r="D15" s="132">
        <v>95760</v>
      </c>
      <c r="E15" s="132">
        <v>95760</v>
      </c>
      <c r="F15" s="132">
        <v>0</v>
      </c>
      <c r="G15" s="132">
        <v>9120</v>
      </c>
      <c r="H15" s="132">
        <v>9120</v>
      </c>
      <c r="I15" s="132">
        <v>0</v>
      </c>
      <c r="J15" s="132">
        <v>10560</v>
      </c>
      <c r="K15" s="132">
        <v>10560</v>
      </c>
      <c r="L15" s="132">
        <f t="shared" si="0"/>
        <v>0</v>
      </c>
      <c r="M15" s="132">
        <f t="shared" si="1"/>
        <v>115440</v>
      </c>
      <c r="N15" s="132">
        <f t="shared" si="2"/>
        <v>115440</v>
      </c>
      <c r="O15" s="132">
        <f t="shared" si="3"/>
        <v>230880</v>
      </c>
      <c r="Q15" s="96">
        <v>9</v>
      </c>
      <c r="R15" s="133">
        <v>1</v>
      </c>
      <c r="S15" s="134">
        <f t="shared" si="4"/>
        <v>15338.699999999999</v>
      </c>
    </row>
    <row r="16" spans="1:19" ht="15">
      <c r="A16" s="92">
        <v>10</v>
      </c>
      <c r="B16" s="94" t="s">
        <v>36</v>
      </c>
      <c r="C16" s="132">
        <v>0</v>
      </c>
      <c r="D16" s="132">
        <v>0</v>
      </c>
      <c r="E16" s="132">
        <v>71820</v>
      </c>
      <c r="F16" s="132">
        <v>0</v>
      </c>
      <c r="G16" s="132">
        <v>0</v>
      </c>
      <c r="H16" s="132">
        <v>6840</v>
      </c>
      <c r="I16" s="132">
        <v>0</v>
      </c>
      <c r="J16" s="132">
        <v>0</v>
      </c>
      <c r="K16" s="132">
        <v>0</v>
      </c>
      <c r="L16" s="132">
        <f t="shared" si="0"/>
        <v>0</v>
      </c>
      <c r="M16" s="132">
        <f t="shared" si="1"/>
        <v>0</v>
      </c>
      <c r="N16" s="132">
        <f t="shared" si="2"/>
        <v>78660</v>
      </c>
      <c r="O16" s="132">
        <f t="shared" si="3"/>
        <v>78660</v>
      </c>
      <c r="Q16" s="96">
        <v>11</v>
      </c>
      <c r="R16" s="133">
        <v>1</v>
      </c>
      <c r="S16" s="134">
        <f t="shared" si="4"/>
        <v>18747.3</v>
      </c>
    </row>
    <row r="17" spans="1:19" ht="15">
      <c r="A17" s="92">
        <v>12</v>
      </c>
      <c r="B17" s="94" t="s">
        <v>32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f t="shared" si="0"/>
        <v>0</v>
      </c>
      <c r="M17" s="132">
        <f t="shared" si="1"/>
        <v>0</v>
      </c>
      <c r="N17" s="132">
        <f t="shared" si="2"/>
        <v>0</v>
      </c>
      <c r="O17" s="132">
        <f t="shared" si="3"/>
        <v>0</v>
      </c>
      <c r="Q17" s="96">
        <v>0</v>
      </c>
      <c r="R17" s="133">
        <v>1</v>
      </c>
      <c r="S17" s="134">
        <f t="shared" si="4"/>
        <v>0</v>
      </c>
    </row>
    <row r="18" spans="1:19" ht="15">
      <c r="A18" s="92">
        <v>14</v>
      </c>
      <c r="B18" s="93" t="s">
        <v>30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f t="shared" si="0"/>
        <v>0</v>
      </c>
      <c r="M18" s="132">
        <f t="shared" si="1"/>
        <v>0</v>
      </c>
      <c r="N18" s="132">
        <f t="shared" si="2"/>
        <v>0</v>
      </c>
      <c r="O18" s="132">
        <f t="shared" si="3"/>
        <v>0</v>
      </c>
      <c r="Q18" s="96">
        <v>0</v>
      </c>
      <c r="R18" s="133">
        <v>1</v>
      </c>
      <c r="S18" s="134">
        <f t="shared" si="4"/>
        <v>0</v>
      </c>
    </row>
    <row r="19" spans="1:19" ht="15">
      <c r="A19" s="92">
        <v>16</v>
      </c>
      <c r="B19" s="93" t="s">
        <v>33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f t="shared" si="0"/>
        <v>0</v>
      </c>
      <c r="M19" s="132">
        <f t="shared" si="1"/>
        <v>0</v>
      </c>
      <c r="N19" s="132">
        <f t="shared" si="2"/>
        <v>0</v>
      </c>
      <c r="O19" s="132">
        <f t="shared" si="3"/>
        <v>0</v>
      </c>
      <c r="Q19" s="96">
        <v>0</v>
      </c>
      <c r="R19" s="133">
        <v>1</v>
      </c>
      <c r="S19" s="134">
        <f t="shared" si="4"/>
        <v>0</v>
      </c>
    </row>
    <row r="20" spans="1:19" ht="15">
      <c r="A20" s="92">
        <v>17</v>
      </c>
      <c r="B20" s="93" t="s">
        <v>31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f t="shared" si="0"/>
        <v>0</v>
      </c>
      <c r="M20" s="132">
        <f t="shared" si="1"/>
        <v>0</v>
      </c>
      <c r="N20" s="132">
        <f t="shared" si="2"/>
        <v>0</v>
      </c>
      <c r="O20" s="132">
        <f t="shared" si="3"/>
        <v>0</v>
      </c>
      <c r="Q20" s="96">
        <v>0</v>
      </c>
      <c r="R20" s="133">
        <v>1</v>
      </c>
      <c r="S20" s="134">
        <f t="shared" si="4"/>
        <v>0</v>
      </c>
    </row>
    <row r="21" spans="1:19" ht="15">
      <c r="A21" s="92" t="s">
        <v>222</v>
      </c>
      <c r="B21" s="93" t="s">
        <v>29</v>
      </c>
      <c r="C21" s="132">
        <v>0</v>
      </c>
      <c r="D21" s="132">
        <v>127680</v>
      </c>
      <c r="E21" s="132">
        <v>138320</v>
      </c>
      <c r="F21" s="132">
        <v>0</v>
      </c>
      <c r="G21" s="132">
        <v>12160</v>
      </c>
      <c r="H21" s="132">
        <v>13173.333333333332</v>
      </c>
      <c r="I21" s="132">
        <v>0</v>
      </c>
      <c r="J21" s="132">
        <v>14080</v>
      </c>
      <c r="K21" s="132">
        <v>15253.333333333332</v>
      </c>
      <c r="L21" s="132">
        <f t="shared" si="0"/>
        <v>0</v>
      </c>
      <c r="M21" s="132">
        <f t="shared" si="1"/>
        <v>153920</v>
      </c>
      <c r="N21" s="132">
        <f t="shared" si="2"/>
        <v>166746.6666666667</v>
      </c>
      <c r="O21" s="132">
        <f t="shared" si="3"/>
        <v>320666.6666666667</v>
      </c>
      <c r="Q21" s="96">
        <v>15.5</v>
      </c>
      <c r="R21" s="133">
        <v>1</v>
      </c>
      <c r="S21" s="134">
        <f t="shared" si="4"/>
        <v>26416.649999999998</v>
      </c>
    </row>
    <row r="23" spans="2:19" ht="15">
      <c r="B23" s="96" t="s">
        <v>223</v>
      </c>
      <c r="C23" s="132">
        <f aca="true" t="shared" si="5" ref="C23:O23">SUM(C9:C21)</f>
        <v>53865</v>
      </c>
      <c r="D23" s="132">
        <f t="shared" si="5"/>
        <v>562590</v>
      </c>
      <c r="E23" s="132">
        <f t="shared" si="5"/>
        <v>820277.5</v>
      </c>
      <c r="F23" s="132">
        <f t="shared" si="5"/>
        <v>5130</v>
      </c>
      <c r="G23" s="132">
        <f t="shared" si="5"/>
        <v>53580</v>
      </c>
      <c r="H23" s="132">
        <f t="shared" si="5"/>
        <v>78121.66666666666</v>
      </c>
      <c r="I23" s="132">
        <f t="shared" si="5"/>
        <v>5940</v>
      </c>
      <c r="J23" s="132">
        <f t="shared" si="5"/>
        <v>61673.33333333333</v>
      </c>
      <c r="K23" s="132">
        <f t="shared" si="5"/>
        <v>68908.88888888889</v>
      </c>
      <c r="L23" s="132">
        <f t="shared" si="5"/>
        <v>64935</v>
      </c>
      <c r="M23" s="132">
        <f t="shared" si="5"/>
        <v>677843.3333333333</v>
      </c>
      <c r="N23" s="132">
        <f t="shared" si="5"/>
        <v>967308.0555555555</v>
      </c>
      <c r="O23" s="132">
        <f t="shared" si="5"/>
        <v>1710086.388888889</v>
      </c>
      <c r="Q23" s="132"/>
      <c r="R23" s="132"/>
      <c r="S23" s="132">
        <f>SUM(S9:S21)</f>
        <v>210481.05</v>
      </c>
    </row>
    <row r="25" ht="15">
      <c r="B25" s="127" t="s">
        <v>34</v>
      </c>
    </row>
    <row r="26" ht="15">
      <c r="B26" s="127" t="s">
        <v>37</v>
      </c>
    </row>
    <row r="27" ht="15">
      <c r="B27" s="127" t="s">
        <v>48</v>
      </c>
    </row>
    <row r="28" ht="15">
      <c r="B28" s="127" t="s">
        <v>35</v>
      </c>
    </row>
  </sheetData>
  <mergeCells count="11">
    <mergeCell ref="Q6:S6"/>
    <mergeCell ref="Q5:S5"/>
    <mergeCell ref="Q4:S4"/>
    <mergeCell ref="L4:N4"/>
    <mergeCell ref="L5:N5"/>
    <mergeCell ref="C5:E5"/>
    <mergeCell ref="F5:H5"/>
    <mergeCell ref="I5:K5"/>
    <mergeCell ref="C4:E4"/>
    <mergeCell ref="F4:H4"/>
    <mergeCell ref="I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pane xSplit="2" ySplit="8" topLeftCell="C9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9.140625" defaultRowHeight="12.75"/>
  <cols>
    <col min="1" max="1" width="21.140625" style="0" customWidth="1"/>
    <col min="6" max="6" width="10.28125" style="0" bestFit="1" customWidth="1"/>
    <col min="7" max="7" width="10.7109375" style="0" customWidth="1"/>
    <col min="8" max="8" width="11.7109375" style="0" customWidth="1"/>
    <col min="9" max="9" width="10.28125" style="0" bestFit="1" customWidth="1"/>
    <col min="10" max="10" width="11.140625" style="0" customWidth="1"/>
    <col min="11" max="11" width="10.28125" style="0" bestFit="1" customWidth="1"/>
    <col min="13" max="13" width="10.140625" style="0" customWidth="1"/>
    <col min="14" max="14" width="10.7109375" style="0" customWidth="1"/>
  </cols>
  <sheetData>
    <row r="1" spans="1:14" ht="12.75">
      <c r="A1" s="2" t="s">
        <v>14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</row>
    <row r="2" spans="1:7" ht="12.75">
      <c r="A2" s="215">
        <f ca="1">NOW()</f>
        <v>40331.46284918982</v>
      </c>
      <c r="B2" s="215"/>
      <c r="F2" t="s">
        <v>130</v>
      </c>
      <c r="G2" s="71">
        <f>'Staff Rates'!B39</f>
        <v>24.042740740740744</v>
      </c>
    </row>
    <row r="3" spans="6:14" ht="12.75">
      <c r="F3" s="216" t="s">
        <v>180</v>
      </c>
      <c r="G3" s="216"/>
      <c r="H3" s="216"/>
      <c r="I3" s="216"/>
      <c r="J3" s="216" t="s">
        <v>204</v>
      </c>
      <c r="K3" s="216"/>
      <c r="L3" s="216"/>
      <c r="M3" s="216"/>
      <c r="N3" s="216"/>
    </row>
    <row r="4" spans="10:13" ht="12.75">
      <c r="J4" s="2" t="s">
        <v>130</v>
      </c>
      <c r="K4">
        <v>175</v>
      </c>
      <c r="L4">
        <v>75</v>
      </c>
      <c r="M4">
        <v>220</v>
      </c>
    </row>
    <row r="5" spans="5:13" ht="12.75">
      <c r="E5" s="2" t="s">
        <v>191</v>
      </c>
      <c r="F5" s="128">
        <v>1</v>
      </c>
      <c r="G5" s="128">
        <v>0.2</v>
      </c>
      <c r="H5" s="128">
        <v>0.3</v>
      </c>
      <c r="J5" s="2" t="s">
        <v>202</v>
      </c>
      <c r="K5" s="1">
        <v>0.9</v>
      </c>
      <c r="L5" s="1">
        <v>0.2</v>
      </c>
      <c r="M5" s="1">
        <v>0.3</v>
      </c>
    </row>
    <row r="6" spans="5:13" ht="12.75">
      <c r="E6" s="2" t="s">
        <v>187</v>
      </c>
      <c r="F6">
        <v>6.5</v>
      </c>
      <c r="G6">
        <v>3.5</v>
      </c>
      <c r="H6">
        <v>10</v>
      </c>
      <c r="J6" s="2" t="s">
        <v>187</v>
      </c>
      <c r="K6">
        <v>6.5</v>
      </c>
      <c r="L6">
        <v>3.5</v>
      </c>
      <c r="M6">
        <v>10</v>
      </c>
    </row>
    <row r="7" spans="5:13" ht="12.75">
      <c r="E7" s="2" t="s">
        <v>188</v>
      </c>
      <c r="F7">
        <v>38</v>
      </c>
      <c r="G7">
        <v>38</v>
      </c>
      <c r="H7">
        <v>10</v>
      </c>
      <c r="J7" s="2" t="s">
        <v>188</v>
      </c>
      <c r="K7">
        <v>38</v>
      </c>
      <c r="L7">
        <v>38</v>
      </c>
      <c r="M7">
        <v>10</v>
      </c>
    </row>
    <row r="8" spans="3:14" ht="12.75">
      <c r="C8" s="2" t="s">
        <v>192</v>
      </c>
      <c r="D8" s="2" t="s">
        <v>193</v>
      </c>
      <c r="E8" s="2" t="s">
        <v>194</v>
      </c>
      <c r="F8" s="2" t="s">
        <v>186</v>
      </c>
      <c r="G8" s="2" t="s">
        <v>189</v>
      </c>
      <c r="H8" s="2" t="s">
        <v>190</v>
      </c>
      <c r="I8" s="39" t="s">
        <v>97</v>
      </c>
      <c r="K8" s="2" t="s">
        <v>186</v>
      </c>
      <c r="L8" s="2" t="s">
        <v>189</v>
      </c>
      <c r="M8" s="2" t="s">
        <v>190</v>
      </c>
      <c r="N8" s="39" t="s">
        <v>97</v>
      </c>
    </row>
    <row r="9" spans="1:14" ht="12.75">
      <c r="A9" t="s">
        <v>26</v>
      </c>
      <c r="B9" t="s">
        <v>3</v>
      </c>
      <c r="C9" s="129">
        <f>VLOOKUP($A9,Data!$C:$O,9,0)</f>
        <v>0</v>
      </c>
      <c r="D9" s="129">
        <f>VLOOKUP($A9,Data!$C:$O,10,0)</f>
        <v>13</v>
      </c>
      <c r="E9" s="129">
        <f>VLOOKUP($A9,Data!$C:$O,11,0)</f>
        <v>13</v>
      </c>
      <c r="F9" s="35">
        <f>(ROUNDUP(F$5*$C9,0)/3)*$G$2*F$6*F$7*5+(ROUNDUP(F$5*$D9,0)/4)*$G$2*F$6*F$7*5+(ROUNDUP(F$5*$E9,0)/8)*$G$2*F$6*F$7*5</f>
        <v>144752.32597222226</v>
      </c>
      <c r="G9" s="35">
        <f>(ROUNDUP(G$5*$C9,0)/3)*$G$2*G$6*G$7*5+(ROUNDUP(G$5*$D9,0)/4)*$G$2*G$6*G$7*5+(ROUNDUP(G$5*$E9,0)/8)*$G$2*G$6*G$7*5</f>
        <v>17986.975416666668</v>
      </c>
      <c r="H9" s="35">
        <f>(ROUNDUP(H$5*$C9,0)/3)*$G$2*H$6*H$7*5+(ROUNDUP(H$5*$D9,0)/4)*$G$2*H$6*H$7*5+(ROUNDUP(H$5*$E9,0)/8)*$G$2*H$6*H$7*5</f>
        <v>18032.055555555555</v>
      </c>
      <c r="I9" s="35">
        <f>F9+G9+H9</f>
        <v>180771.35694444447</v>
      </c>
      <c r="K9" s="25">
        <f aca="true" t="shared" si="0" ref="K9:K26">$C9*K$4*K$7*K$5+$D9*K$4*K$7*K$5+$E9*K$4*K$7*K$5</f>
        <v>155610</v>
      </c>
      <c r="L9" s="25">
        <f aca="true" t="shared" si="1" ref="L9:M25">$C9*L$4*L$7*L$5+$D9*L$4*L$7*L$5+$E9*L$4*L$7*L$5</f>
        <v>14820</v>
      </c>
      <c r="M9" s="25">
        <f t="shared" si="1"/>
        <v>17160</v>
      </c>
      <c r="N9" s="35">
        <f>K9+L9+M9</f>
        <v>187590</v>
      </c>
    </row>
    <row r="10" spans="1:14" ht="12.75">
      <c r="A10" t="s">
        <v>25</v>
      </c>
      <c r="B10" t="s">
        <v>3</v>
      </c>
      <c r="C10">
        <f>VLOOKUP($A10,Data!$C:$O,9,0)</f>
        <v>0</v>
      </c>
      <c r="D10">
        <f>VLOOKUP($A10,Data!$C:$O,10,0)</f>
        <v>16</v>
      </c>
      <c r="E10">
        <f>VLOOKUP($A10,Data!$C:$O,11,0)</f>
        <v>16</v>
      </c>
      <c r="F10" s="35">
        <f aca="true" t="shared" si="2" ref="F10:F15">(ROUNDUP(F$5*$C10,0)/3)*$G$2*F$6*F$7*5+(ROUNDUP(F$5*$D10,0)/4)*$G$2*F$6*F$7*5+(ROUNDUP(F$5*$E10,0)/8)*$G$2*F$6*F$7*5</f>
        <v>178156.7088888889</v>
      </c>
      <c r="G10" s="35">
        <f aca="true" t="shared" si="3" ref="G10:G15">(ROUNDUP(G$5*$C10,0)/3)*$G$2*G$6*G$7*5+(ROUNDUP(G$5*$D10,0)/4)*$G$2*G$6*G$7*5+(ROUNDUP(G$5*$E10,0)/8)*$G$2*G$6*G$7*5</f>
        <v>23982.633888888893</v>
      </c>
      <c r="H10" s="35">
        <f aca="true" t="shared" si="4" ref="H10:H15">(ROUNDUP(H$5*$C10,0)/3)*$G$2*H$6*H$7*5+(ROUNDUP(H$5*$D10,0)/4)*$G$2*H$6*H$7*5+(ROUNDUP(H$5*$E10,0)/8)*$G$2*H$6*H$7*5</f>
        <v>22540.069444444445</v>
      </c>
      <c r="I10" s="35">
        <f aca="true" t="shared" si="5" ref="I10:I26">F10+G10+H10</f>
        <v>224679.41222222225</v>
      </c>
      <c r="K10" s="25">
        <f t="shared" si="0"/>
        <v>191520</v>
      </c>
      <c r="L10" s="25">
        <f t="shared" si="1"/>
        <v>18240</v>
      </c>
      <c r="M10" s="25">
        <f t="shared" si="1"/>
        <v>21120</v>
      </c>
      <c r="N10" s="35">
        <f aca="true" t="shared" si="6" ref="N10:N24">K10+L10+M10</f>
        <v>230880</v>
      </c>
    </row>
    <row r="11" spans="1:14" ht="12.75">
      <c r="A11" t="s">
        <v>38</v>
      </c>
      <c r="B11" t="s">
        <v>3</v>
      </c>
      <c r="C11">
        <f>VLOOKUP($A11,Data!$C:$O,9,0)</f>
        <v>0</v>
      </c>
      <c r="D11">
        <f>VLOOKUP($A11,Data!$C:$O,10,0)</f>
        <v>0</v>
      </c>
      <c r="E11">
        <f>VLOOKUP($A11,Data!$C:$O,11,0)</f>
        <v>8</v>
      </c>
      <c r="F11" s="35">
        <f t="shared" si="2"/>
        <v>29692.78481481482</v>
      </c>
      <c r="G11" s="35">
        <f t="shared" si="3"/>
        <v>3997.1056481481487</v>
      </c>
      <c r="H11" s="35">
        <f t="shared" si="4"/>
        <v>4508.01388888889</v>
      </c>
      <c r="I11" s="35">
        <f t="shared" si="5"/>
        <v>38197.90435185186</v>
      </c>
      <c r="K11" s="25">
        <f t="shared" si="0"/>
        <v>47880</v>
      </c>
      <c r="L11" s="25">
        <f t="shared" si="1"/>
        <v>4560</v>
      </c>
      <c r="M11" s="25">
        <f t="shared" si="1"/>
        <v>5280</v>
      </c>
      <c r="N11" s="35">
        <f t="shared" si="6"/>
        <v>57720</v>
      </c>
    </row>
    <row r="12" spans="1:14" ht="12.75">
      <c r="A12" t="s">
        <v>27</v>
      </c>
      <c r="B12" t="s">
        <v>3</v>
      </c>
      <c r="C12">
        <f>VLOOKUP($A12,Data!$C:$O,9,0)</f>
        <v>9</v>
      </c>
      <c r="D12">
        <f>VLOOKUP($A12,Data!$C:$O,10,0)</f>
        <v>20</v>
      </c>
      <c r="E12">
        <f>VLOOKUP($A12,Data!$C:$O,11,0)</f>
        <v>20</v>
      </c>
      <c r="F12" s="35">
        <f t="shared" si="2"/>
        <v>311774.24055555556</v>
      </c>
      <c r="G12" s="35">
        <f t="shared" si="3"/>
        <v>34641.58228395062</v>
      </c>
      <c r="H12" s="35">
        <f t="shared" si="4"/>
        <v>39069.45370370371</v>
      </c>
      <c r="I12" s="35">
        <f t="shared" si="5"/>
        <v>385485.2765432099</v>
      </c>
      <c r="K12" s="25">
        <f t="shared" si="0"/>
        <v>293265</v>
      </c>
      <c r="L12" s="25">
        <f t="shared" si="1"/>
        <v>27930</v>
      </c>
      <c r="M12" s="25">
        <f t="shared" si="1"/>
        <v>32340</v>
      </c>
      <c r="N12" s="35">
        <f t="shared" si="6"/>
        <v>353535</v>
      </c>
    </row>
    <row r="13" spans="1:14" ht="12.75">
      <c r="A13" t="s">
        <v>39</v>
      </c>
      <c r="B13" t="s">
        <v>3</v>
      </c>
      <c r="C13">
        <f>VLOOKUP($A13,Data!$C:$O,9,0)</f>
        <v>0</v>
      </c>
      <c r="D13">
        <f>VLOOKUP($A13,Data!$C:$O,10,0)</f>
        <v>12</v>
      </c>
      <c r="E13">
        <f>VLOOKUP($A13,Data!$C:$O,11,0)</f>
        <v>14</v>
      </c>
      <c r="F13" s="35">
        <f t="shared" si="2"/>
        <v>141040.72787037038</v>
      </c>
      <c r="G13" s="35">
        <f t="shared" si="3"/>
        <v>17986.975416666668</v>
      </c>
      <c r="H13" s="35">
        <f t="shared" si="4"/>
        <v>19534.726851851854</v>
      </c>
      <c r="I13" s="35">
        <f t="shared" si="5"/>
        <v>178562.43013888889</v>
      </c>
      <c r="K13" s="25">
        <f t="shared" si="0"/>
        <v>155610</v>
      </c>
      <c r="L13" s="25">
        <f t="shared" si="1"/>
        <v>14820</v>
      </c>
      <c r="M13" s="25">
        <f t="shared" si="1"/>
        <v>17160</v>
      </c>
      <c r="N13" s="35">
        <f t="shared" si="6"/>
        <v>187590</v>
      </c>
    </row>
    <row r="14" spans="1:14" ht="12.75">
      <c r="A14" t="s">
        <v>29</v>
      </c>
      <c r="B14" t="s">
        <v>3</v>
      </c>
      <c r="C14">
        <f>VLOOKUP($A14,Data!$C:$O,9,0)</f>
        <v>0</v>
      </c>
      <c r="D14">
        <f>VLOOKUP($A14,Data!$C:$O,10,0)</f>
        <v>24</v>
      </c>
      <c r="E14">
        <f>VLOOKUP($A14,Data!$C:$O,11,0)</f>
        <v>26</v>
      </c>
      <c r="F14" s="35">
        <f t="shared" si="2"/>
        <v>274658.2595370371</v>
      </c>
      <c r="G14" s="35">
        <f t="shared" si="3"/>
        <v>31976.84518518519</v>
      </c>
      <c r="H14" s="35">
        <f t="shared" si="4"/>
        <v>36064.11111111111</v>
      </c>
      <c r="I14" s="35">
        <f t="shared" si="5"/>
        <v>342699.21583333344</v>
      </c>
      <c r="K14" s="25">
        <f>$C14*K$4*K$7*K$5+$D14*K$4*K$7*K$5+$E14*K$4*K$7*K$5</f>
        <v>299250</v>
      </c>
      <c r="L14" s="25">
        <f t="shared" si="1"/>
        <v>28500</v>
      </c>
      <c r="M14" s="25">
        <f>$C14*M$4*M$7*M$5+$D14*M$4*M$7*M$5+$E14*M$4*M$7*M$5</f>
        <v>33000</v>
      </c>
      <c r="N14" s="35">
        <f t="shared" si="6"/>
        <v>360750</v>
      </c>
    </row>
    <row r="15" spans="1:14" ht="12.75">
      <c r="A15" t="s">
        <v>28</v>
      </c>
      <c r="B15" t="s">
        <v>3</v>
      </c>
      <c r="C15">
        <f>VLOOKUP($A15,Data!$C:$O,9,0)</f>
        <v>0</v>
      </c>
      <c r="D15">
        <f>VLOOKUP($A15,Data!$C:$O,10,0)</f>
        <v>16</v>
      </c>
      <c r="E15">
        <f>VLOOKUP($A15,Data!$C:$O,11,0)</f>
        <v>16</v>
      </c>
      <c r="F15" s="35">
        <f t="shared" si="2"/>
        <v>178156.7088888889</v>
      </c>
      <c r="G15" s="35">
        <f t="shared" si="3"/>
        <v>23982.633888888893</v>
      </c>
      <c r="H15" s="35">
        <f t="shared" si="4"/>
        <v>22540.069444444445</v>
      </c>
      <c r="I15" s="35">
        <f t="shared" si="5"/>
        <v>224679.41222222225</v>
      </c>
      <c r="K15" s="25">
        <f t="shared" si="0"/>
        <v>191520</v>
      </c>
      <c r="L15" s="25">
        <f t="shared" si="1"/>
        <v>18240</v>
      </c>
      <c r="M15" s="25">
        <f t="shared" si="1"/>
        <v>21120</v>
      </c>
      <c r="N15" s="35">
        <f t="shared" si="6"/>
        <v>230880</v>
      </c>
    </row>
    <row r="16" spans="1:14" ht="12.75">
      <c r="A16" t="s">
        <v>30</v>
      </c>
      <c r="B16" t="s">
        <v>55</v>
      </c>
      <c r="C16">
        <f>VLOOKUP($A16,Data!$C:$O,9,0)</f>
        <v>0</v>
      </c>
      <c r="D16">
        <f>VLOOKUP($A16,Data!$C:$O,10,0)</f>
        <v>0</v>
      </c>
      <c r="E16">
        <f>VLOOKUP($A16,Data!$C:$O,11,0)</f>
        <v>0</v>
      </c>
      <c r="F16" s="35">
        <f aca="true" t="shared" si="7" ref="F16:H26">(ROUND(F$5*$C16,0)/3)*$G$2*F$6*F$7*5+(ROUND(F$5*$D16,0)/4)*$G$2*F$6*F$7*5+(ROUND(F$5*$E16,0)/8)*$G$2*F$6*F$7*5</f>
        <v>0</v>
      </c>
      <c r="G16" s="35">
        <f t="shared" si="7"/>
        <v>0</v>
      </c>
      <c r="H16" s="35">
        <f t="shared" si="7"/>
        <v>0</v>
      </c>
      <c r="I16" s="35">
        <f t="shared" si="5"/>
        <v>0</v>
      </c>
      <c r="K16" s="25">
        <f t="shared" si="0"/>
        <v>0</v>
      </c>
      <c r="L16" s="25">
        <f t="shared" si="1"/>
        <v>0</v>
      </c>
      <c r="M16" s="25">
        <f t="shared" si="1"/>
        <v>0</v>
      </c>
      <c r="N16" s="35">
        <f t="shared" si="6"/>
        <v>0</v>
      </c>
    </row>
    <row r="17" spans="1:14" ht="12.75">
      <c r="A17" t="s">
        <v>31</v>
      </c>
      <c r="B17" t="s">
        <v>55</v>
      </c>
      <c r="C17">
        <f>VLOOKUP($A17,Data!$C:$O,9,0)</f>
        <v>0</v>
      </c>
      <c r="D17">
        <f>VLOOKUP($A17,Data!$C:$O,10,0)</f>
        <v>0</v>
      </c>
      <c r="E17">
        <f>VLOOKUP($A17,Data!$C:$O,11,0)</f>
        <v>0</v>
      </c>
      <c r="F17" s="35">
        <f t="shared" si="7"/>
        <v>0</v>
      </c>
      <c r="G17" s="35">
        <f t="shared" si="7"/>
        <v>0</v>
      </c>
      <c r="H17" s="35">
        <f t="shared" si="7"/>
        <v>0</v>
      </c>
      <c r="I17" s="35">
        <f t="shared" si="5"/>
        <v>0</v>
      </c>
      <c r="K17" s="25">
        <f t="shared" si="0"/>
        <v>0</v>
      </c>
      <c r="L17" s="25">
        <f t="shared" si="1"/>
        <v>0</v>
      </c>
      <c r="M17" s="25">
        <f t="shared" si="1"/>
        <v>0</v>
      </c>
      <c r="N17" s="35">
        <f t="shared" si="6"/>
        <v>0</v>
      </c>
    </row>
    <row r="18" spans="1:14" ht="12.75">
      <c r="A18" t="s">
        <v>34</v>
      </c>
      <c r="B18" t="s">
        <v>55</v>
      </c>
      <c r="C18">
        <f>VLOOKUP($A18,Data!$C:$O,9,0)</f>
        <v>0</v>
      </c>
      <c r="D18">
        <f>VLOOKUP($A18,Data!$C:$O,10,0)</f>
        <v>0</v>
      </c>
      <c r="E18">
        <f>VLOOKUP($A18,Data!$C:$O,11,0)</f>
        <v>0</v>
      </c>
      <c r="F18" s="35">
        <f t="shared" si="7"/>
        <v>0</v>
      </c>
      <c r="G18" s="35">
        <f t="shared" si="7"/>
        <v>0</v>
      </c>
      <c r="H18" s="35">
        <f t="shared" si="7"/>
        <v>0</v>
      </c>
      <c r="I18" s="35">
        <f t="shared" si="5"/>
        <v>0</v>
      </c>
      <c r="K18" s="25">
        <f t="shared" si="0"/>
        <v>0</v>
      </c>
      <c r="L18" s="25">
        <f t="shared" si="1"/>
        <v>0</v>
      </c>
      <c r="M18" s="25">
        <f t="shared" si="1"/>
        <v>0</v>
      </c>
      <c r="N18" s="35">
        <f t="shared" si="6"/>
        <v>0</v>
      </c>
    </row>
    <row r="19" spans="1:14" ht="12.75">
      <c r="A19" t="s">
        <v>33</v>
      </c>
      <c r="B19" t="s">
        <v>55</v>
      </c>
      <c r="C19">
        <f>VLOOKUP($A19,Data!$C:$O,9,0)</f>
        <v>0</v>
      </c>
      <c r="D19">
        <f>VLOOKUP($A19,Data!$C:$O,10,0)</f>
        <v>0</v>
      </c>
      <c r="E19">
        <f>VLOOKUP($A19,Data!$C:$O,11,0)</f>
        <v>0</v>
      </c>
      <c r="F19" s="35">
        <f t="shared" si="7"/>
        <v>0</v>
      </c>
      <c r="G19" s="35">
        <f t="shared" si="7"/>
        <v>0</v>
      </c>
      <c r="H19" s="35">
        <f t="shared" si="7"/>
        <v>0</v>
      </c>
      <c r="I19" s="35">
        <f t="shared" si="5"/>
        <v>0</v>
      </c>
      <c r="K19" s="25">
        <f t="shared" si="0"/>
        <v>0</v>
      </c>
      <c r="L19" s="25">
        <f t="shared" si="1"/>
        <v>0</v>
      </c>
      <c r="M19" s="25">
        <f t="shared" si="1"/>
        <v>0</v>
      </c>
      <c r="N19" s="35">
        <f t="shared" si="6"/>
        <v>0</v>
      </c>
    </row>
    <row r="20" spans="1:14" ht="12.75">
      <c r="A20" t="s">
        <v>32</v>
      </c>
      <c r="B20" t="s">
        <v>55</v>
      </c>
      <c r="C20">
        <f>VLOOKUP($A20,Data!$C:$O,9,0)</f>
        <v>0</v>
      </c>
      <c r="D20">
        <f>VLOOKUP($A20,Data!$C:$O,10,0)</f>
        <v>0</v>
      </c>
      <c r="E20">
        <f>VLOOKUP($A20,Data!$C:$O,11,0)</f>
        <v>0</v>
      </c>
      <c r="F20" s="35">
        <f t="shared" si="7"/>
        <v>0</v>
      </c>
      <c r="G20" s="35">
        <f t="shared" si="7"/>
        <v>0</v>
      </c>
      <c r="H20" s="35">
        <f t="shared" si="7"/>
        <v>0</v>
      </c>
      <c r="I20" s="35">
        <f t="shared" si="5"/>
        <v>0</v>
      </c>
      <c r="K20" s="25">
        <f t="shared" si="0"/>
        <v>0</v>
      </c>
      <c r="L20" s="25">
        <f t="shared" si="1"/>
        <v>0</v>
      </c>
      <c r="M20" s="25">
        <f t="shared" si="1"/>
        <v>0</v>
      </c>
      <c r="N20" s="35">
        <f t="shared" si="6"/>
        <v>0</v>
      </c>
    </row>
    <row r="21" spans="1:14" ht="12.75">
      <c r="A21" t="s">
        <v>36</v>
      </c>
      <c r="B21" t="s">
        <v>55</v>
      </c>
      <c r="C21">
        <f>VLOOKUP($A21,Data!$C:$O,9,0)</f>
        <v>0</v>
      </c>
      <c r="D21">
        <f>VLOOKUP($A21,Data!$C:$O,10,0)</f>
        <v>0</v>
      </c>
      <c r="E21">
        <f>VLOOKUP($A21,Data!$C:$O,11,0)</f>
        <v>0</v>
      </c>
      <c r="F21" s="35">
        <f t="shared" si="7"/>
        <v>0</v>
      </c>
      <c r="G21" s="35">
        <f t="shared" si="7"/>
        <v>0</v>
      </c>
      <c r="H21" s="35">
        <f t="shared" si="7"/>
        <v>0</v>
      </c>
      <c r="I21" s="35">
        <f t="shared" si="5"/>
        <v>0</v>
      </c>
      <c r="K21" s="25">
        <f t="shared" si="0"/>
        <v>0</v>
      </c>
      <c r="L21" s="25">
        <f t="shared" si="1"/>
        <v>0</v>
      </c>
      <c r="M21" s="25">
        <f t="shared" si="1"/>
        <v>0</v>
      </c>
      <c r="N21" s="35">
        <f t="shared" si="6"/>
        <v>0</v>
      </c>
    </row>
    <row r="22" spans="1:14" ht="12.75">
      <c r="A22" s="26" t="s">
        <v>73</v>
      </c>
      <c r="B22" t="s">
        <v>55</v>
      </c>
      <c r="C22">
        <f>VLOOKUP($A22,Data!$C:$O,9,0)</f>
        <v>0</v>
      </c>
      <c r="D22">
        <f>VLOOKUP($A22,Data!$C:$O,10,0)</f>
        <v>0</v>
      </c>
      <c r="E22">
        <f>VLOOKUP($A22,Data!$C:$O,11,0)</f>
        <v>0</v>
      </c>
      <c r="F22" s="35">
        <f t="shared" si="7"/>
        <v>0</v>
      </c>
      <c r="G22" s="35">
        <f t="shared" si="7"/>
        <v>0</v>
      </c>
      <c r="H22" s="35">
        <f t="shared" si="7"/>
        <v>0</v>
      </c>
      <c r="I22" s="35">
        <f t="shared" si="5"/>
        <v>0</v>
      </c>
      <c r="K22" s="25">
        <f t="shared" si="0"/>
        <v>0</v>
      </c>
      <c r="L22" s="25">
        <f t="shared" si="1"/>
        <v>0</v>
      </c>
      <c r="M22" s="25">
        <f t="shared" si="1"/>
        <v>0</v>
      </c>
      <c r="N22" s="35">
        <f t="shared" si="6"/>
        <v>0</v>
      </c>
    </row>
    <row r="23" spans="1:14" ht="12.75">
      <c r="A23" t="s">
        <v>35</v>
      </c>
      <c r="B23" t="s">
        <v>55</v>
      </c>
      <c r="C23">
        <f>VLOOKUP($A23,Data!$C:$O,9,0)</f>
        <v>0</v>
      </c>
      <c r="D23">
        <f>VLOOKUP($A23,Data!$C:$O,10,0)</f>
        <v>0</v>
      </c>
      <c r="E23">
        <f>VLOOKUP($A23,Data!$C:$O,11,0)</f>
        <v>0</v>
      </c>
      <c r="F23" s="35">
        <f t="shared" si="7"/>
        <v>0</v>
      </c>
      <c r="G23" s="35">
        <f t="shared" si="7"/>
        <v>0</v>
      </c>
      <c r="H23" s="35">
        <f t="shared" si="7"/>
        <v>0</v>
      </c>
      <c r="I23" s="35">
        <f t="shared" si="5"/>
        <v>0</v>
      </c>
      <c r="K23" s="25">
        <f t="shared" si="0"/>
        <v>0</v>
      </c>
      <c r="L23" s="25">
        <f t="shared" si="1"/>
        <v>0</v>
      </c>
      <c r="M23" s="25">
        <f t="shared" si="1"/>
        <v>0</v>
      </c>
      <c r="N23" s="35">
        <f t="shared" si="6"/>
        <v>0</v>
      </c>
    </row>
    <row r="24" spans="1:14" ht="12.75">
      <c r="A24" t="s">
        <v>278</v>
      </c>
      <c r="B24" t="s">
        <v>55</v>
      </c>
      <c r="C24">
        <f>VLOOKUP($A24,Data!$C:$O,9,0)</f>
        <v>0</v>
      </c>
      <c r="D24">
        <f>VLOOKUP($A24,Data!$C:$O,10,0)</f>
        <v>0</v>
      </c>
      <c r="E24">
        <f>VLOOKUP($A24,Data!$C:$O,11,0)</f>
        <v>0</v>
      </c>
      <c r="F24" s="35">
        <f t="shared" si="7"/>
        <v>0</v>
      </c>
      <c r="G24" s="35">
        <f t="shared" si="7"/>
        <v>0</v>
      </c>
      <c r="H24" s="35">
        <f t="shared" si="7"/>
        <v>0</v>
      </c>
      <c r="I24" s="35">
        <f t="shared" si="5"/>
        <v>0</v>
      </c>
      <c r="K24" s="25">
        <f t="shared" si="0"/>
        <v>0</v>
      </c>
      <c r="L24" s="25">
        <f t="shared" si="1"/>
        <v>0</v>
      </c>
      <c r="M24" s="25">
        <f t="shared" si="1"/>
        <v>0</v>
      </c>
      <c r="N24" s="35">
        <f t="shared" si="6"/>
        <v>0</v>
      </c>
    </row>
    <row r="25" spans="1:14" ht="12.75">
      <c r="A25" t="s">
        <v>279</v>
      </c>
      <c r="B25" t="s">
        <v>55</v>
      </c>
      <c r="C25">
        <v>0</v>
      </c>
      <c r="D25">
        <v>0</v>
      </c>
      <c r="E25">
        <v>0</v>
      </c>
      <c r="F25" s="35">
        <f t="shared" si="7"/>
        <v>0</v>
      </c>
      <c r="G25" s="35">
        <f t="shared" si="7"/>
        <v>0</v>
      </c>
      <c r="H25" s="35">
        <f t="shared" si="7"/>
        <v>0</v>
      </c>
      <c r="I25" s="35">
        <f>F25+G25+H25</f>
        <v>0</v>
      </c>
      <c r="K25" s="25">
        <f t="shared" si="0"/>
        <v>0</v>
      </c>
      <c r="L25" s="25">
        <f t="shared" si="1"/>
        <v>0</v>
      </c>
      <c r="M25" s="25">
        <f t="shared" si="1"/>
        <v>0</v>
      </c>
      <c r="N25" s="35">
        <f>K25+L25+M25</f>
        <v>0</v>
      </c>
    </row>
    <row r="26" spans="1:14" ht="12.75">
      <c r="A26" t="s">
        <v>37</v>
      </c>
      <c r="B26" t="s">
        <v>55</v>
      </c>
      <c r="C26">
        <f>VLOOKUP($A26,Data!$C:$O,9,0)</f>
        <v>0</v>
      </c>
      <c r="D26">
        <f>VLOOKUP($A26,Data!$C:$O,10,0)</f>
        <v>0</v>
      </c>
      <c r="E26">
        <f>VLOOKUP($A26,Data!$C:$O,11,0)</f>
        <v>0</v>
      </c>
      <c r="F26" s="35">
        <f t="shared" si="7"/>
        <v>0</v>
      </c>
      <c r="G26" s="35">
        <f t="shared" si="7"/>
        <v>0</v>
      </c>
      <c r="H26" s="35">
        <f t="shared" si="7"/>
        <v>0</v>
      </c>
      <c r="I26" s="35">
        <f t="shared" si="5"/>
        <v>0</v>
      </c>
      <c r="K26" s="25">
        <f t="shared" si="0"/>
        <v>0</v>
      </c>
      <c r="L26" s="25">
        <f>$C26*L$4*L$7*L$5+$D26*L$4*L$7*L$5+$E26*L$4*L$7*L$5</f>
        <v>0</v>
      </c>
      <c r="M26" s="25">
        <f>$C26*M$4*M$7*M$5+$D26*M$4*M$7*M$5+$E26*M$4*M$7*M$5</f>
        <v>0</v>
      </c>
      <c r="N26" s="35">
        <f>K26+L26+M26</f>
        <v>0</v>
      </c>
    </row>
    <row r="27" spans="1:14" ht="12.75">
      <c r="A27" s="26"/>
      <c r="F27" s="35">
        <f>SUM(F9:F26)</f>
        <v>1258231.7565277778</v>
      </c>
      <c r="G27" s="35">
        <f>SUM(G9:G26)</f>
        <v>154554.7517283951</v>
      </c>
      <c r="H27" s="35">
        <f>SUM(H9:H26)</f>
        <v>162288.5</v>
      </c>
      <c r="I27" s="35">
        <f>SUM(I9:I26)</f>
        <v>1575075.008256173</v>
      </c>
      <c r="J27" s="35"/>
      <c r="K27" s="35">
        <f>SUM(K9:K26)</f>
        <v>1334655</v>
      </c>
      <c r="L27" s="35">
        <f>SUM(L9:L26)</f>
        <v>127110</v>
      </c>
      <c r="M27" s="35">
        <f>SUM(M9:M26)</f>
        <v>147180</v>
      </c>
      <c r="N27" s="35">
        <f>SUM(N9:N26)</f>
        <v>1608945</v>
      </c>
    </row>
    <row r="28" ht="12.75">
      <c r="A28" s="26" t="s">
        <v>136</v>
      </c>
    </row>
  </sheetData>
  <mergeCells count="3">
    <mergeCell ref="A2:B2"/>
    <mergeCell ref="F3:I3"/>
    <mergeCell ref="J3: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71"/>
  <sheetViews>
    <sheetView workbookViewId="0" topLeftCell="A1">
      <pane xSplit="3" ySplit="4" topLeftCell="P5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W31" sqref="W31"/>
    </sheetView>
  </sheetViews>
  <sheetFormatPr defaultColWidth="9.140625" defaultRowHeight="12.75"/>
  <cols>
    <col min="1" max="1" width="15.421875" style="0" bestFit="1" customWidth="1"/>
    <col min="2" max="2" width="11.00390625" style="0" bestFit="1" customWidth="1"/>
    <col min="3" max="3" width="16.8515625" style="0" customWidth="1"/>
    <col min="4" max="6" width="8.57421875" style="0" customWidth="1"/>
    <col min="7" max="7" width="10.57421875" style="0" customWidth="1"/>
    <col min="8" max="8" width="8.57421875" style="0" customWidth="1"/>
    <col min="9" max="9" width="12.57421875" style="0" customWidth="1"/>
    <col min="10" max="10" width="5.28125" style="0" bestFit="1" customWidth="1"/>
    <col min="11" max="13" width="6.57421875" style="0" bestFit="1" customWidth="1"/>
    <col min="14" max="14" width="7.57421875" style="0" bestFit="1" customWidth="1"/>
    <col min="15" max="15" width="11.00390625" style="0" bestFit="1" customWidth="1"/>
    <col min="18" max="19" width="10.28125" style="0" bestFit="1" customWidth="1"/>
    <col min="20" max="20" width="11.421875" style="0" bestFit="1" customWidth="1"/>
    <col min="21" max="21" width="11.28125" style="0" bestFit="1" customWidth="1"/>
    <col min="22" max="22" width="13.8515625" style="0" bestFit="1" customWidth="1"/>
    <col min="23" max="23" width="8.57421875" style="0" bestFit="1" customWidth="1"/>
    <col min="25" max="25" width="11.28125" style="0" bestFit="1" customWidth="1"/>
    <col min="31" max="31" width="11.8515625" style="0" customWidth="1"/>
    <col min="32" max="32" width="12.00390625" style="0" customWidth="1"/>
    <col min="33" max="33" width="11.421875" style="0" customWidth="1"/>
    <col min="34" max="34" width="12.28125" style="0" bestFit="1" customWidth="1"/>
    <col min="35" max="35" width="12.57421875" style="0" bestFit="1" customWidth="1"/>
    <col min="36" max="36" width="11.8515625" style="0" bestFit="1" customWidth="1"/>
  </cols>
  <sheetData>
    <row r="1" ht="12.75">
      <c r="A1" s="2" t="s">
        <v>14</v>
      </c>
    </row>
    <row r="2" spans="1:36" ht="12.75">
      <c r="A2" s="3">
        <f ca="1">NOW()</f>
        <v>40331.46284918982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</row>
    <row r="3" spans="1:36" ht="12.75">
      <c r="A3" s="3"/>
      <c r="Q3">
        <v>840.56</v>
      </c>
      <c r="R3" s="56">
        <f>Types!AD20</f>
        <v>39.585</v>
      </c>
      <c r="AE3" s="217" t="s">
        <v>77</v>
      </c>
      <c r="AF3" s="217"/>
      <c r="AG3" s="217"/>
      <c r="AH3" s="217" t="s">
        <v>78</v>
      </c>
      <c r="AI3" s="217"/>
      <c r="AJ3" s="217"/>
    </row>
    <row r="4" spans="1:36" s="2" customFormat="1" ht="25.5">
      <c r="A4" s="2" t="s">
        <v>0</v>
      </c>
      <c r="B4" s="2" t="s">
        <v>1</v>
      </c>
      <c r="C4" s="2" t="s">
        <v>2</v>
      </c>
      <c r="D4" s="2" t="s">
        <v>9</v>
      </c>
      <c r="E4" s="2" t="s">
        <v>17</v>
      </c>
      <c r="F4" s="2" t="s">
        <v>3</v>
      </c>
      <c r="G4" s="2" t="s">
        <v>19</v>
      </c>
      <c r="H4" s="2" t="s">
        <v>4</v>
      </c>
      <c r="I4" s="2" t="s">
        <v>5</v>
      </c>
      <c r="J4" s="2" t="s">
        <v>45</v>
      </c>
      <c r="K4" s="2" t="s">
        <v>6</v>
      </c>
      <c r="L4" s="2" t="s">
        <v>7</v>
      </c>
      <c r="M4" s="2" t="s">
        <v>8</v>
      </c>
      <c r="N4" s="2" t="s">
        <v>72</v>
      </c>
      <c r="O4" s="2" t="s">
        <v>177</v>
      </c>
      <c r="P4" s="2" t="s">
        <v>70</v>
      </c>
      <c r="Q4" s="2" t="s">
        <v>178</v>
      </c>
      <c r="R4" s="2" t="s">
        <v>179</v>
      </c>
      <c r="S4" s="2" t="s">
        <v>97</v>
      </c>
      <c r="T4" s="2" t="s">
        <v>205</v>
      </c>
      <c r="U4" s="2" t="s">
        <v>206</v>
      </c>
      <c r="V4" s="2" t="s">
        <v>207</v>
      </c>
      <c r="W4" s="2" t="s">
        <v>239</v>
      </c>
      <c r="X4" s="189" t="s">
        <v>280</v>
      </c>
      <c r="Y4" s="189" t="s">
        <v>281</v>
      </c>
      <c r="AE4" s="2" t="s">
        <v>74</v>
      </c>
      <c r="AF4" s="2" t="s">
        <v>75</v>
      </c>
      <c r="AG4" s="2" t="s">
        <v>76</v>
      </c>
      <c r="AH4" s="2" t="s">
        <v>79</v>
      </c>
      <c r="AI4" s="2" t="s">
        <v>80</v>
      </c>
      <c r="AJ4" s="2" t="s">
        <v>81</v>
      </c>
    </row>
    <row r="6" spans="1:36" ht="12.75">
      <c r="A6">
        <v>1</v>
      </c>
      <c r="B6">
        <v>0</v>
      </c>
      <c r="C6" t="s">
        <v>26</v>
      </c>
      <c r="D6">
        <v>2</v>
      </c>
      <c r="E6" s="21">
        <v>0.3</v>
      </c>
      <c r="F6" t="s">
        <v>3</v>
      </c>
      <c r="G6" t="s">
        <v>56</v>
      </c>
      <c r="H6" t="str">
        <f>VLOOKUP(I6,Types!H:I,2,0)</f>
        <v>2A</v>
      </c>
      <c r="I6" t="str">
        <f aca="true" t="shared" si="0" ref="I6:I22">CONCATENATE("P",D6,"-",E6*100,LEFT(F6,2),LEFT(G6,3),J6)</f>
        <v>P2-30ChSA1</v>
      </c>
      <c r="J6">
        <v>1</v>
      </c>
      <c r="K6">
        <v>0</v>
      </c>
      <c r="L6">
        <v>13</v>
      </c>
      <c r="M6">
        <v>13</v>
      </c>
      <c r="N6" s="25">
        <v>580</v>
      </c>
      <c r="O6" s="25">
        <f>VLOOKUP(H6,Types!I$21:AH$32,26,0)</f>
        <v>426013.74841600005</v>
      </c>
      <c r="P6">
        <v>1</v>
      </c>
      <c r="R6" s="25">
        <f>N6*R$3</f>
        <v>22959.3</v>
      </c>
      <c r="S6" s="35">
        <f>O6+Q6+R6</f>
        <v>448973.04841600003</v>
      </c>
      <c r="T6" s="25">
        <f>VLOOKUP($C6,Childcare!$A:$N,9,0)</f>
        <v>180771.35694444447</v>
      </c>
      <c r="U6" s="25">
        <f>VLOOKUP($C6,Childcare!$A:$N,14,0)</f>
        <v>187590</v>
      </c>
      <c r="V6" s="25">
        <f aca="true" t="shared" si="1" ref="V6:V25">S6+T6-U6+W6</f>
        <v>442154.40536044445</v>
      </c>
      <c r="W6">
        <v>0</v>
      </c>
      <c r="X6">
        <v>12</v>
      </c>
      <c r="Y6" s="24">
        <f>V6*X6/12</f>
        <v>442154.40536044445</v>
      </c>
      <c r="AE6" s="27">
        <v>0.9</v>
      </c>
      <c r="AF6" s="27">
        <v>0.2</v>
      </c>
      <c r="AG6" s="27">
        <v>0.3</v>
      </c>
      <c r="AH6" s="29">
        <v>1</v>
      </c>
      <c r="AI6" s="29">
        <v>0.2</v>
      </c>
      <c r="AJ6" s="29">
        <v>0.3</v>
      </c>
    </row>
    <row r="7" spans="1:36" ht="12.75">
      <c r="A7">
        <v>2</v>
      </c>
      <c r="B7">
        <v>0</v>
      </c>
      <c r="C7" t="s">
        <v>25</v>
      </c>
      <c r="D7">
        <v>2</v>
      </c>
      <c r="E7" s="21">
        <v>0.3</v>
      </c>
      <c r="F7" t="s">
        <v>3</v>
      </c>
      <c r="G7" t="s">
        <v>56</v>
      </c>
      <c r="H7" t="str">
        <f>VLOOKUP(I7,Types!H:I,2,0)</f>
        <v>2A</v>
      </c>
      <c r="I7" t="str">
        <f t="shared" si="0"/>
        <v>P2-30ChSA1</v>
      </c>
      <c r="J7">
        <v>1</v>
      </c>
      <c r="K7">
        <v>0</v>
      </c>
      <c r="L7">
        <v>16</v>
      </c>
      <c r="M7">
        <v>16</v>
      </c>
      <c r="N7" s="25">
        <v>400</v>
      </c>
      <c r="O7" s="25">
        <f>VLOOKUP(H7,Types!I$21:AH$32,26,0)</f>
        <v>426013.74841600005</v>
      </c>
      <c r="P7">
        <v>1</v>
      </c>
      <c r="R7" s="25">
        <f aca="true" t="shared" si="2" ref="R7:R22">N7*R$3</f>
        <v>15834</v>
      </c>
      <c r="S7" s="35">
        <f aca="true" t="shared" si="3" ref="S7:S22">O7+Q7+R7</f>
        <v>441847.74841600005</v>
      </c>
      <c r="T7" s="25">
        <f>VLOOKUP($C7,Childcare!$A:$N,9,0)</f>
        <v>224679.41222222225</v>
      </c>
      <c r="U7" s="25">
        <f>VLOOKUP($C7,Childcare!$A:$N,14,0)</f>
        <v>230880</v>
      </c>
      <c r="V7" s="25">
        <f t="shared" si="1"/>
        <v>435647.16063822224</v>
      </c>
      <c r="W7">
        <v>0</v>
      </c>
      <c r="X7">
        <v>12</v>
      </c>
      <c r="Y7" s="24">
        <f aca="true" t="shared" si="4" ref="Y7:Y24">V7*X7/12</f>
        <v>435647.16063822224</v>
      </c>
      <c r="AE7" s="27">
        <v>0.9</v>
      </c>
      <c r="AF7" s="27">
        <v>0.2</v>
      </c>
      <c r="AG7" s="27">
        <v>0.3</v>
      </c>
      <c r="AH7" s="29">
        <v>1</v>
      </c>
      <c r="AI7" s="29">
        <v>0.2</v>
      </c>
      <c r="AJ7" s="29">
        <v>0.3</v>
      </c>
    </row>
    <row r="8" spans="1:36" ht="12.75">
      <c r="A8">
        <v>3</v>
      </c>
      <c r="B8">
        <v>2015</v>
      </c>
      <c r="C8" t="s">
        <v>38</v>
      </c>
      <c r="D8">
        <v>2</v>
      </c>
      <c r="E8" s="21">
        <v>0.3</v>
      </c>
      <c r="F8" t="s">
        <v>3</v>
      </c>
      <c r="G8" t="s">
        <v>19</v>
      </c>
      <c r="H8" t="str">
        <f>VLOOKUP(I8,Types!H:I,2,0)</f>
        <v>2B</v>
      </c>
      <c r="I8" t="str">
        <f t="shared" si="0"/>
        <v>P2-30ChSch1</v>
      </c>
      <c r="J8">
        <v>1</v>
      </c>
      <c r="K8">
        <v>0</v>
      </c>
      <c r="L8">
        <v>0</v>
      </c>
      <c r="M8">
        <v>8</v>
      </c>
      <c r="N8" s="25">
        <v>186.66666666666666</v>
      </c>
      <c r="O8" s="25">
        <f>VLOOKUP(H8,Types!I$21:AH$32,26,0)</f>
        <v>387051.525596</v>
      </c>
      <c r="P8">
        <v>1</v>
      </c>
      <c r="R8" s="25">
        <f t="shared" si="2"/>
        <v>7389.2</v>
      </c>
      <c r="S8" s="35">
        <f t="shared" si="3"/>
        <v>394440.72559600003</v>
      </c>
      <c r="T8" s="25">
        <f>VLOOKUP($C8,Childcare!$A:$N,9,0)</f>
        <v>38197.90435185186</v>
      </c>
      <c r="U8" s="25">
        <f>VLOOKUP($C8,Childcare!$A:$N,14,0)</f>
        <v>57720</v>
      </c>
      <c r="V8" s="25">
        <f t="shared" si="1"/>
        <v>374918.6299478519</v>
      </c>
      <c r="W8">
        <v>0</v>
      </c>
      <c r="X8">
        <v>12</v>
      </c>
      <c r="Y8" s="24">
        <f t="shared" si="4"/>
        <v>374918.6299478519</v>
      </c>
      <c r="AE8" s="27">
        <v>0.9</v>
      </c>
      <c r="AF8" s="27">
        <v>0.2</v>
      </c>
      <c r="AG8" s="27">
        <v>0.3</v>
      </c>
      <c r="AH8" s="29">
        <v>1</v>
      </c>
      <c r="AI8" s="29">
        <v>0.2</v>
      </c>
      <c r="AJ8" s="29">
        <v>0.3</v>
      </c>
    </row>
    <row r="9" spans="1:36" ht="12.75">
      <c r="A9">
        <v>4</v>
      </c>
      <c r="B9">
        <v>2000</v>
      </c>
      <c r="C9" t="s">
        <v>27</v>
      </c>
      <c r="D9">
        <v>2</v>
      </c>
      <c r="E9" s="21">
        <v>0.3</v>
      </c>
      <c r="F9" t="s">
        <v>3</v>
      </c>
      <c r="G9" t="s">
        <v>19</v>
      </c>
      <c r="H9" t="str">
        <f>VLOOKUP(I9,Types!H:I,2,0)</f>
        <v>2B</v>
      </c>
      <c r="I9" t="str">
        <f t="shared" si="0"/>
        <v>P2-30ChSch1</v>
      </c>
      <c r="J9">
        <v>1</v>
      </c>
      <c r="K9">
        <v>9</v>
      </c>
      <c r="L9">
        <v>20</v>
      </c>
      <c r="M9">
        <v>20</v>
      </c>
      <c r="N9" s="25">
        <v>560</v>
      </c>
      <c r="O9" s="25">
        <f>VLOOKUP(H9,Types!I$21:AH$32,26,0)</f>
        <v>387051.525596</v>
      </c>
      <c r="P9">
        <v>1</v>
      </c>
      <c r="R9" s="25">
        <f t="shared" si="2"/>
        <v>22167.600000000002</v>
      </c>
      <c r="S9" s="35">
        <f t="shared" si="3"/>
        <v>409219.125596</v>
      </c>
      <c r="T9" s="25">
        <f>VLOOKUP($C9,Childcare!$A:$N,9,0)</f>
        <v>385485.2765432099</v>
      </c>
      <c r="U9" s="25">
        <f>VLOOKUP($C9,Childcare!$A:$N,14,0)</f>
        <v>353535</v>
      </c>
      <c r="V9" s="25">
        <f>S9+T9-U9+W9</f>
        <v>450293.4021392099</v>
      </c>
      <c r="W9">
        <v>9124</v>
      </c>
      <c r="X9">
        <v>12</v>
      </c>
      <c r="Y9" s="24">
        <f t="shared" si="4"/>
        <v>450293.4021392099</v>
      </c>
      <c r="AE9" s="27">
        <v>0.9</v>
      </c>
      <c r="AF9" s="27">
        <v>0.2</v>
      </c>
      <c r="AG9" s="27">
        <v>0.3</v>
      </c>
      <c r="AH9" s="29">
        <v>1</v>
      </c>
      <c r="AI9" s="29">
        <v>0.2</v>
      </c>
      <c r="AJ9" s="29">
        <v>0.3</v>
      </c>
    </row>
    <row r="10" spans="1:36" ht="12.75">
      <c r="A10">
        <v>5</v>
      </c>
      <c r="B10">
        <v>2074</v>
      </c>
      <c r="C10" t="s">
        <v>39</v>
      </c>
      <c r="D10">
        <v>2</v>
      </c>
      <c r="E10" s="21">
        <v>0.3</v>
      </c>
      <c r="F10" t="s">
        <v>3</v>
      </c>
      <c r="G10" t="s">
        <v>19</v>
      </c>
      <c r="H10" t="str">
        <f>VLOOKUP(I10,Types!H:I,2,0)</f>
        <v>2B</v>
      </c>
      <c r="I10" t="str">
        <f t="shared" si="0"/>
        <v>P2-30ChSch1</v>
      </c>
      <c r="J10">
        <v>1</v>
      </c>
      <c r="K10">
        <v>0</v>
      </c>
      <c r="L10">
        <v>12</v>
      </c>
      <c r="M10">
        <v>14</v>
      </c>
      <c r="N10" s="25">
        <v>560</v>
      </c>
      <c r="O10" s="25">
        <f>VLOOKUP(H10,Types!I$21:AH$32,26,0)</f>
        <v>387051.525596</v>
      </c>
      <c r="P10">
        <v>1</v>
      </c>
      <c r="R10" s="25">
        <f t="shared" si="2"/>
        <v>22167.600000000002</v>
      </c>
      <c r="S10" s="35">
        <f t="shared" si="3"/>
        <v>409219.125596</v>
      </c>
      <c r="T10" s="25">
        <f>VLOOKUP($C10,Childcare!$A:$N,9,0)</f>
        <v>178562.43013888889</v>
      </c>
      <c r="U10" s="25">
        <f>VLOOKUP($C10,Childcare!$A:$N,14,0)</f>
        <v>187590</v>
      </c>
      <c r="V10" s="25">
        <f t="shared" si="1"/>
        <v>400191.5557348889</v>
      </c>
      <c r="W10">
        <v>0</v>
      </c>
      <c r="X10">
        <v>12</v>
      </c>
      <c r="Y10" s="24">
        <f t="shared" si="4"/>
        <v>400191.5557348889</v>
      </c>
      <c r="AE10" s="27">
        <v>0.9</v>
      </c>
      <c r="AF10" s="27">
        <v>0.2</v>
      </c>
      <c r="AG10" s="27">
        <v>0.3</v>
      </c>
      <c r="AH10" s="29">
        <v>1</v>
      </c>
      <c r="AI10" s="29">
        <v>0.2</v>
      </c>
      <c r="AJ10" s="29">
        <v>0.3</v>
      </c>
    </row>
    <row r="11" spans="1:36" ht="12.75">
      <c r="A11">
        <v>6</v>
      </c>
      <c r="B11">
        <v>2057</v>
      </c>
      <c r="C11" t="s">
        <v>29</v>
      </c>
      <c r="D11">
        <v>2</v>
      </c>
      <c r="E11" s="21">
        <v>0.3</v>
      </c>
      <c r="F11" t="s">
        <v>3</v>
      </c>
      <c r="G11" t="s">
        <v>19</v>
      </c>
      <c r="H11" t="str">
        <f>VLOOKUP(I11,Types!H:I,2,0)</f>
        <v>2B</v>
      </c>
      <c r="I11" t="str">
        <f t="shared" si="0"/>
        <v>P2-30ChSch1</v>
      </c>
      <c r="J11">
        <v>1</v>
      </c>
      <c r="K11">
        <v>0</v>
      </c>
      <c r="L11">
        <v>24</v>
      </c>
      <c r="M11">
        <v>26</v>
      </c>
      <c r="N11" s="25">
        <v>560</v>
      </c>
      <c r="O11" s="25">
        <f>VLOOKUP(H11,Types!I$21:AH$32,26,0)</f>
        <v>387051.525596</v>
      </c>
      <c r="P11">
        <v>1</v>
      </c>
      <c r="R11" s="25">
        <f t="shared" si="2"/>
        <v>22167.600000000002</v>
      </c>
      <c r="S11" s="35">
        <f t="shared" si="3"/>
        <v>409219.125596</v>
      </c>
      <c r="T11" s="25">
        <f>VLOOKUP($C11,Childcare!$A:$N,9,0)</f>
        <v>342699.21583333344</v>
      </c>
      <c r="U11" s="25">
        <f>VLOOKUP($C11,Childcare!$A:$N,14,0)</f>
        <v>360750</v>
      </c>
      <c r="V11" s="25">
        <f t="shared" si="1"/>
        <v>391168.34142933344</v>
      </c>
      <c r="W11">
        <v>0</v>
      </c>
      <c r="X11">
        <v>12</v>
      </c>
      <c r="Y11" s="24">
        <f t="shared" si="4"/>
        <v>391168.34142933344</v>
      </c>
      <c r="AE11" s="27">
        <v>0.9</v>
      </c>
      <c r="AF11" s="27">
        <v>0.2</v>
      </c>
      <c r="AG11" s="27">
        <v>0.3</v>
      </c>
      <c r="AH11" s="29">
        <v>1</v>
      </c>
      <c r="AI11" s="29">
        <v>0.2</v>
      </c>
      <c r="AJ11" s="29">
        <v>0.3</v>
      </c>
    </row>
    <row r="12" spans="1:33" ht="12.75">
      <c r="A12">
        <v>7</v>
      </c>
      <c r="B12">
        <v>2002</v>
      </c>
      <c r="C12" t="s">
        <v>30</v>
      </c>
      <c r="D12">
        <v>2</v>
      </c>
      <c r="E12" s="21">
        <v>0.3</v>
      </c>
      <c r="F12" t="s">
        <v>55</v>
      </c>
      <c r="G12" t="s">
        <v>19</v>
      </c>
      <c r="H12" t="str">
        <f>VLOOKUP(I12,Types!H:I,2,0)</f>
        <v>2D</v>
      </c>
      <c r="I12" t="str">
        <f t="shared" si="0"/>
        <v>P2-30NCSch1</v>
      </c>
      <c r="J12">
        <v>1</v>
      </c>
      <c r="K12">
        <v>0</v>
      </c>
      <c r="L12">
        <v>0</v>
      </c>
      <c r="M12">
        <v>0</v>
      </c>
      <c r="N12" s="25">
        <v>50</v>
      </c>
      <c r="O12" s="25">
        <f>VLOOKUP(H12,Types!I$21:AH$32,26,0)</f>
        <v>275206.04738</v>
      </c>
      <c r="P12">
        <v>1</v>
      </c>
      <c r="R12" s="25">
        <f t="shared" si="2"/>
        <v>1979.25</v>
      </c>
      <c r="S12" s="35">
        <f t="shared" si="3"/>
        <v>277185.29738</v>
      </c>
      <c r="T12" s="25">
        <f>VLOOKUP($C12,Childcare!$A:$N,9,0)</f>
        <v>0</v>
      </c>
      <c r="U12" s="25">
        <f>VLOOKUP($C12,Childcare!$A:$N,14,0)</f>
        <v>0</v>
      </c>
      <c r="V12" s="25">
        <f t="shared" si="1"/>
        <v>277185.29738</v>
      </c>
      <c r="W12">
        <v>0</v>
      </c>
      <c r="X12">
        <v>12</v>
      </c>
      <c r="Y12" s="24">
        <f t="shared" si="4"/>
        <v>277185.29738</v>
      </c>
      <c r="AE12" s="27">
        <v>0</v>
      </c>
      <c r="AF12" s="27">
        <v>0</v>
      </c>
      <c r="AG12" s="27">
        <v>0</v>
      </c>
    </row>
    <row r="13" spans="1:33" ht="12.75">
      <c r="A13">
        <v>8</v>
      </c>
      <c r="B13">
        <v>2003</v>
      </c>
      <c r="C13" t="s">
        <v>31</v>
      </c>
      <c r="D13">
        <v>2</v>
      </c>
      <c r="E13" s="21">
        <v>0.3</v>
      </c>
      <c r="F13" t="s">
        <v>55</v>
      </c>
      <c r="G13" t="s">
        <v>19</v>
      </c>
      <c r="H13" t="str">
        <f>VLOOKUP(I13,Types!H:I,2,0)</f>
        <v>2D</v>
      </c>
      <c r="I13" t="str">
        <f t="shared" si="0"/>
        <v>P2-30NCSch1</v>
      </c>
      <c r="J13">
        <v>1</v>
      </c>
      <c r="K13">
        <v>0</v>
      </c>
      <c r="L13">
        <v>0</v>
      </c>
      <c r="M13">
        <v>0</v>
      </c>
      <c r="N13" s="25">
        <v>50</v>
      </c>
      <c r="O13" s="25">
        <f>VLOOKUP(H13,Types!I$21:AH$32,26,0)</f>
        <v>275206.04738</v>
      </c>
      <c r="P13">
        <v>1</v>
      </c>
      <c r="R13" s="25">
        <f t="shared" si="2"/>
        <v>1979.25</v>
      </c>
      <c r="S13" s="35">
        <f t="shared" si="3"/>
        <v>277185.29738</v>
      </c>
      <c r="T13" s="25">
        <f>VLOOKUP($C13,Childcare!$A:$N,9,0)</f>
        <v>0</v>
      </c>
      <c r="U13" s="25">
        <f>VLOOKUP($C13,Childcare!$A:$N,14,0)</f>
        <v>0</v>
      </c>
      <c r="V13" s="25">
        <f t="shared" si="1"/>
        <v>277185.29738</v>
      </c>
      <c r="W13">
        <v>0</v>
      </c>
      <c r="X13">
        <v>12</v>
      </c>
      <c r="Y13" s="24">
        <f t="shared" si="4"/>
        <v>277185.29738</v>
      </c>
      <c r="AE13" s="27">
        <v>0</v>
      </c>
      <c r="AF13" s="27">
        <v>0</v>
      </c>
      <c r="AG13" s="27">
        <v>0</v>
      </c>
    </row>
    <row r="14" spans="1:36" ht="12.75">
      <c r="A14">
        <v>9</v>
      </c>
      <c r="B14">
        <v>2024</v>
      </c>
      <c r="C14" t="s">
        <v>28</v>
      </c>
      <c r="D14">
        <v>2</v>
      </c>
      <c r="E14" s="21">
        <v>0.7</v>
      </c>
      <c r="F14" t="s">
        <v>3</v>
      </c>
      <c r="G14" t="s">
        <v>19</v>
      </c>
      <c r="H14" t="str">
        <f>VLOOKUP(I14,Types!H:I,2,0)</f>
        <v>2F</v>
      </c>
      <c r="I14" t="str">
        <f t="shared" si="0"/>
        <v>P2-70ChSch1</v>
      </c>
      <c r="J14">
        <v>1</v>
      </c>
      <c r="K14">
        <v>0</v>
      </c>
      <c r="L14">
        <v>16</v>
      </c>
      <c r="M14">
        <v>16</v>
      </c>
      <c r="N14" s="25">
        <v>650</v>
      </c>
      <c r="O14" s="25">
        <f>VLOOKUP(H14,Types!I$21:AH$32,26,0)</f>
        <v>357543.525596</v>
      </c>
      <c r="P14">
        <v>1</v>
      </c>
      <c r="R14" s="25">
        <f t="shared" si="2"/>
        <v>25730.25</v>
      </c>
      <c r="S14" s="35">
        <f t="shared" si="3"/>
        <v>383273.775596</v>
      </c>
      <c r="T14" s="25">
        <f>VLOOKUP($C14,Childcare!$A:$N,9,0)</f>
        <v>224679.41222222225</v>
      </c>
      <c r="U14" s="25">
        <f>VLOOKUP($C14,Childcare!$A:$N,14,0)</f>
        <v>230880</v>
      </c>
      <c r="V14" s="25">
        <f t="shared" si="1"/>
        <v>377073.1878182222</v>
      </c>
      <c r="W14">
        <v>0</v>
      </c>
      <c r="X14">
        <v>12</v>
      </c>
      <c r="Y14" s="24">
        <f t="shared" si="4"/>
        <v>377073.1878182222</v>
      </c>
      <c r="AE14" s="27">
        <v>0.9</v>
      </c>
      <c r="AF14" s="27">
        <v>0.2</v>
      </c>
      <c r="AG14" s="27">
        <v>0.3</v>
      </c>
      <c r="AH14" s="29">
        <v>1</v>
      </c>
      <c r="AI14" s="29">
        <v>0.2</v>
      </c>
      <c r="AJ14" s="29">
        <v>0.3</v>
      </c>
    </row>
    <row r="15" spans="1:33" ht="12.75">
      <c r="A15">
        <v>10</v>
      </c>
      <c r="B15">
        <v>0</v>
      </c>
      <c r="C15" t="s">
        <v>34</v>
      </c>
      <c r="D15">
        <v>3</v>
      </c>
      <c r="E15" s="21">
        <v>0.7</v>
      </c>
      <c r="F15" t="s">
        <v>55</v>
      </c>
      <c r="G15" t="s">
        <v>56</v>
      </c>
      <c r="H15" t="str">
        <f>VLOOKUP(I15,Types!H:I,2,0)</f>
        <v>3G</v>
      </c>
      <c r="I15" t="str">
        <f t="shared" si="0"/>
        <v>P3-70NCSA1</v>
      </c>
      <c r="J15">
        <v>1</v>
      </c>
      <c r="K15">
        <v>0</v>
      </c>
      <c r="L15">
        <v>0</v>
      </c>
      <c r="M15">
        <v>0</v>
      </c>
      <c r="N15" s="25">
        <v>50</v>
      </c>
      <c r="O15" s="25">
        <f>VLOOKUP(H15,Types!I$21:AH$32,26,0)</f>
        <v>144477.02888400003</v>
      </c>
      <c r="P15">
        <v>1</v>
      </c>
      <c r="R15" s="25">
        <f t="shared" si="2"/>
        <v>1979.25</v>
      </c>
      <c r="S15" s="35">
        <f t="shared" si="3"/>
        <v>146456.27888400003</v>
      </c>
      <c r="T15" s="25">
        <f>VLOOKUP($C15,Childcare!$A:$N,9,0)</f>
        <v>0</v>
      </c>
      <c r="U15" s="25">
        <f>VLOOKUP($C15,Childcare!$A:$N,14,0)</f>
        <v>0</v>
      </c>
      <c r="V15" s="25">
        <f t="shared" si="1"/>
        <v>146456.27888400003</v>
      </c>
      <c r="W15">
        <v>0</v>
      </c>
      <c r="X15">
        <v>12</v>
      </c>
      <c r="Y15" s="24">
        <f t="shared" si="4"/>
        <v>146456.27888400003</v>
      </c>
      <c r="AE15" s="27">
        <v>0</v>
      </c>
      <c r="AF15" s="27">
        <v>0</v>
      </c>
      <c r="AG15" s="27">
        <v>0</v>
      </c>
    </row>
    <row r="16" spans="1:33" ht="12.75">
      <c r="A16">
        <v>11</v>
      </c>
      <c r="B16">
        <v>0</v>
      </c>
      <c r="C16" t="s">
        <v>33</v>
      </c>
      <c r="D16">
        <v>2</v>
      </c>
      <c r="E16" s="21">
        <v>0.7</v>
      </c>
      <c r="F16" t="s">
        <v>55</v>
      </c>
      <c r="G16" t="s">
        <v>56</v>
      </c>
      <c r="H16" t="str">
        <f>VLOOKUP(I16,Types!H:I,2,0)</f>
        <v>2G</v>
      </c>
      <c r="I16" t="str">
        <f t="shared" si="0"/>
        <v>P2-70NCSA1</v>
      </c>
      <c r="J16">
        <v>1</v>
      </c>
      <c r="K16">
        <v>0</v>
      </c>
      <c r="L16">
        <v>0</v>
      </c>
      <c r="M16">
        <v>0</v>
      </c>
      <c r="N16" s="25">
        <v>50</v>
      </c>
      <c r="O16" s="25">
        <f>VLOOKUP(H16,Types!I$21:AH$32,26,0)</f>
        <v>180817.76588400005</v>
      </c>
      <c r="P16">
        <v>1</v>
      </c>
      <c r="R16" s="25">
        <f t="shared" si="2"/>
        <v>1979.25</v>
      </c>
      <c r="S16" s="35">
        <f t="shared" si="3"/>
        <v>182797.01588400005</v>
      </c>
      <c r="T16" s="25">
        <f>VLOOKUP($C16,Childcare!$A:$N,9,0)</f>
        <v>0</v>
      </c>
      <c r="U16" s="25">
        <f>VLOOKUP($C16,Childcare!$A:$N,14,0)</f>
        <v>0</v>
      </c>
      <c r="V16" s="25">
        <f t="shared" si="1"/>
        <v>182797.01588400005</v>
      </c>
      <c r="W16">
        <v>0</v>
      </c>
      <c r="X16">
        <v>12</v>
      </c>
      <c r="Y16" s="24">
        <f t="shared" si="4"/>
        <v>182797.01588400002</v>
      </c>
      <c r="AE16" s="27">
        <v>0</v>
      </c>
      <c r="AF16" s="27">
        <v>0</v>
      </c>
      <c r="AG16" s="27">
        <v>0</v>
      </c>
    </row>
    <row r="17" spans="1:33" ht="12.75">
      <c r="A17">
        <v>12</v>
      </c>
      <c r="B17">
        <v>2010</v>
      </c>
      <c r="C17" t="s">
        <v>32</v>
      </c>
      <c r="D17">
        <v>2</v>
      </c>
      <c r="E17" s="21">
        <v>0.7</v>
      </c>
      <c r="F17" t="s">
        <v>55</v>
      </c>
      <c r="G17" t="s">
        <v>19</v>
      </c>
      <c r="H17" t="str">
        <f>VLOOKUP(I17,Types!H:I,2,0)</f>
        <v>2H</v>
      </c>
      <c r="I17" t="str">
        <f t="shared" si="0"/>
        <v>P2-70NCSch1</v>
      </c>
      <c r="J17">
        <v>1</v>
      </c>
      <c r="K17">
        <v>0</v>
      </c>
      <c r="L17">
        <v>0</v>
      </c>
      <c r="M17">
        <v>0</v>
      </c>
      <c r="N17" s="25">
        <v>50</v>
      </c>
      <c r="O17" s="25">
        <f>VLOOKUP(H17,Types!I$21:AH$32,26,0)</f>
        <v>224699.83033000003</v>
      </c>
      <c r="P17">
        <v>1</v>
      </c>
      <c r="R17" s="25">
        <f t="shared" si="2"/>
        <v>1979.25</v>
      </c>
      <c r="S17" s="35">
        <f>O17+Q17+R17</f>
        <v>226679.08033000003</v>
      </c>
      <c r="T17" s="25">
        <f>VLOOKUP($C17,Childcare!$A:$N,9,0)</f>
        <v>0</v>
      </c>
      <c r="U17" s="25">
        <f>VLOOKUP($C17,Childcare!$A:$N,14,0)</f>
        <v>0</v>
      </c>
      <c r="V17" s="25">
        <f t="shared" si="1"/>
        <v>226679.08033000003</v>
      </c>
      <c r="W17">
        <v>0</v>
      </c>
      <c r="X17">
        <v>12</v>
      </c>
      <c r="Y17" s="24">
        <f t="shared" si="4"/>
        <v>226679.08033000003</v>
      </c>
      <c r="AE17" s="27">
        <v>0</v>
      </c>
      <c r="AF17" s="27">
        <v>0</v>
      </c>
      <c r="AG17" s="27">
        <v>0</v>
      </c>
    </row>
    <row r="18" spans="1:33" ht="12.75">
      <c r="A18">
        <v>13</v>
      </c>
      <c r="B18">
        <v>1001</v>
      </c>
      <c r="C18" t="s">
        <v>36</v>
      </c>
      <c r="D18">
        <v>2</v>
      </c>
      <c r="E18" s="21">
        <v>0.7</v>
      </c>
      <c r="F18" t="s">
        <v>55</v>
      </c>
      <c r="G18" t="s">
        <v>19</v>
      </c>
      <c r="H18" t="str">
        <f>VLOOKUP(I18,Types!H:I,2,0)</f>
        <v>2H</v>
      </c>
      <c r="I18" t="str">
        <f t="shared" si="0"/>
        <v>P2-70NCSch1</v>
      </c>
      <c r="J18">
        <v>1</v>
      </c>
      <c r="K18">
        <v>0</v>
      </c>
      <c r="L18">
        <v>0</v>
      </c>
      <c r="M18">
        <v>0</v>
      </c>
      <c r="N18" s="25">
        <v>50</v>
      </c>
      <c r="O18" s="25">
        <f>VLOOKUP(H18,Types!I$21:AH$32,26,0)</f>
        <v>224699.83033000003</v>
      </c>
      <c r="P18">
        <v>1</v>
      </c>
      <c r="R18" s="25">
        <f t="shared" si="2"/>
        <v>1979.25</v>
      </c>
      <c r="S18" s="35">
        <f t="shared" si="3"/>
        <v>226679.08033000003</v>
      </c>
      <c r="T18" s="25">
        <f>VLOOKUP($C18,Childcare!$A:$N,9,0)</f>
        <v>0</v>
      </c>
      <c r="U18" s="25">
        <f>VLOOKUP($C18,Childcare!$A:$N,14,0)</f>
        <v>0</v>
      </c>
      <c r="V18" s="25">
        <f t="shared" si="1"/>
        <v>226679.08033000003</v>
      </c>
      <c r="W18">
        <v>0</v>
      </c>
      <c r="X18">
        <v>12</v>
      </c>
      <c r="Y18" s="24">
        <f t="shared" si="4"/>
        <v>226679.08033000003</v>
      </c>
      <c r="AE18" s="27">
        <v>0</v>
      </c>
      <c r="AF18" s="27">
        <v>0</v>
      </c>
      <c r="AG18" s="27">
        <v>0</v>
      </c>
    </row>
    <row r="19" spans="1:33" ht="12.75">
      <c r="A19">
        <v>14</v>
      </c>
      <c r="B19">
        <v>1003</v>
      </c>
      <c r="C19" s="26" t="s">
        <v>73</v>
      </c>
      <c r="D19">
        <v>2</v>
      </c>
      <c r="E19" s="21">
        <v>0.7</v>
      </c>
      <c r="F19" t="s">
        <v>55</v>
      </c>
      <c r="G19" t="s">
        <v>19</v>
      </c>
      <c r="H19" t="str">
        <f>VLOOKUP(I19,Types!H:I,2,0)</f>
        <v>2H</v>
      </c>
      <c r="I19" t="str">
        <f t="shared" si="0"/>
        <v>P2-70NCSch1</v>
      </c>
      <c r="J19">
        <v>1</v>
      </c>
      <c r="K19">
        <v>0</v>
      </c>
      <c r="L19">
        <v>0</v>
      </c>
      <c r="M19">
        <v>0</v>
      </c>
      <c r="N19" s="25">
        <v>50</v>
      </c>
      <c r="O19" s="25">
        <f>VLOOKUP(H19,Types!I$21:AH$32,26,0)</f>
        <v>224699.83033000003</v>
      </c>
      <c r="P19">
        <v>1</v>
      </c>
      <c r="R19" s="25">
        <f t="shared" si="2"/>
        <v>1979.25</v>
      </c>
      <c r="S19" s="35">
        <f t="shared" si="3"/>
        <v>226679.08033000003</v>
      </c>
      <c r="T19" s="25">
        <f>VLOOKUP($C19,Childcare!$A:$N,9,0)</f>
        <v>0</v>
      </c>
      <c r="U19" s="25">
        <f>VLOOKUP($C19,Childcare!$A:$N,14,0)</f>
        <v>0</v>
      </c>
      <c r="V19" s="25">
        <f t="shared" si="1"/>
        <v>226679.08033000003</v>
      </c>
      <c r="W19">
        <v>0</v>
      </c>
      <c r="X19">
        <v>12</v>
      </c>
      <c r="Y19" s="24">
        <f t="shared" si="4"/>
        <v>226679.08033000003</v>
      </c>
      <c r="AE19" s="27">
        <v>0</v>
      </c>
      <c r="AF19" s="27">
        <v>0</v>
      </c>
      <c r="AG19" s="27">
        <v>0</v>
      </c>
    </row>
    <row r="20" spans="3:33" s="185" customFormat="1" ht="13.5" thickBot="1">
      <c r="C20" s="186"/>
      <c r="E20" s="179"/>
      <c r="N20" s="180"/>
      <c r="O20" s="180">
        <f>SUM(O6:O19)</f>
        <v>4307583.505330001</v>
      </c>
      <c r="P20" s="180"/>
      <c r="Q20" s="180"/>
      <c r="R20" s="180"/>
      <c r="S20" s="180">
        <f>SUM(S6:S19)</f>
        <v>4459853.805330001</v>
      </c>
      <c r="T20" s="180">
        <f>SUM(T6:T19)</f>
        <v>1575075.008256173</v>
      </c>
      <c r="U20" s="180">
        <f>SUM(U6:U19)</f>
        <v>1608945</v>
      </c>
      <c r="V20" s="180">
        <f t="shared" si="1"/>
        <v>4435107.813586174</v>
      </c>
      <c r="W20" s="180">
        <f>SUM(W6:W19)</f>
        <v>9124</v>
      </c>
      <c r="X20" s="180"/>
      <c r="Y20" s="180">
        <f>SUM(Y6:Y19)</f>
        <v>4435107.813586173</v>
      </c>
      <c r="AE20" s="181"/>
      <c r="AF20" s="181"/>
      <c r="AG20" s="181"/>
    </row>
    <row r="21" spans="1:33" ht="13.5" thickTop="1">
      <c r="A21">
        <v>15</v>
      </c>
      <c r="B21">
        <v>0</v>
      </c>
      <c r="C21" t="s">
        <v>35</v>
      </c>
      <c r="D21">
        <v>3</v>
      </c>
      <c r="E21" s="21">
        <v>0.7</v>
      </c>
      <c r="F21" t="s">
        <v>55</v>
      </c>
      <c r="G21" t="s">
        <v>56</v>
      </c>
      <c r="H21" t="str">
        <f>VLOOKUP(I21,Types!H:I,2,0)</f>
        <v>3G</v>
      </c>
      <c r="I21" t="str">
        <f t="shared" si="0"/>
        <v>P3-70NCSA1</v>
      </c>
      <c r="J21">
        <v>1</v>
      </c>
      <c r="K21">
        <v>0</v>
      </c>
      <c r="L21">
        <v>0</v>
      </c>
      <c r="M21">
        <v>0</v>
      </c>
      <c r="N21">
        <f>50*J21</f>
        <v>50</v>
      </c>
      <c r="O21" s="25">
        <f>VLOOKUP(H21,Types!I$21:AH$32,26,0)</f>
        <v>144477.02888400003</v>
      </c>
      <c r="P21">
        <v>0</v>
      </c>
      <c r="Q21">
        <f>P21*Q$3</f>
        <v>0</v>
      </c>
      <c r="R21" s="25">
        <f t="shared" si="2"/>
        <v>1979.25</v>
      </c>
      <c r="S21" s="35">
        <f t="shared" si="3"/>
        <v>146456.27888400003</v>
      </c>
      <c r="V21" s="25">
        <f t="shared" si="1"/>
        <v>146456.27888400003</v>
      </c>
      <c r="W21">
        <v>0</v>
      </c>
      <c r="X21">
        <v>12</v>
      </c>
      <c r="Y21" s="24">
        <f t="shared" si="4"/>
        <v>146456.27888400003</v>
      </c>
      <c r="AE21" s="27">
        <v>0</v>
      </c>
      <c r="AF21" s="27">
        <v>0</v>
      </c>
      <c r="AG21" s="27">
        <v>0</v>
      </c>
    </row>
    <row r="22" spans="1:33" ht="12.75">
      <c r="A22">
        <v>16</v>
      </c>
      <c r="B22">
        <v>0</v>
      </c>
      <c r="C22" t="s">
        <v>278</v>
      </c>
      <c r="D22">
        <v>3</v>
      </c>
      <c r="E22" s="21">
        <v>0.7</v>
      </c>
      <c r="F22" t="s">
        <v>55</v>
      </c>
      <c r="G22" t="s">
        <v>56</v>
      </c>
      <c r="H22" t="str">
        <f>VLOOKUP(I22,Types!H:I,2,0)</f>
        <v>3G</v>
      </c>
      <c r="I22" t="str">
        <f t="shared" si="0"/>
        <v>P3-70NCSA1</v>
      </c>
      <c r="J22">
        <v>1</v>
      </c>
      <c r="K22">
        <v>0</v>
      </c>
      <c r="L22">
        <v>0</v>
      </c>
      <c r="M22">
        <v>0</v>
      </c>
      <c r="N22">
        <f>50*J22</f>
        <v>50</v>
      </c>
      <c r="O22" s="25">
        <f>VLOOKUP(H22,Types!I$21:AH$32,26,0)</f>
        <v>144477.02888400003</v>
      </c>
      <c r="P22">
        <v>0</v>
      </c>
      <c r="Q22">
        <f>P22*Q$3</f>
        <v>0</v>
      </c>
      <c r="R22" s="25">
        <f t="shared" si="2"/>
        <v>1979.25</v>
      </c>
      <c r="S22" s="35">
        <f t="shared" si="3"/>
        <v>146456.27888400003</v>
      </c>
      <c r="V22" s="25">
        <f t="shared" si="1"/>
        <v>146456.27888400003</v>
      </c>
      <c r="W22">
        <v>0</v>
      </c>
      <c r="X22">
        <v>12</v>
      </c>
      <c r="Y22" s="24">
        <f t="shared" si="4"/>
        <v>146456.27888400003</v>
      </c>
      <c r="AE22" s="27">
        <v>0</v>
      </c>
      <c r="AF22" s="27">
        <v>0</v>
      </c>
      <c r="AG22" s="27">
        <v>0</v>
      </c>
    </row>
    <row r="23" spans="1:33" ht="12.75">
      <c r="A23">
        <v>17</v>
      </c>
      <c r="B23">
        <v>0</v>
      </c>
      <c r="C23" t="s">
        <v>37</v>
      </c>
      <c r="D23">
        <v>3</v>
      </c>
      <c r="E23" s="21">
        <v>0.7</v>
      </c>
      <c r="F23" t="s">
        <v>55</v>
      </c>
      <c r="G23" t="s">
        <v>56</v>
      </c>
      <c r="H23" t="str">
        <f>VLOOKUP(I23,Types!H:I,2,0)</f>
        <v>3G4</v>
      </c>
      <c r="I23" t="str">
        <f>CONCATENATE("P",D23,"-",E23*100,LEFT(F23,2),LEFT(G23,3),J23)</f>
        <v>P3-70NCSA4</v>
      </c>
      <c r="J23">
        <v>4</v>
      </c>
      <c r="K23">
        <v>0</v>
      </c>
      <c r="L23">
        <v>0</v>
      </c>
      <c r="M23">
        <v>0</v>
      </c>
      <c r="N23">
        <f>50*J23</f>
        <v>200</v>
      </c>
      <c r="O23" s="25">
        <f>VLOOKUP(H23,Types!I$21:AH$32,26,0)</f>
        <v>462936.11553599994</v>
      </c>
      <c r="P23">
        <v>0</v>
      </c>
      <c r="Q23">
        <f>P23*Q$3</f>
        <v>0</v>
      </c>
      <c r="R23" s="25">
        <f>N23*R$3</f>
        <v>7917</v>
      </c>
      <c r="S23" s="35">
        <f>O23+Q23+R23</f>
        <v>470853.11553599994</v>
      </c>
      <c r="V23" s="25">
        <f>S23+T23-U23+W23</f>
        <v>470853.11553599994</v>
      </c>
      <c r="W23">
        <v>0</v>
      </c>
      <c r="X23">
        <v>12</v>
      </c>
      <c r="Y23" s="24">
        <f t="shared" si="4"/>
        <v>470853.11553599994</v>
      </c>
      <c r="AE23" s="27"/>
      <c r="AF23" s="27"/>
      <c r="AG23" s="27"/>
    </row>
    <row r="24" spans="1:33" ht="12.75">
      <c r="A24">
        <v>18</v>
      </c>
      <c r="B24">
        <v>0</v>
      </c>
      <c r="C24" t="s">
        <v>279</v>
      </c>
      <c r="D24">
        <v>3</v>
      </c>
      <c r="E24" s="21">
        <v>0.7</v>
      </c>
      <c r="F24" t="s">
        <v>55</v>
      </c>
      <c r="G24" t="s">
        <v>56</v>
      </c>
      <c r="H24" t="str">
        <f>VLOOKUP(I24,Types!H:I,2,0)</f>
        <v>3G</v>
      </c>
      <c r="I24" t="str">
        <f>CONCATENATE("P",D24,"-",E24*100,LEFT(F24,2),LEFT(G24,3),J24)</f>
        <v>P3-70NCSA1</v>
      </c>
      <c r="J24">
        <v>1</v>
      </c>
      <c r="K24">
        <v>0</v>
      </c>
      <c r="L24">
        <v>0</v>
      </c>
      <c r="M24">
        <v>0</v>
      </c>
      <c r="N24">
        <f>50*J24</f>
        <v>50</v>
      </c>
      <c r="O24" s="25">
        <f>VLOOKUP(H24,Types!I$21:AH$32,26,0)</f>
        <v>144477.02888400003</v>
      </c>
      <c r="P24">
        <v>0</v>
      </c>
      <c r="Q24">
        <v>0</v>
      </c>
      <c r="R24" s="25">
        <f>N24*R$3</f>
        <v>1979.25</v>
      </c>
      <c r="S24" s="35">
        <f>O24+Q24+R24</f>
        <v>146456.27888400003</v>
      </c>
      <c r="V24" s="25">
        <f>S24+T24-U24+W24</f>
        <v>146456.27888400003</v>
      </c>
      <c r="W24">
        <v>0</v>
      </c>
      <c r="X24">
        <v>11</v>
      </c>
      <c r="Y24" s="24">
        <f t="shared" si="4"/>
        <v>134251.588977</v>
      </c>
      <c r="AE24" s="27">
        <v>0</v>
      </c>
      <c r="AF24" s="27">
        <v>0</v>
      </c>
      <c r="AG24" s="27">
        <v>0</v>
      </c>
    </row>
    <row r="25" spans="15:25" s="185" customFormat="1" ht="13.5" thickBot="1">
      <c r="O25" s="187">
        <f>SUM(O21:O24)</f>
        <v>896367.202188</v>
      </c>
      <c r="P25" s="187"/>
      <c r="Q25" s="187"/>
      <c r="R25" s="187"/>
      <c r="S25" s="187">
        <f>SUM(S21:S24)</f>
        <v>910221.952188</v>
      </c>
      <c r="T25" s="187">
        <f>SUM(T21:T23)</f>
        <v>0</v>
      </c>
      <c r="U25" s="187">
        <f>SUM(U21:U23)</f>
        <v>0</v>
      </c>
      <c r="V25" s="180">
        <f t="shared" si="1"/>
        <v>910221.952188</v>
      </c>
      <c r="W25" s="185">
        <v>0</v>
      </c>
      <c r="Y25" s="188">
        <f>SUM(Y21:Y24)</f>
        <v>898017.2622809999</v>
      </c>
    </row>
    <row r="26" spans="15:25" ht="13.5" thickTop="1">
      <c r="O26" s="60">
        <f>O20+O25</f>
        <v>5203950.707518001</v>
      </c>
      <c r="P26" s="60"/>
      <c r="Q26" s="60"/>
      <c r="R26" s="60"/>
      <c r="S26" s="60">
        <f>S20+S25</f>
        <v>5370075.757518001</v>
      </c>
      <c r="T26" s="60">
        <f>T20+T25</f>
        <v>1575075.008256173</v>
      </c>
      <c r="U26" s="60">
        <f>U20+U25</f>
        <v>1608945</v>
      </c>
      <c r="V26" s="60">
        <f>V20+V25</f>
        <v>5345329.765774174</v>
      </c>
      <c r="W26" s="60">
        <f>W20+W25</f>
        <v>9124</v>
      </c>
      <c r="Y26" s="60">
        <f>Y20+Y25</f>
        <v>5333125.075867172</v>
      </c>
    </row>
    <row r="28" spans="3:8" ht="12.75">
      <c r="C28" t="s">
        <v>136</v>
      </c>
      <c r="D28">
        <v>0</v>
      </c>
      <c r="E28">
        <v>0</v>
      </c>
      <c r="F28" t="s">
        <v>265</v>
      </c>
      <c r="G28" t="s">
        <v>265</v>
      </c>
      <c r="H28" t="s">
        <v>245</v>
      </c>
    </row>
    <row r="34" spans="1:7" ht="12.75">
      <c r="A34" s="22"/>
      <c r="B34" s="22"/>
      <c r="C34" s="22"/>
      <c r="D34" s="22"/>
      <c r="E34" s="22"/>
      <c r="F34" s="22"/>
      <c r="G34" s="22"/>
    </row>
    <row r="35" spans="1:10" ht="12.75">
      <c r="A35" s="22"/>
      <c r="B35" s="22"/>
      <c r="C35" s="22"/>
      <c r="D35" s="22"/>
      <c r="E35" s="22"/>
      <c r="F35" s="22"/>
      <c r="G35" s="22"/>
      <c r="J35" s="22"/>
    </row>
    <row r="36" spans="1:10" ht="12.75">
      <c r="A36" s="22"/>
      <c r="B36" s="22"/>
      <c r="C36" s="22"/>
      <c r="D36" s="169"/>
      <c r="E36" s="169"/>
      <c r="F36" s="169"/>
      <c r="G36" s="22"/>
      <c r="J36" s="22"/>
    </row>
    <row r="37" spans="1:10" ht="12.75">
      <c r="A37" s="22"/>
      <c r="B37" s="22"/>
      <c r="C37" s="22"/>
      <c r="D37" s="80"/>
      <c r="E37" s="80"/>
      <c r="F37" s="80"/>
      <c r="G37" s="22"/>
      <c r="J37" s="22"/>
    </row>
    <row r="38" spans="1:10" ht="12.75">
      <c r="A38" s="22"/>
      <c r="B38" s="22"/>
      <c r="C38" s="22"/>
      <c r="D38" s="23"/>
      <c r="E38" s="23"/>
      <c r="F38" s="23"/>
      <c r="G38" s="23"/>
      <c r="J38" s="23"/>
    </row>
    <row r="39" spans="1:10" ht="12.75">
      <c r="A39" s="22"/>
      <c r="B39" s="22"/>
      <c r="C39" s="22"/>
      <c r="D39" s="23"/>
      <c r="E39" s="23"/>
      <c r="F39" s="23"/>
      <c r="G39" s="23"/>
      <c r="J39" s="23"/>
    </row>
    <row r="40" spans="1:10" ht="12.75">
      <c r="A40" s="22"/>
      <c r="B40" s="22"/>
      <c r="C40" s="22"/>
      <c r="D40" s="23"/>
      <c r="E40" s="23"/>
      <c r="F40" s="23"/>
      <c r="G40" s="23"/>
      <c r="J40" s="23"/>
    </row>
    <row r="41" spans="1:10" ht="12.75">
      <c r="A41" s="22"/>
      <c r="B41" s="22"/>
      <c r="C41" s="22"/>
      <c r="D41" s="23"/>
      <c r="E41" s="23"/>
      <c r="F41" s="23"/>
      <c r="G41" s="23"/>
      <c r="J41" s="23"/>
    </row>
    <row r="42" spans="1:10" ht="12.75">
      <c r="A42" s="22"/>
      <c r="B42" s="22"/>
      <c r="C42" s="22"/>
      <c r="D42" s="23"/>
      <c r="E42" s="23"/>
      <c r="F42" s="23"/>
      <c r="G42" s="23"/>
      <c r="J42" s="23"/>
    </row>
    <row r="43" spans="1:10" ht="12.75">
      <c r="A43" s="22"/>
      <c r="B43" s="22"/>
      <c r="C43" s="22"/>
      <c r="D43" s="23"/>
      <c r="E43" s="23"/>
      <c r="F43" s="23"/>
      <c r="G43" s="23"/>
      <c r="J43" s="23"/>
    </row>
    <row r="44" spans="1:10" ht="12.75">
      <c r="A44" s="22"/>
      <c r="B44" s="22"/>
      <c r="C44" s="22"/>
      <c r="D44" s="23"/>
      <c r="E44" s="23"/>
      <c r="F44" s="23"/>
      <c r="G44" s="23"/>
      <c r="J44" s="23"/>
    </row>
    <row r="45" spans="1:10" ht="12.75">
      <c r="A45" s="22"/>
      <c r="B45" s="22"/>
      <c r="C45" s="22"/>
      <c r="D45" s="23"/>
      <c r="E45" s="23"/>
      <c r="F45" s="23"/>
      <c r="G45" s="23"/>
      <c r="J45" s="23"/>
    </row>
    <row r="46" spans="1:10" ht="12.75">
      <c r="A46" s="22"/>
      <c r="B46" s="22"/>
      <c r="C46" s="22"/>
      <c r="D46" s="23"/>
      <c r="E46" s="23"/>
      <c r="F46" s="23"/>
      <c r="G46" s="23"/>
      <c r="J46" s="23"/>
    </row>
    <row r="47" spans="1:10" ht="12.75">
      <c r="A47" s="22"/>
      <c r="B47" s="22"/>
      <c r="C47" s="22"/>
      <c r="D47" s="23"/>
      <c r="E47" s="23"/>
      <c r="F47" s="23"/>
      <c r="G47" s="23"/>
      <c r="J47" s="23"/>
    </row>
    <row r="48" spans="1:10" ht="12.75">
      <c r="A48" s="22"/>
      <c r="B48" s="22"/>
      <c r="C48" s="22"/>
      <c r="D48" s="23"/>
      <c r="E48" s="23"/>
      <c r="F48" s="23"/>
      <c r="G48" s="23"/>
      <c r="J48" s="23"/>
    </row>
    <row r="49" spans="1:10" ht="12.75">
      <c r="A49" s="22"/>
      <c r="B49" s="22"/>
      <c r="C49" s="22"/>
      <c r="D49" s="23"/>
      <c r="E49" s="23"/>
      <c r="F49" s="23"/>
      <c r="G49" s="23"/>
      <c r="J49" s="23"/>
    </row>
    <row r="50" spans="1:10" ht="12.75">
      <c r="A50" s="22"/>
      <c r="B50" s="22"/>
      <c r="C50" s="22"/>
      <c r="D50" s="23"/>
      <c r="E50" s="23"/>
      <c r="F50" s="23"/>
      <c r="G50" s="23"/>
      <c r="J50" s="23"/>
    </row>
    <row r="51" spans="1:10" ht="12.75">
      <c r="A51" s="22"/>
      <c r="B51" s="22"/>
      <c r="C51" s="22"/>
      <c r="D51" s="23"/>
      <c r="E51" s="23"/>
      <c r="F51" s="23"/>
      <c r="G51" s="23"/>
      <c r="J51" s="23"/>
    </row>
    <row r="52" spans="1:10" ht="12.75">
      <c r="A52" s="22"/>
      <c r="B52" s="22"/>
      <c r="C52" s="22"/>
      <c r="D52" s="23"/>
      <c r="E52" s="23"/>
      <c r="F52" s="23"/>
      <c r="G52" s="23"/>
      <c r="J52" s="23"/>
    </row>
    <row r="53" spans="1:10" ht="12.75">
      <c r="A53" s="22"/>
      <c r="B53" s="22"/>
      <c r="C53" s="22"/>
      <c r="D53" s="23"/>
      <c r="E53" s="23"/>
      <c r="F53" s="23"/>
      <c r="G53" s="23"/>
      <c r="J53" s="23"/>
    </row>
    <row r="54" spans="1:10" ht="12.75">
      <c r="A54" s="22"/>
      <c r="B54" s="22"/>
      <c r="C54" s="22"/>
      <c r="D54" s="23"/>
      <c r="E54" s="23"/>
      <c r="F54" s="23"/>
      <c r="G54" s="23"/>
      <c r="J54" s="23"/>
    </row>
    <row r="55" spans="1:10" ht="12.75">
      <c r="A55" s="22"/>
      <c r="B55" s="22"/>
      <c r="C55" s="22"/>
      <c r="D55" s="23"/>
      <c r="E55" s="23"/>
      <c r="F55" s="23"/>
      <c r="G55" s="23"/>
      <c r="J55" s="23"/>
    </row>
    <row r="56" spans="1:10" ht="12.75">
      <c r="A56" s="22"/>
      <c r="B56" s="22"/>
      <c r="C56" s="22"/>
      <c r="D56" s="23"/>
      <c r="E56" s="23"/>
      <c r="F56" s="23"/>
      <c r="G56" s="23"/>
      <c r="J56" s="23"/>
    </row>
    <row r="57" spans="1:10" ht="12.75">
      <c r="A57" s="22"/>
      <c r="B57" s="22"/>
      <c r="C57" s="22"/>
      <c r="D57" s="23"/>
      <c r="E57" s="23"/>
      <c r="F57" s="23"/>
      <c r="G57" s="23"/>
      <c r="J57" s="23"/>
    </row>
    <row r="58" spans="1:10" ht="12.75">
      <c r="A58" s="22"/>
      <c r="B58" s="22"/>
      <c r="C58" s="22"/>
      <c r="D58" s="23"/>
      <c r="E58" s="23"/>
      <c r="F58" s="23"/>
      <c r="G58" s="23"/>
      <c r="J58" s="23"/>
    </row>
    <row r="59" spans="1:10" ht="12.75">
      <c r="A59" s="22"/>
      <c r="B59" s="22"/>
      <c r="C59" s="22"/>
      <c r="D59" s="23"/>
      <c r="E59" s="23"/>
      <c r="F59" s="23"/>
      <c r="G59" s="23"/>
      <c r="J59" s="23"/>
    </row>
    <row r="60" spans="1:10" ht="12.75">
      <c r="A60" s="22"/>
      <c r="B60" s="22"/>
      <c r="C60" s="22"/>
      <c r="D60" s="23"/>
      <c r="E60" s="23"/>
      <c r="F60" s="23"/>
      <c r="G60" s="23"/>
      <c r="J60" s="23"/>
    </row>
    <row r="61" spans="1:10" ht="12.75">
      <c r="A61" s="22"/>
      <c r="B61" s="22"/>
      <c r="C61" s="22"/>
      <c r="D61" s="23"/>
      <c r="E61" s="23"/>
      <c r="F61" s="23"/>
      <c r="G61" s="23"/>
      <c r="J61" s="23"/>
    </row>
    <row r="62" spans="1:7" ht="12.75">
      <c r="A62" s="22"/>
      <c r="B62" s="22"/>
      <c r="C62" s="22"/>
      <c r="D62" s="22"/>
      <c r="E62" s="22"/>
      <c r="F62" s="22"/>
      <c r="G62" s="22"/>
    </row>
    <row r="63" spans="1:7" ht="12.75">
      <c r="A63" s="22"/>
      <c r="B63" s="22"/>
      <c r="C63" s="22"/>
      <c r="D63" s="22"/>
      <c r="E63" s="22"/>
      <c r="F63" s="22"/>
      <c r="G63" s="22"/>
    </row>
    <row r="64" spans="1:7" ht="12.75">
      <c r="A64" s="22"/>
      <c r="B64" s="22"/>
      <c r="C64" s="22"/>
      <c r="D64" s="22"/>
      <c r="E64" s="22"/>
      <c r="F64" s="22"/>
      <c r="G64" s="22"/>
    </row>
    <row r="65" spans="1:7" ht="12.75">
      <c r="A65" s="22"/>
      <c r="B65" s="22"/>
      <c r="C65" s="22"/>
      <c r="D65" s="22"/>
      <c r="E65" s="22"/>
      <c r="F65" s="22"/>
      <c r="G65" s="22"/>
    </row>
    <row r="66" spans="1:7" ht="12.75">
      <c r="A66" s="22"/>
      <c r="B66" s="22"/>
      <c r="C66" s="22"/>
      <c r="D66" s="22"/>
      <c r="E66" s="22"/>
      <c r="F66" s="22"/>
      <c r="G66" s="22"/>
    </row>
    <row r="67" spans="1:7" ht="12.75">
      <c r="A67" s="22"/>
      <c r="B67" s="22"/>
      <c r="C67" s="22"/>
      <c r="D67" s="22"/>
      <c r="E67" s="22"/>
      <c r="F67" s="22"/>
      <c r="G67" s="22"/>
    </row>
    <row r="68" spans="1:7" ht="12.75">
      <c r="A68" s="22"/>
      <c r="B68" s="22"/>
      <c r="C68" s="22"/>
      <c r="D68" s="22"/>
      <c r="E68" s="22"/>
      <c r="F68" s="22"/>
      <c r="G68" s="22"/>
    </row>
    <row r="69" spans="1:7" ht="12.75">
      <c r="A69" s="22"/>
      <c r="B69" s="22"/>
      <c r="C69" s="22"/>
      <c r="D69" s="22"/>
      <c r="E69" s="22"/>
      <c r="F69" s="22"/>
      <c r="G69" s="22"/>
    </row>
    <row r="70" spans="1:7" ht="12.75">
      <c r="A70" s="22"/>
      <c r="B70" s="22"/>
      <c r="C70" s="22"/>
      <c r="D70" s="22"/>
      <c r="E70" s="22"/>
      <c r="F70" s="22"/>
      <c r="G70" s="22"/>
    </row>
    <row r="71" spans="1:7" ht="12.75">
      <c r="A71" s="22"/>
      <c r="B71" s="22"/>
      <c r="C71" s="22"/>
      <c r="D71" s="22"/>
      <c r="E71" s="22"/>
      <c r="F71" s="22"/>
      <c r="G71" s="22"/>
    </row>
  </sheetData>
  <mergeCells count="2">
    <mergeCell ref="AE3:AG3"/>
    <mergeCell ref="AH3:AJ3"/>
  </mergeCells>
  <conditionalFormatting sqref="K6:M24">
    <cfRule type="cellIs" priority="1" dxfId="3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zoomScale="70" zoomScaleNormal="70" workbookViewId="0" topLeftCell="A1">
      <pane xSplit="2" ySplit="5" topLeftCell="C6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9.140625" defaultRowHeight="12.75"/>
  <cols>
    <col min="1" max="1" width="6.8515625" style="96" customWidth="1"/>
    <col min="2" max="2" width="40.00390625" style="96" bestFit="1" customWidth="1"/>
    <col min="3" max="3" width="5.8515625" style="96" bestFit="1" customWidth="1"/>
    <col min="4" max="4" width="14.140625" style="96" bestFit="1" customWidth="1"/>
    <col min="5" max="12" width="11.28125" style="96" bestFit="1" customWidth="1"/>
    <col min="13" max="13" width="11.00390625" style="96" bestFit="1" customWidth="1"/>
    <col min="14" max="14" width="12.28125" style="96" bestFit="1" customWidth="1"/>
    <col min="15" max="15" width="9.28125" style="96" customWidth="1"/>
    <col min="16" max="16" width="10.00390625" style="96" bestFit="1" customWidth="1"/>
    <col min="17" max="18" width="15.421875" style="96" bestFit="1" customWidth="1"/>
    <col min="19" max="21" width="11.421875" style="96" customWidth="1"/>
    <col min="22" max="22" width="7.421875" style="96" bestFit="1" customWidth="1"/>
    <col min="23" max="23" width="13.8515625" style="96" bestFit="1" customWidth="1"/>
    <col min="24" max="24" width="9.28125" style="96" bestFit="1" customWidth="1"/>
    <col min="25" max="25" width="12.8515625" style="96" bestFit="1" customWidth="1"/>
    <col min="26" max="26" width="11.7109375" style="96" bestFit="1" customWidth="1"/>
    <col min="27" max="27" width="9.28125" style="96" bestFit="1" customWidth="1"/>
    <col min="28" max="28" width="6.421875" style="96" bestFit="1" customWidth="1"/>
    <col min="29" max="29" width="10.7109375" style="96" bestFit="1" customWidth="1"/>
    <col min="30" max="30" width="9.7109375" style="96" bestFit="1" customWidth="1"/>
    <col min="31" max="31" width="9.28125" style="96" bestFit="1" customWidth="1"/>
    <col min="32" max="32" width="10.28125" style="96" bestFit="1" customWidth="1"/>
    <col min="33" max="33" width="7.7109375" style="96" bestFit="1" customWidth="1"/>
    <col min="34" max="34" width="9.57421875" style="96" bestFit="1" customWidth="1"/>
    <col min="35" max="16384" width="11.421875" style="96" customWidth="1"/>
  </cols>
  <sheetData>
    <row r="1" spans="1:34" ht="15">
      <c r="A1" s="96">
        <v>1</v>
      </c>
      <c r="B1" s="96">
        <v>2</v>
      </c>
      <c r="C1" s="96">
        <v>3</v>
      </c>
      <c r="D1" s="96">
        <v>4</v>
      </c>
      <c r="E1" s="96">
        <v>5</v>
      </c>
      <c r="F1" s="96">
        <v>6</v>
      </c>
      <c r="G1" s="96">
        <v>7</v>
      </c>
      <c r="H1" s="96">
        <v>8</v>
      </c>
      <c r="I1" s="96">
        <v>9</v>
      </c>
      <c r="J1" s="96">
        <v>10</v>
      </c>
      <c r="K1" s="96">
        <v>11</v>
      </c>
      <c r="L1" s="96">
        <v>12</v>
      </c>
      <c r="M1" s="96">
        <v>13</v>
      </c>
      <c r="N1" s="96">
        <v>14</v>
      </c>
      <c r="O1" s="96">
        <v>15</v>
      </c>
      <c r="P1" s="96">
        <v>16</v>
      </c>
      <c r="Q1" s="96">
        <v>17</v>
      </c>
      <c r="R1" s="96">
        <v>18</v>
      </c>
      <c r="S1" s="96">
        <v>19</v>
      </c>
      <c r="T1" s="96">
        <v>20</v>
      </c>
      <c r="U1" s="96">
        <v>21</v>
      </c>
      <c r="V1" s="96">
        <v>22</v>
      </c>
      <c r="W1" s="96">
        <v>23</v>
      </c>
      <c r="X1" s="96">
        <v>24</v>
      </c>
      <c r="Y1" s="96">
        <v>25</v>
      </c>
      <c r="Z1" s="96">
        <v>26</v>
      </c>
      <c r="AA1" s="96">
        <v>27</v>
      </c>
      <c r="AB1" s="96">
        <v>28</v>
      </c>
      <c r="AC1" s="96">
        <v>29</v>
      </c>
      <c r="AD1" s="96">
        <v>30</v>
      </c>
      <c r="AE1" s="96">
        <v>31</v>
      </c>
      <c r="AF1" s="96">
        <v>32</v>
      </c>
      <c r="AG1" s="96">
        <v>33</v>
      </c>
      <c r="AH1" s="96">
        <v>34</v>
      </c>
    </row>
    <row r="2" ht="15.75">
      <c r="A2" s="89" t="s">
        <v>88</v>
      </c>
    </row>
    <row r="3" spans="1:22" ht="15">
      <c r="A3" s="204">
        <v>39873</v>
      </c>
      <c r="B3" s="204"/>
      <c r="C3" s="204"/>
      <c r="U3" s="115">
        <v>1.018</v>
      </c>
      <c r="V3" s="96" t="s">
        <v>89</v>
      </c>
    </row>
    <row r="4" spans="1:30" ht="15">
      <c r="A4" s="96" t="s">
        <v>90</v>
      </c>
      <c r="B4" s="96" t="s">
        <v>91</v>
      </c>
      <c r="D4" s="116">
        <v>57485.50057800001</v>
      </c>
      <c r="E4" s="116">
        <v>47607.00888239999</v>
      </c>
      <c r="F4" s="116">
        <v>55011.15</v>
      </c>
      <c r="G4" s="116">
        <v>53825.18176080001</v>
      </c>
      <c r="H4" s="116">
        <v>25427.2315374</v>
      </c>
      <c r="I4" s="116">
        <v>25427.2315374</v>
      </c>
      <c r="J4" s="116">
        <v>21840.80338935</v>
      </c>
      <c r="K4" s="116">
        <v>25427.2315374</v>
      </c>
      <c r="L4" s="116">
        <v>20401.210293750002</v>
      </c>
      <c r="M4" s="116">
        <f>AG17</f>
        <v>46660.030000000006</v>
      </c>
      <c r="U4" s="205" t="s">
        <v>92</v>
      </c>
      <c r="V4" s="205"/>
      <c r="W4" s="205"/>
      <c r="X4" s="205"/>
      <c r="Y4" s="205"/>
      <c r="Z4" s="205"/>
      <c r="AA4" s="205"/>
      <c r="AB4" s="205"/>
      <c r="AC4" s="117"/>
      <c r="AD4" s="113"/>
    </row>
    <row r="5" spans="1:34" s="118" customFormat="1" ht="24">
      <c r="A5" s="118" t="s">
        <v>4</v>
      </c>
      <c r="B5" s="118" t="s">
        <v>93</v>
      </c>
      <c r="C5" s="118" t="s">
        <v>17</v>
      </c>
      <c r="D5" s="118" t="s">
        <v>10</v>
      </c>
      <c r="E5" s="118" t="s">
        <v>82</v>
      </c>
      <c r="F5" s="118" t="s">
        <v>11</v>
      </c>
      <c r="G5" s="118" t="s">
        <v>94</v>
      </c>
      <c r="H5" s="118" t="s">
        <v>95</v>
      </c>
      <c r="I5" s="118" t="s">
        <v>96</v>
      </c>
      <c r="J5" s="118" t="s">
        <v>12</v>
      </c>
      <c r="K5" s="118" t="s">
        <v>83</v>
      </c>
      <c r="L5" s="118" t="s">
        <v>84</v>
      </c>
      <c r="M5" s="118" t="s">
        <v>87</v>
      </c>
      <c r="N5" s="118" t="s">
        <v>97</v>
      </c>
      <c r="O5" s="118" t="s">
        <v>98</v>
      </c>
      <c r="Q5" s="118" t="s">
        <v>99</v>
      </c>
      <c r="U5" s="119" t="s">
        <v>100</v>
      </c>
      <c r="V5" s="119" t="s">
        <v>101</v>
      </c>
      <c r="W5" s="119" t="s">
        <v>102</v>
      </c>
      <c r="X5" s="119" t="s">
        <v>103</v>
      </c>
      <c r="Y5" s="119" t="s">
        <v>104</v>
      </c>
      <c r="Z5" s="119" t="s">
        <v>105</v>
      </c>
      <c r="AA5" s="119" t="s">
        <v>106</v>
      </c>
      <c r="AB5" s="119" t="s">
        <v>107</v>
      </c>
      <c r="AC5" s="119" t="s">
        <v>108</v>
      </c>
      <c r="AD5" s="120" t="s">
        <v>109</v>
      </c>
      <c r="AE5" s="120" t="s">
        <v>110</v>
      </c>
      <c r="AF5" s="120" t="s">
        <v>111</v>
      </c>
      <c r="AG5" s="120" t="s">
        <v>97</v>
      </c>
      <c r="AH5" s="120" t="s">
        <v>98</v>
      </c>
    </row>
    <row r="6" spans="1:32" ht="15">
      <c r="A6" s="110" t="s">
        <v>112</v>
      </c>
      <c r="B6" s="96" t="s">
        <v>113</v>
      </c>
      <c r="C6" s="121">
        <v>0.3</v>
      </c>
      <c r="D6" s="96">
        <v>1</v>
      </c>
      <c r="E6" s="96">
        <v>1</v>
      </c>
      <c r="F6" s="96">
        <v>0.5</v>
      </c>
      <c r="G6" s="96">
        <v>0.5</v>
      </c>
      <c r="H6" s="96">
        <v>0.5</v>
      </c>
      <c r="I6" s="96">
        <v>1</v>
      </c>
      <c r="J6" s="96">
        <v>1</v>
      </c>
      <c r="K6" s="96">
        <v>1</v>
      </c>
      <c r="L6" s="96">
        <v>1</v>
      </c>
      <c r="M6" s="122">
        <f>ROUND(AH15,2)</f>
        <v>1.05</v>
      </c>
      <c r="P6" s="96">
        <f aca="true" t="shared" si="0" ref="P6:P12">P15</f>
        <v>0</v>
      </c>
      <c r="U6" s="96">
        <v>1.25</v>
      </c>
      <c r="V6" s="96">
        <v>1</v>
      </c>
      <c r="W6" s="96">
        <v>0</v>
      </c>
      <c r="X6" s="96">
        <v>1.5</v>
      </c>
      <c r="Y6" s="96">
        <v>1</v>
      </c>
      <c r="Z6" s="96">
        <v>1</v>
      </c>
      <c r="AA6" s="96">
        <v>1.15</v>
      </c>
      <c r="AB6" s="96">
        <v>1.7</v>
      </c>
      <c r="AD6" s="96">
        <v>1</v>
      </c>
      <c r="AE6" s="96">
        <v>1.7</v>
      </c>
      <c r="AF6" s="96">
        <v>1</v>
      </c>
    </row>
    <row r="7" spans="1:32" ht="15">
      <c r="A7" s="110" t="s">
        <v>114</v>
      </c>
      <c r="B7" s="96" t="s">
        <v>115</v>
      </c>
      <c r="D7" s="96">
        <v>1</v>
      </c>
      <c r="E7" s="96">
        <v>1</v>
      </c>
      <c r="F7" s="96">
        <v>0.25</v>
      </c>
      <c r="G7" s="96">
        <v>0.5</v>
      </c>
      <c r="H7" s="96">
        <v>0.5</v>
      </c>
      <c r="I7" s="96">
        <v>1</v>
      </c>
      <c r="J7" s="96">
        <v>0.5</v>
      </c>
      <c r="K7" s="96">
        <v>0</v>
      </c>
      <c r="L7" s="96">
        <v>1</v>
      </c>
      <c r="M7" s="122">
        <f aca="true" t="shared" si="1" ref="M7:M12">ROUND(AH16,2)</f>
        <v>1</v>
      </c>
      <c r="P7" s="96">
        <f t="shared" si="0"/>
        <v>0</v>
      </c>
      <c r="U7" s="96">
        <v>1</v>
      </c>
      <c r="V7" s="96">
        <v>1</v>
      </c>
      <c r="W7" s="96">
        <v>1</v>
      </c>
      <c r="X7" s="96">
        <v>1</v>
      </c>
      <c r="Y7" s="96">
        <v>1</v>
      </c>
      <c r="Z7" s="96">
        <v>1</v>
      </c>
      <c r="AA7" s="96">
        <v>1</v>
      </c>
      <c r="AB7" s="96">
        <v>1</v>
      </c>
      <c r="AD7" s="96">
        <v>1</v>
      </c>
      <c r="AE7" s="96">
        <v>1.7</v>
      </c>
      <c r="AF7" s="96">
        <v>1</v>
      </c>
    </row>
    <row r="8" spans="1:32" ht="15">
      <c r="A8" s="110" t="s">
        <v>116</v>
      </c>
      <c r="B8" s="96" t="s">
        <v>117</v>
      </c>
      <c r="C8" s="121">
        <v>0.3</v>
      </c>
      <c r="D8" s="96">
        <v>1</v>
      </c>
      <c r="E8" s="96">
        <v>0</v>
      </c>
      <c r="F8" s="96">
        <v>0.25</v>
      </c>
      <c r="G8" s="96">
        <v>0</v>
      </c>
      <c r="H8" s="96">
        <v>0</v>
      </c>
      <c r="I8" s="96">
        <v>1</v>
      </c>
      <c r="J8" s="96">
        <v>0.5</v>
      </c>
      <c r="K8" s="96">
        <v>0</v>
      </c>
      <c r="L8" s="96">
        <v>0</v>
      </c>
      <c r="M8" s="122">
        <f t="shared" si="1"/>
        <v>0.99</v>
      </c>
      <c r="P8" s="96">
        <f t="shared" si="0"/>
        <v>0</v>
      </c>
      <c r="U8" s="96">
        <v>1</v>
      </c>
      <c r="V8" s="96">
        <v>1</v>
      </c>
      <c r="W8" s="96">
        <v>1</v>
      </c>
      <c r="X8" s="96">
        <v>1</v>
      </c>
      <c r="Y8" s="96">
        <v>1</v>
      </c>
      <c r="Z8" s="96">
        <v>1</v>
      </c>
      <c r="AA8" s="96">
        <v>1</v>
      </c>
      <c r="AB8" s="96">
        <v>1</v>
      </c>
      <c r="AD8" s="96">
        <v>1</v>
      </c>
      <c r="AE8" s="96">
        <v>1</v>
      </c>
      <c r="AF8" s="96">
        <v>1</v>
      </c>
    </row>
    <row r="9" spans="1:32" ht="15">
      <c r="A9" s="110" t="s">
        <v>118</v>
      </c>
      <c r="B9" s="96" t="s">
        <v>117</v>
      </c>
      <c r="C9" s="121">
        <v>0.7</v>
      </c>
      <c r="D9" s="96">
        <v>1</v>
      </c>
      <c r="E9" s="96">
        <v>0</v>
      </c>
      <c r="F9" s="96">
        <v>0.25</v>
      </c>
      <c r="G9" s="96">
        <v>0</v>
      </c>
      <c r="H9" s="96">
        <v>0</v>
      </c>
      <c r="I9" s="96">
        <v>1</v>
      </c>
      <c r="J9" s="96">
        <v>0.5</v>
      </c>
      <c r="K9" s="96">
        <v>0</v>
      </c>
      <c r="L9" s="96">
        <v>0</v>
      </c>
      <c r="M9" s="122">
        <f t="shared" si="1"/>
        <v>0.99</v>
      </c>
      <c r="P9" s="96">
        <f t="shared" si="0"/>
        <v>0</v>
      </c>
      <c r="U9" s="96">
        <v>1</v>
      </c>
      <c r="V9" s="96">
        <v>1</v>
      </c>
      <c r="W9" s="96">
        <v>1</v>
      </c>
      <c r="X9" s="96">
        <v>1</v>
      </c>
      <c r="Y9" s="96">
        <v>1</v>
      </c>
      <c r="Z9" s="96">
        <v>1</v>
      </c>
      <c r="AA9" s="96">
        <v>1</v>
      </c>
      <c r="AB9" s="96">
        <v>1</v>
      </c>
      <c r="AD9" s="96">
        <v>1</v>
      </c>
      <c r="AE9" s="96">
        <v>1</v>
      </c>
      <c r="AF9" s="96">
        <v>1</v>
      </c>
    </row>
    <row r="10" spans="1:32" ht="15">
      <c r="A10" s="110" t="s">
        <v>119</v>
      </c>
      <c r="B10" s="96" t="s">
        <v>120</v>
      </c>
      <c r="D10" s="96">
        <v>1</v>
      </c>
      <c r="E10" s="96">
        <v>0</v>
      </c>
      <c r="F10" s="96">
        <v>0.25</v>
      </c>
      <c r="G10" s="96">
        <v>0</v>
      </c>
      <c r="H10" s="96">
        <v>0</v>
      </c>
      <c r="I10" s="96">
        <v>1</v>
      </c>
      <c r="J10" s="96">
        <v>0.5</v>
      </c>
      <c r="K10" s="96">
        <v>0</v>
      </c>
      <c r="L10" s="96">
        <v>0</v>
      </c>
      <c r="M10" s="122">
        <f t="shared" si="1"/>
        <v>0.91</v>
      </c>
      <c r="P10" s="96">
        <f t="shared" si="0"/>
        <v>0</v>
      </c>
      <c r="U10" s="96">
        <v>1</v>
      </c>
      <c r="V10" s="96">
        <v>1</v>
      </c>
      <c r="W10" s="96">
        <v>1</v>
      </c>
      <c r="X10" s="96">
        <v>1</v>
      </c>
      <c r="Y10" s="96">
        <v>1</v>
      </c>
      <c r="Z10" s="96">
        <v>1</v>
      </c>
      <c r="AA10" s="96">
        <v>0.9</v>
      </c>
      <c r="AB10" s="96">
        <v>1</v>
      </c>
      <c r="AD10" s="96">
        <v>0</v>
      </c>
      <c r="AE10" s="96">
        <v>1</v>
      </c>
      <c r="AF10" s="96">
        <v>1</v>
      </c>
    </row>
    <row r="11" spans="1:32" ht="15">
      <c r="A11" s="110" t="s">
        <v>121</v>
      </c>
      <c r="B11" s="96" t="s">
        <v>122</v>
      </c>
      <c r="D11" s="96">
        <v>1</v>
      </c>
      <c r="E11" s="96">
        <v>0</v>
      </c>
      <c r="F11" s="96">
        <v>0.25</v>
      </c>
      <c r="G11" s="96">
        <v>0</v>
      </c>
      <c r="H11" s="96">
        <v>0</v>
      </c>
      <c r="I11" s="96">
        <v>1</v>
      </c>
      <c r="J11" s="96">
        <v>0</v>
      </c>
      <c r="K11" s="96">
        <v>0</v>
      </c>
      <c r="L11" s="96">
        <v>0</v>
      </c>
      <c r="M11" s="122">
        <f t="shared" si="1"/>
        <v>0.89</v>
      </c>
      <c r="P11" s="96">
        <f t="shared" si="0"/>
        <v>0</v>
      </c>
      <c r="U11" s="96">
        <v>1</v>
      </c>
      <c r="V11" s="96">
        <v>1</v>
      </c>
      <c r="W11" s="96">
        <v>1</v>
      </c>
      <c r="X11" s="96">
        <v>1</v>
      </c>
      <c r="Y11" s="96">
        <v>1</v>
      </c>
      <c r="Z11" s="96">
        <v>1</v>
      </c>
      <c r="AA11" s="96">
        <v>0.9</v>
      </c>
      <c r="AB11" s="96">
        <v>1</v>
      </c>
      <c r="AD11" s="96">
        <v>0</v>
      </c>
      <c r="AE11" s="96">
        <v>0</v>
      </c>
      <c r="AF11" s="96">
        <v>1</v>
      </c>
    </row>
    <row r="12" spans="1:32" ht="15">
      <c r="A12" s="110" t="s">
        <v>123</v>
      </c>
      <c r="B12" s="96" t="s">
        <v>124</v>
      </c>
      <c r="C12" s="121">
        <v>0.7</v>
      </c>
      <c r="D12" s="96">
        <v>1</v>
      </c>
      <c r="E12" s="96">
        <v>0</v>
      </c>
      <c r="F12" s="96">
        <v>0</v>
      </c>
      <c r="G12" s="96">
        <v>0</v>
      </c>
      <c r="H12" s="96">
        <v>0</v>
      </c>
      <c r="I12" s="96">
        <v>1</v>
      </c>
      <c r="J12" s="96">
        <v>0</v>
      </c>
      <c r="K12" s="96">
        <v>0</v>
      </c>
      <c r="L12" s="96">
        <v>0</v>
      </c>
      <c r="M12" s="122">
        <f t="shared" si="1"/>
        <v>0.26</v>
      </c>
      <c r="P12" s="96">
        <f t="shared" si="0"/>
        <v>0</v>
      </c>
      <c r="U12" s="96">
        <v>0.5</v>
      </c>
      <c r="V12" s="96">
        <v>0.125</v>
      </c>
      <c r="W12" s="96">
        <v>1</v>
      </c>
      <c r="X12" s="96">
        <v>0.5</v>
      </c>
      <c r="Y12" s="96">
        <v>0.25</v>
      </c>
      <c r="Z12" s="96">
        <v>0</v>
      </c>
      <c r="AA12" s="96">
        <v>0.25</v>
      </c>
      <c r="AB12" s="96">
        <v>0.3</v>
      </c>
      <c r="AD12" s="96">
        <v>0</v>
      </c>
      <c r="AE12" s="96">
        <v>0</v>
      </c>
      <c r="AF12" s="96">
        <v>1</v>
      </c>
    </row>
    <row r="13" spans="1:34" ht="15.75">
      <c r="A13" s="96">
        <v>0</v>
      </c>
      <c r="U13" s="89">
        <v>4000</v>
      </c>
      <c r="V13" s="89">
        <v>800</v>
      </c>
      <c r="W13" s="89">
        <v>5000</v>
      </c>
      <c r="X13" s="89">
        <v>2000</v>
      </c>
      <c r="Y13" s="89">
        <v>2000</v>
      </c>
      <c r="Z13" s="89">
        <v>2000</v>
      </c>
      <c r="AA13" s="89">
        <v>23000</v>
      </c>
      <c r="AB13" s="89">
        <v>3000</v>
      </c>
      <c r="AC13" s="89"/>
      <c r="AD13" s="89">
        <v>1225</v>
      </c>
      <c r="AE13" s="89">
        <v>810</v>
      </c>
      <c r="AF13" s="89">
        <v>2000</v>
      </c>
      <c r="AG13" s="89"/>
      <c r="AH13" s="89"/>
    </row>
    <row r="14" spans="1:34" ht="15.75">
      <c r="A14" s="59" t="s">
        <v>125</v>
      </c>
      <c r="P14" s="123"/>
      <c r="R14" s="110" t="s">
        <v>126</v>
      </c>
      <c r="S14" s="110" t="s">
        <v>127</v>
      </c>
      <c r="T14" s="110"/>
      <c r="U14" s="89">
        <f>U13*$U$3</f>
        <v>4072</v>
      </c>
      <c r="V14" s="89">
        <f aca="true" t="shared" si="2" ref="V14:AH14">V13*$U$3</f>
        <v>814.4</v>
      </c>
      <c r="W14" s="89">
        <f t="shared" si="2"/>
        <v>5090</v>
      </c>
      <c r="X14" s="89">
        <f t="shared" si="2"/>
        <v>2036</v>
      </c>
      <c r="Y14" s="89">
        <f t="shared" si="2"/>
        <v>2036</v>
      </c>
      <c r="Z14" s="89">
        <f t="shared" si="2"/>
        <v>2036</v>
      </c>
      <c r="AA14" s="89">
        <f t="shared" si="2"/>
        <v>23414</v>
      </c>
      <c r="AB14" s="89">
        <f t="shared" si="2"/>
        <v>3054</v>
      </c>
      <c r="AC14" s="89"/>
      <c r="AD14" s="89">
        <f t="shared" si="2"/>
        <v>1247.05</v>
      </c>
      <c r="AE14" s="89">
        <f t="shared" si="2"/>
        <v>824.58</v>
      </c>
      <c r="AF14" s="89">
        <f t="shared" si="2"/>
        <v>2036</v>
      </c>
      <c r="AG14" s="89">
        <f t="shared" si="2"/>
        <v>0</v>
      </c>
      <c r="AH14" s="89">
        <f t="shared" si="2"/>
        <v>0</v>
      </c>
    </row>
    <row r="15" spans="1:34" ht="15">
      <c r="A15" s="110" t="s">
        <v>112</v>
      </c>
      <c r="B15" s="96" t="s">
        <v>113</v>
      </c>
      <c r="C15" s="121">
        <v>0.3</v>
      </c>
      <c r="D15" s="113">
        <f aca="true" t="shared" si="3" ref="D15:D20">D$4*D6</f>
        <v>57485.50057800001</v>
      </c>
      <c r="E15" s="113">
        <f aca="true" t="shared" si="4" ref="E15:L15">E$4*E6</f>
        <v>47607.00888239999</v>
      </c>
      <c r="F15" s="113">
        <f t="shared" si="4"/>
        <v>27505.575</v>
      </c>
      <c r="G15" s="113">
        <f t="shared" si="4"/>
        <v>26912.590880400006</v>
      </c>
      <c r="H15" s="113">
        <f t="shared" si="4"/>
        <v>12713.6157687</v>
      </c>
      <c r="I15" s="113">
        <f t="shared" si="4"/>
        <v>25427.2315374</v>
      </c>
      <c r="J15" s="113">
        <f t="shared" si="4"/>
        <v>21840.80338935</v>
      </c>
      <c r="K15" s="113">
        <f t="shared" si="4"/>
        <v>25427.2315374</v>
      </c>
      <c r="L15" s="113">
        <f t="shared" si="4"/>
        <v>20401.210293750002</v>
      </c>
      <c r="M15" s="113">
        <f>AG15</f>
        <v>49833.136000000006</v>
      </c>
      <c r="N15" s="111">
        <f aca="true" t="shared" si="5" ref="N15:N21">SUM(D15:M15)</f>
        <v>315153.9038674</v>
      </c>
      <c r="O15" s="124"/>
      <c r="P15" s="125"/>
      <c r="Q15" s="113">
        <f>N15</f>
        <v>315153.9038674</v>
      </c>
      <c r="R15" s="113">
        <v>304500</v>
      </c>
      <c r="S15" s="111">
        <f aca="true" t="shared" si="6" ref="S15:S21">Q15-R15</f>
        <v>10653.903867400018</v>
      </c>
      <c r="T15" s="111"/>
      <c r="U15" s="96">
        <f aca="true" t="shared" si="7" ref="U15:AB21">U$14*U6</f>
        <v>5090</v>
      </c>
      <c r="V15" s="96">
        <f t="shared" si="7"/>
        <v>814.4</v>
      </c>
      <c r="W15" s="96">
        <f t="shared" si="7"/>
        <v>0</v>
      </c>
      <c r="X15" s="96">
        <f t="shared" si="7"/>
        <v>3054</v>
      </c>
      <c r="Y15" s="96">
        <f t="shared" si="7"/>
        <v>2036</v>
      </c>
      <c r="Z15" s="96">
        <f t="shared" si="7"/>
        <v>2036</v>
      </c>
      <c r="AA15" s="96">
        <f t="shared" si="7"/>
        <v>26926.1</v>
      </c>
      <c r="AB15" s="96">
        <f t="shared" si="7"/>
        <v>5191.8</v>
      </c>
      <c r="AC15" s="96">
        <f aca="true" t="shared" si="8" ref="AC15:AC21">SUM(U15:AB15)</f>
        <v>45148.3</v>
      </c>
      <c r="AD15" s="96">
        <f aca="true" t="shared" si="9" ref="AD15:AF21">AD$14*AD6</f>
        <v>1247.05</v>
      </c>
      <c r="AE15" s="96">
        <f t="shared" si="9"/>
        <v>1401.786</v>
      </c>
      <c r="AF15" s="96">
        <f t="shared" si="9"/>
        <v>2036</v>
      </c>
      <c r="AG15" s="96">
        <f aca="true" t="shared" si="10" ref="AG15:AG21">SUM(AC15:AF15)</f>
        <v>49833.136000000006</v>
      </c>
      <c r="AH15" s="126">
        <f aca="true" t="shared" si="11" ref="AH15:AH21">AG15/AG$16</f>
        <v>1.0549545278220767</v>
      </c>
    </row>
    <row r="16" spans="1:34" ht="15">
      <c r="A16" s="110" t="s">
        <v>114</v>
      </c>
      <c r="B16" s="96" t="s">
        <v>115</v>
      </c>
      <c r="D16" s="113">
        <f t="shared" si="3"/>
        <v>57485.50057800001</v>
      </c>
      <c r="E16" s="113">
        <f aca="true" t="shared" si="12" ref="E16:L20">E$4*E7</f>
        <v>47607.00888239999</v>
      </c>
      <c r="F16" s="113">
        <f t="shared" si="12"/>
        <v>13752.7875</v>
      </c>
      <c r="G16" s="113">
        <f t="shared" si="12"/>
        <v>26912.590880400006</v>
      </c>
      <c r="H16" s="113">
        <f t="shared" si="12"/>
        <v>12713.6157687</v>
      </c>
      <c r="I16" s="113">
        <f t="shared" si="12"/>
        <v>25427.2315374</v>
      </c>
      <c r="J16" s="113">
        <f t="shared" si="12"/>
        <v>10920.401694675</v>
      </c>
      <c r="K16" s="113">
        <f t="shared" si="12"/>
        <v>0</v>
      </c>
      <c r="L16" s="113">
        <f t="shared" si="12"/>
        <v>20401.210293750002</v>
      </c>
      <c r="M16" s="113">
        <f aca="true" t="shared" si="13" ref="M16:M21">AG16</f>
        <v>47237.236000000004</v>
      </c>
      <c r="N16" s="111">
        <f t="shared" si="5"/>
        <v>262457.583135325</v>
      </c>
      <c r="O16" s="124"/>
      <c r="P16" s="125"/>
      <c r="Q16" s="113">
        <f aca="true" t="shared" si="14" ref="Q16:Q21">N16</f>
        <v>262457.583135325</v>
      </c>
      <c r="R16" s="113">
        <v>253750</v>
      </c>
      <c r="S16" s="111">
        <f t="shared" si="6"/>
        <v>8707.583135324996</v>
      </c>
      <c r="T16" s="111"/>
      <c r="U16" s="96">
        <f t="shared" si="7"/>
        <v>4072</v>
      </c>
      <c r="V16" s="96">
        <f t="shared" si="7"/>
        <v>814.4</v>
      </c>
      <c r="W16" s="96">
        <f t="shared" si="7"/>
        <v>5090</v>
      </c>
      <c r="X16" s="96">
        <f t="shared" si="7"/>
        <v>2036</v>
      </c>
      <c r="Y16" s="96">
        <f t="shared" si="7"/>
        <v>2036</v>
      </c>
      <c r="Z16" s="96">
        <f t="shared" si="7"/>
        <v>2036</v>
      </c>
      <c r="AA16" s="96">
        <f t="shared" si="7"/>
        <v>23414</v>
      </c>
      <c r="AB16" s="96">
        <f t="shared" si="7"/>
        <v>3054</v>
      </c>
      <c r="AC16" s="96">
        <f t="shared" si="8"/>
        <v>42552.4</v>
      </c>
      <c r="AD16" s="96">
        <f t="shared" si="9"/>
        <v>1247.05</v>
      </c>
      <c r="AE16" s="96">
        <f t="shared" si="9"/>
        <v>1401.786</v>
      </c>
      <c r="AF16" s="96">
        <f t="shared" si="9"/>
        <v>2036</v>
      </c>
      <c r="AG16" s="96">
        <f t="shared" si="10"/>
        <v>47237.236000000004</v>
      </c>
      <c r="AH16" s="126">
        <f t="shared" si="11"/>
        <v>1</v>
      </c>
    </row>
    <row r="17" spans="1:34" ht="15">
      <c r="A17" s="110" t="s">
        <v>116</v>
      </c>
      <c r="B17" s="96" t="s">
        <v>117</v>
      </c>
      <c r="C17" s="121">
        <v>0.3</v>
      </c>
      <c r="D17" s="113">
        <f t="shared" si="3"/>
        <v>57485.50057800001</v>
      </c>
      <c r="E17" s="113">
        <f t="shared" si="12"/>
        <v>0</v>
      </c>
      <c r="F17" s="113">
        <f t="shared" si="12"/>
        <v>13752.7875</v>
      </c>
      <c r="G17" s="113">
        <f t="shared" si="12"/>
        <v>0</v>
      </c>
      <c r="H17" s="113">
        <f t="shared" si="12"/>
        <v>0</v>
      </c>
      <c r="I17" s="113">
        <f t="shared" si="12"/>
        <v>25427.2315374</v>
      </c>
      <c r="J17" s="113">
        <f t="shared" si="12"/>
        <v>10920.401694675</v>
      </c>
      <c r="K17" s="113">
        <f t="shared" si="12"/>
        <v>0</v>
      </c>
      <c r="L17" s="113">
        <f t="shared" si="12"/>
        <v>0</v>
      </c>
      <c r="M17" s="113">
        <f t="shared" si="13"/>
        <v>46660.030000000006</v>
      </c>
      <c r="N17" s="111">
        <f t="shared" si="5"/>
        <v>154245.95131007503</v>
      </c>
      <c r="O17" s="124"/>
      <c r="P17" s="125"/>
      <c r="Q17" s="113">
        <f t="shared" si="14"/>
        <v>154245.95131007503</v>
      </c>
      <c r="R17" s="113">
        <v>145000</v>
      </c>
      <c r="S17" s="111">
        <f t="shared" si="6"/>
        <v>9245.951310075034</v>
      </c>
      <c r="T17" s="111"/>
      <c r="U17" s="96">
        <f t="shared" si="7"/>
        <v>4072</v>
      </c>
      <c r="V17" s="96">
        <f t="shared" si="7"/>
        <v>814.4</v>
      </c>
      <c r="W17" s="96">
        <f t="shared" si="7"/>
        <v>5090</v>
      </c>
      <c r="X17" s="96">
        <f t="shared" si="7"/>
        <v>2036</v>
      </c>
      <c r="Y17" s="96">
        <f t="shared" si="7"/>
        <v>2036</v>
      </c>
      <c r="Z17" s="96">
        <f t="shared" si="7"/>
        <v>2036</v>
      </c>
      <c r="AA17" s="96">
        <f t="shared" si="7"/>
        <v>23414</v>
      </c>
      <c r="AB17" s="96">
        <f t="shared" si="7"/>
        <v>3054</v>
      </c>
      <c r="AC17" s="96">
        <f t="shared" si="8"/>
        <v>42552.4</v>
      </c>
      <c r="AD17" s="96">
        <f t="shared" si="9"/>
        <v>1247.05</v>
      </c>
      <c r="AE17" s="96">
        <f t="shared" si="9"/>
        <v>824.58</v>
      </c>
      <c r="AF17" s="96">
        <f t="shared" si="9"/>
        <v>2036</v>
      </c>
      <c r="AG17" s="96">
        <f t="shared" si="10"/>
        <v>46660.030000000006</v>
      </c>
      <c r="AH17" s="126">
        <f t="shared" si="11"/>
        <v>0.9877806991077971</v>
      </c>
    </row>
    <row r="18" spans="1:34" ht="15">
      <c r="A18" s="110" t="s">
        <v>118</v>
      </c>
      <c r="B18" s="96" t="s">
        <v>117</v>
      </c>
      <c r="C18" s="121">
        <v>0.7</v>
      </c>
      <c r="D18" s="113">
        <f t="shared" si="3"/>
        <v>57485.50057800001</v>
      </c>
      <c r="E18" s="113">
        <f t="shared" si="12"/>
        <v>0</v>
      </c>
      <c r="F18" s="113">
        <f t="shared" si="12"/>
        <v>13752.7875</v>
      </c>
      <c r="G18" s="113">
        <f t="shared" si="12"/>
        <v>0</v>
      </c>
      <c r="H18" s="113">
        <f t="shared" si="12"/>
        <v>0</v>
      </c>
      <c r="I18" s="113">
        <f t="shared" si="12"/>
        <v>25427.2315374</v>
      </c>
      <c r="J18" s="113">
        <f t="shared" si="12"/>
        <v>10920.401694675</v>
      </c>
      <c r="K18" s="113">
        <f t="shared" si="12"/>
        <v>0</v>
      </c>
      <c r="L18" s="113">
        <f t="shared" si="12"/>
        <v>0</v>
      </c>
      <c r="M18" s="113">
        <f t="shared" si="13"/>
        <v>46660.030000000006</v>
      </c>
      <c r="N18" s="111">
        <f t="shared" si="5"/>
        <v>154245.95131007503</v>
      </c>
      <c r="O18" s="124"/>
      <c r="P18" s="125"/>
      <c r="Q18" s="113">
        <f t="shared" si="14"/>
        <v>154245.95131007503</v>
      </c>
      <c r="R18" s="113">
        <f>R17</f>
        <v>145000</v>
      </c>
      <c r="S18" s="111">
        <f t="shared" si="6"/>
        <v>9245.951310075034</v>
      </c>
      <c r="T18" s="111"/>
      <c r="U18" s="96">
        <f t="shared" si="7"/>
        <v>4072</v>
      </c>
      <c r="V18" s="96">
        <f t="shared" si="7"/>
        <v>814.4</v>
      </c>
      <c r="W18" s="96">
        <f t="shared" si="7"/>
        <v>5090</v>
      </c>
      <c r="X18" s="96">
        <f t="shared" si="7"/>
        <v>2036</v>
      </c>
      <c r="Y18" s="96">
        <f t="shared" si="7"/>
        <v>2036</v>
      </c>
      <c r="Z18" s="96">
        <f t="shared" si="7"/>
        <v>2036</v>
      </c>
      <c r="AA18" s="96">
        <f t="shared" si="7"/>
        <v>23414</v>
      </c>
      <c r="AB18" s="96">
        <f t="shared" si="7"/>
        <v>3054</v>
      </c>
      <c r="AC18" s="96">
        <f t="shared" si="8"/>
        <v>42552.4</v>
      </c>
      <c r="AD18" s="96">
        <f t="shared" si="9"/>
        <v>1247.05</v>
      </c>
      <c r="AE18" s="96">
        <f t="shared" si="9"/>
        <v>824.58</v>
      </c>
      <c r="AF18" s="96">
        <f t="shared" si="9"/>
        <v>2036</v>
      </c>
      <c r="AG18" s="96">
        <f t="shared" si="10"/>
        <v>46660.030000000006</v>
      </c>
      <c r="AH18" s="126">
        <f t="shared" si="11"/>
        <v>0.9877806991077971</v>
      </c>
    </row>
    <row r="19" spans="1:34" ht="15">
      <c r="A19" s="110" t="s">
        <v>119</v>
      </c>
      <c r="B19" s="96" t="s">
        <v>120</v>
      </c>
      <c r="D19" s="113">
        <f t="shared" si="3"/>
        <v>57485.50057800001</v>
      </c>
      <c r="E19" s="113">
        <f t="shared" si="12"/>
        <v>0</v>
      </c>
      <c r="F19" s="113">
        <f t="shared" si="12"/>
        <v>13752.7875</v>
      </c>
      <c r="G19" s="113">
        <f t="shared" si="12"/>
        <v>0</v>
      </c>
      <c r="H19" s="113">
        <f t="shared" si="12"/>
        <v>0</v>
      </c>
      <c r="I19" s="113">
        <f t="shared" si="12"/>
        <v>25427.2315374</v>
      </c>
      <c r="J19" s="113">
        <f t="shared" si="12"/>
        <v>10920.401694675</v>
      </c>
      <c r="K19" s="113">
        <f t="shared" si="12"/>
        <v>0</v>
      </c>
      <c r="L19" s="113">
        <f t="shared" si="12"/>
        <v>0</v>
      </c>
      <c r="M19" s="113">
        <f t="shared" si="13"/>
        <v>43071.58</v>
      </c>
      <c r="N19" s="111">
        <f t="shared" si="5"/>
        <v>150657.50131007502</v>
      </c>
      <c r="O19" s="124"/>
      <c r="P19" s="125"/>
      <c r="Q19" s="113">
        <f t="shared" si="14"/>
        <v>150657.50131007502</v>
      </c>
      <c r="R19" s="113">
        <f>R18</f>
        <v>145000</v>
      </c>
      <c r="S19" s="111">
        <f t="shared" si="6"/>
        <v>5657.501310075022</v>
      </c>
      <c r="T19" s="111"/>
      <c r="U19" s="96">
        <f t="shared" si="7"/>
        <v>4072</v>
      </c>
      <c r="V19" s="96">
        <f t="shared" si="7"/>
        <v>814.4</v>
      </c>
      <c r="W19" s="96">
        <f t="shared" si="7"/>
        <v>5090</v>
      </c>
      <c r="X19" s="96">
        <f t="shared" si="7"/>
        <v>2036</v>
      </c>
      <c r="Y19" s="96">
        <f t="shared" si="7"/>
        <v>2036</v>
      </c>
      <c r="Z19" s="96">
        <f t="shared" si="7"/>
        <v>2036</v>
      </c>
      <c r="AA19" s="96">
        <f t="shared" si="7"/>
        <v>21072.600000000002</v>
      </c>
      <c r="AB19" s="96">
        <f t="shared" si="7"/>
        <v>3054</v>
      </c>
      <c r="AC19" s="96">
        <f t="shared" si="8"/>
        <v>40211</v>
      </c>
      <c r="AD19" s="96">
        <f t="shared" si="9"/>
        <v>0</v>
      </c>
      <c r="AE19" s="96">
        <f t="shared" si="9"/>
        <v>824.58</v>
      </c>
      <c r="AF19" s="96">
        <f t="shared" si="9"/>
        <v>2036</v>
      </c>
      <c r="AG19" s="96">
        <f t="shared" si="10"/>
        <v>43071.58</v>
      </c>
      <c r="AH19" s="126">
        <f t="shared" si="11"/>
        <v>0.9118141459419852</v>
      </c>
    </row>
    <row r="20" spans="1:34" ht="15">
      <c r="A20" s="110" t="s">
        <v>121</v>
      </c>
      <c r="B20" s="96" t="str">
        <f>B11</f>
        <v>Primary School - no childcare - renting</v>
      </c>
      <c r="D20" s="113">
        <f t="shared" si="3"/>
        <v>57485.50057800001</v>
      </c>
      <c r="E20" s="113">
        <f t="shared" si="12"/>
        <v>0</v>
      </c>
      <c r="F20" s="113">
        <f t="shared" si="12"/>
        <v>13752.7875</v>
      </c>
      <c r="G20" s="113">
        <f t="shared" si="12"/>
        <v>0</v>
      </c>
      <c r="H20" s="113">
        <f t="shared" si="12"/>
        <v>0</v>
      </c>
      <c r="I20" s="113">
        <f t="shared" si="12"/>
        <v>25427.2315374</v>
      </c>
      <c r="J20" s="113">
        <f t="shared" si="12"/>
        <v>0</v>
      </c>
      <c r="K20" s="113">
        <f t="shared" si="12"/>
        <v>0</v>
      </c>
      <c r="L20" s="113">
        <f t="shared" si="12"/>
        <v>0</v>
      </c>
      <c r="M20" s="113">
        <f t="shared" si="13"/>
        <v>42247</v>
      </c>
      <c r="N20" s="111">
        <f>SUM(D20:M20)</f>
        <v>138912.5196154</v>
      </c>
      <c r="O20" s="124"/>
      <c r="P20" s="125"/>
      <c r="Q20" s="113">
        <f t="shared" si="14"/>
        <v>138912.5196154</v>
      </c>
      <c r="R20" s="113">
        <f>R19</f>
        <v>145000</v>
      </c>
      <c r="S20" s="111">
        <f t="shared" si="6"/>
        <v>-6087.4803845999995</v>
      </c>
      <c r="T20" s="111"/>
      <c r="U20" s="96">
        <f t="shared" si="7"/>
        <v>4072</v>
      </c>
      <c r="V20" s="96">
        <f t="shared" si="7"/>
        <v>814.4</v>
      </c>
      <c r="W20" s="96">
        <f t="shared" si="7"/>
        <v>5090</v>
      </c>
      <c r="X20" s="96">
        <f t="shared" si="7"/>
        <v>2036</v>
      </c>
      <c r="Y20" s="96">
        <f t="shared" si="7"/>
        <v>2036</v>
      </c>
      <c r="Z20" s="96">
        <f t="shared" si="7"/>
        <v>2036</v>
      </c>
      <c r="AA20" s="96">
        <f t="shared" si="7"/>
        <v>21072.600000000002</v>
      </c>
      <c r="AB20" s="96">
        <f t="shared" si="7"/>
        <v>3054</v>
      </c>
      <c r="AC20" s="96">
        <f>SUM(U20:AB20)</f>
        <v>40211</v>
      </c>
      <c r="AD20" s="96">
        <f t="shared" si="9"/>
        <v>0</v>
      </c>
      <c r="AE20" s="96">
        <f t="shared" si="9"/>
        <v>0</v>
      </c>
      <c r="AF20" s="96">
        <f t="shared" si="9"/>
        <v>2036</v>
      </c>
      <c r="AG20" s="96">
        <f>SUM(AC20:AF20)</f>
        <v>42247</v>
      </c>
      <c r="AH20" s="126">
        <f t="shared" si="11"/>
        <v>0.8943580018102667</v>
      </c>
    </row>
    <row r="21" spans="1:34" ht="15">
      <c r="A21" s="110" t="s">
        <v>123</v>
      </c>
      <c r="B21" s="96" t="s">
        <v>128</v>
      </c>
      <c r="C21" s="121">
        <v>0.7</v>
      </c>
      <c r="D21" s="113">
        <f aca="true" t="shared" si="15" ref="D21:L21">D$4*D12</f>
        <v>57485.50057800001</v>
      </c>
      <c r="E21" s="113">
        <f t="shared" si="15"/>
        <v>0</v>
      </c>
      <c r="F21" s="113">
        <f t="shared" si="15"/>
        <v>0</v>
      </c>
      <c r="G21" s="113">
        <f t="shared" si="15"/>
        <v>0</v>
      </c>
      <c r="H21" s="113">
        <f t="shared" si="15"/>
        <v>0</v>
      </c>
      <c r="I21" s="113">
        <f t="shared" si="15"/>
        <v>25427.2315374</v>
      </c>
      <c r="J21" s="113">
        <f t="shared" si="15"/>
        <v>0</v>
      </c>
      <c r="K21" s="113">
        <f t="shared" si="15"/>
        <v>0</v>
      </c>
      <c r="L21" s="113">
        <f t="shared" si="15"/>
        <v>0</v>
      </c>
      <c r="M21" s="113">
        <f t="shared" si="13"/>
        <v>12470.5</v>
      </c>
      <c r="N21" s="111">
        <f t="shared" si="5"/>
        <v>95383.23211540001</v>
      </c>
      <c r="O21" s="124"/>
      <c r="P21" s="125"/>
      <c r="Q21" s="113">
        <f t="shared" si="14"/>
        <v>95383.23211540001</v>
      </c>
      <c r="R21" s="113">
        <v>94250</v>
      </c>
      <c r="S21" s="111">
        <f t="shared" si="6"/>
        <v>1133.2321154000092</v>
      </c>
      <c r="T21" s="111"/>
      <c r="U21" s="96">
        <f t="shared" si="7"/>
        <v>2036</v>
      </c>
      <c r="V21" s="96">
        <f t="shared" si="7"/>
        <v>101.8</v>
      </c>
      <c r="W21" s="96">
        <v>0</v>
      </c>
      <c r="X21" s="96">
        <f t="shared" si="7"/>
        <v>1018</v>
      </c>
      <c r="Y21" s="96">
        <f t="shared" si="7"/>
        <v>509</v>
      </c>
      <c r="Z21" s="96">
        <f t="shared" si="7"/>
        <v>0</v>
      </c>
      <c r="AA21" s="96">
        <f t="shared" si="7"/>
        <v>5853.5</v>
      </c>
      <c r="AB21" s="96">
        <f t="shared" si="7"/>
        <v>916.1999999999999</v>
      </c>
      <c r="AC21" s="96">
        <f t="shared" si="8"/>
        <v>10434.5</v>
      </c>
      <c r="AD21" s="96">
        <f t="shared" si="9"/>
        <v>0</v>
      </c>
      <c r="AE21" s="96">
        <f t="shared" si="9"/>
        <v>0</v>
      </c>
      <c r="AF21" s="96">
        <f t="shared" si="9"/>
        <v>2036</v>
      </c>
      <c r="AG21" s="96">
        <f t="shared" si="10"/>
        <v>12470.5</v>
      </c>
      <c r="AH21" s="126">
        <f t="shared" si="11"/>
        <v>0.26399724149821124</v>
      </c>
    </row>
    <row r="22" spans="1:16" ht="15">
      <c r="A22" s="96">
        <v>0</v>
      </c>
      <c r="P22" s="123"/>
    </row>
    <row r="23" ht="15">
      <c r="A23" s="127" t="s">
        <v>245</v>
      </c>
    </row>
  </sheetData>
  <mergeCells count="2">
    <mergeCell ref="A3:C3"/>
    <mergeCell ref="U4:AB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28"/>
  <sheetViews>
    <sheetView zoomScale="70" zoomScaleNormal="70" workbookViewId="0" topLeftCell="A1">
      <pane xSplit="2" ySplit="7" topLeftCell="C8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9.140625" defaultRowHeight="12.75"/>
  <cols>
    <col min="1" max="1" width="6.00390625" style="96" bestFit="1" customWidth="1"/>
    <col min="2" max="2" width="25.00390625" style="96" bestFit="1" customWidth="1"/>
    <col min="3" max="3" width="5.421875" style="96" bestFit="1" customWidth="1"/>
    <col min="4" max="4" width="14.140625" style="96" bestFit="1" customWidth="1"/>
    <col min="5" max="8" width="12.28125" style="96" bestFit="1" customWidth="1"/>
    <col min="9" max="9" width="11.00390625" style="96" bestFit="1" customWidth="1"/>
    <col min="10" max="10" width="11.421875" style="96" customWidth="1"/>
    <col min="11" max="11" width="12.28125" style="96" bestFit="1" customWidth="1"/>
    <col min="12" max="12" width="11.00390625" style="96" bestFit="1" customWidth="1"/>
    <col min="13" max="14" width="12.28125" style="96" bestFit="1" customWidth="1"/>
    <col min="15" max="16" width="11.57421875" style="96" bestFit="1" customWidth="1"/>
    <col min="17" max="17" width="11.421875" style="96" customWidth="1"/>
    <col min="18" max="18" width="14.57421875" style="96" bestFit="1" customWidth="1"/>
    <col min="19" max="19" width="11.421875" style="96" customWidth="1"/>
    <col min="20" max="21" width="14.140625" style="96" bestFit="1" customWidth="1"/>
    <col min="22" max="22" width="15.421875" style="96" bestFit="1" customWidth="1"/>
    <col min="23" max="23" width="14.140625" style="96" bestFit="1" customWidth="1"/>
    <col min="24" max="24" width="15.421875" style="96" hidden="1" customWidth="1"/>
    <col min="25" max="27" width="14.140625" style="96" hidden="1" customWidth="1"/>
    <col min="28" max="28" width="12.28125" style="96" hidden="1" customWidth="1"/>
    <col min="29" max="29" width="0" style="96" hidden="1" customWidth="1"/>
    <col min="30" max="30" width="13.421875" style="96" hidden="1" customWidth="1"/>
    <col min="31" max="31" width="12.28125" style="96" hidden="1" customWidth="1"/>
    <col min="32" max="16384" width="11.421875" style="96" customWidth="1"/>
  </cols>
  <sheetData>
    <row r="1" spans="2:70" ht="15">
      <c r="B1" s="96">
        <v>2</v>
      </c>
      <c r="C1" s="96">
        <v>3</v>
      </c>
      <c r="D1" s="96">
        <v>4</v>
      </c>
      <c r="E1" s="96">
        <v>5</v>
      </c>
      <c r="F1" s="96">
        <v>6</v>
      </c>
      <c r="G1" s="96">
        <v>7</v>
      </c>
      <c r="H1" s="96">
        <v>8</v>
      </c>
      <c r="I1" s="96">
        <v>9</v>
      </c>
      <c r="J1" s="96">
        <v>10</v>
      </c>
      <c r="K1" s="96">
        <v>11</v>
      </c>
      <c r="L1" s="96">
        <v>12</v>
      </c>
      <c r="M1" s="96">
        <v>13</v>
      </c>
      <c r="N1" s="96">
        <v>14</v>
      </c>
      <c r="O1" s="96">
        <v>15</v>
      </c>
      <c r="P1" s="96">
        <v>16</v>
      </c>
      <c r="Q1" s="96">
        <v>17</v>
      </c>
      <c r="R1" s="96">
        <v>18</v>
      </c>
      <c r="S1" s="96">
        <v>19</v>
      </c>
      <c r="T1" s="96">
        <v>20</v>
      </c>
      <c r="U1" s="96">
        <v>21</v>
      </c>
      <c r="V1" s="96">
        <v>22</v>
      </c>
      <c r="W1" s="96">
        <v>23</v>
      </c>
      <c r="X1" s="96">
        <v>24</v>
      </c>
      <c r="Y1" s="96">
        <v>25</v>
      </c>
      <c r="Z1" s="96">
        <v>26</v>
      </c>
      <c r="AA1" s="96">
        <v>27</v>
      </c>
      <c r="AB1" s="96">
        <v>28</v>
      </c>
      <c r="AC1" s="96">
        <v>29</v>
      </c>
      <c r="AD1" s="96">
        <v>30</v>
      </c>
      <c r="AE1" s="96">
        <v>31</v>
      </c>
      <c r="AF1" s="96">
        <v>32</v>
      </c>
      <c r="AG1" s="96">
        <v>33</v>
      </c>
      <c r="AH1" s="96">
        <v>34</v>
      </c>
      <c r="AI1" s="96">
        <v>35</v>
      </c>
      <c r="AJ1" s="96">
        <v>36</v>
      </c>
      <c r="AK1" s="96">
        <v>37</v>
      </c>
      <c r="AL1" s="96">
        <v>38</v>
      </c>
      <c r="AM1" s="96">
        <v>39</v>
      </c>
      <c r="AN1" s="96">
        <v>40</v>
      </c>
      <c r="AO1" s="96">
        <v>41</v>
      </c>
      <c r="AP1" s="96">
        <v>42</v>
      </c>
      <c r="AQ1" s="96">
        <v>43</v>
      </c>
      <c r="AR1" s="96">
        <v>44</v>
      </c>
      <c r="AS1" s="96">
        <v>45</v>
      </c>
      <c r="AT1" s="96">
        <v>46</v>
      </c>
      <c r="AU1" s="96">
        <v>47</v>
      </c>
      <c r="AV1" s="96">
        <v>48</v>
      </c>
      <c r="AW1" s="96">
        <v>49</v>
      </c>
      <c r="AX1" s="96">
        <v>50</v>
      </c>
      <c r="AY1" s="96">
        <v>51</v>
      </c>
      <c r="AZ1" s="96">
        <v>52</v>
      </c>
      <c r="BA1" s="96">
        <v>53</v>
      </c>
      <c r="BB1" s="96">
        <v>54</v>
      </c>
      <c r="BC1" s="96">
        <v>55</v>
      </c>
      <c r="BD1" s="96">
        <v>56</v>
      </c>
      <c r="BE1" s="96">
        <v>57</v>
      </c>
      <c r="BF1" s="96">
        <v>58</v>
      </c>
      <c r="BG1" s="96">
        <v>59</v>
      </c>
      <c r="BH1" s="96">
        <v>60</v>
      </c>
      <c r="BI1" s="96">
        <v>61</v>
      </c>
      <c r="BJ1" s="96">
        <v>62</v>
      </c>
      <c r="BK1" s="96">
        <v>63</v>
      </c>
      <c r="BL1" s="96">
        <v>64</v>
      </c>
      <c r="BM1" s="96">
        <v>65</v>
      </c>
      <c r="BN1" s="96">
        <v>66</v>
      </c>
      <c r="BO1" s="96">
        <v>67</v>
      </c>
      <c r="BP1" s="96">
        <v>68</v>
      </c>
      <c r="BQ1" s="96">
        <v>69</v>
      </c>
      <c r="BR1" s="96">
        <v>70</v>
      </c>
    </row>
    <row r="2" spans="1:5" ht="15.75">
      <c r="A2" s="207" t="s">
        <v>224</v>
      </c>
      <c r="B2" s="207"/>
      <c r="C2" s="207"/>
      <c r="D2" s="207"/>
      <c r="E2" s="207"/>
    </row>
    <row r="3" spans="2:18" ht="15">
      <c r="B3" s="97" t="s">
        <v>130</v>
      </c>
      <c r="D3" s="98">
        <v>24.043126633900002</v>
      </c>
      <c r="E3" s="98">
        <f aca="true" t="shared" si="0" ref="E3:L3">D3</f>
        <v>24.043126633900002</v>
      </c>
      <c r="F3" s="98">
        <f t="shared" si="0"/>
        <v>24.043126633900002</v>
      </c>
      <c r="G3" s="98">
        <f t="shared" si="0"/>
        <v>24.043126633900002</v>
      </c>
      <c r="H3" s="98">
        <f t="shared" si="0"/>
        <v>24.043126633900002</v>
      </c>
      <c r="I3" s="98">
        <f t="shared" si="0"/>
        <v>24.043126633900002</v>
      </c>
      <c r="J3" s="98">
        <f t="shared" si="0"/>
        <v>24.043126633900002</v>
      </c>
      <c r="K3" s="98">
        <f t="shared" si="0"/>
        <v>24.043126633900002</v>
      </c>
      <c r="L3" s="98">
        <f t="shared" si="0"/>
        <v>24.043126633900002</v>
      </c>
      <c r="M3" s="99">
        <v>29507.473596149997</v>
      </c>
      <c r="N3" s="99">
        <f>M3</f>
        <v>29507.473596149997</v>
      </c>
      <c r="O3" s="100">
        <f>25.64*1.5</f>
        <v>38.46</v>
      </c>
      <c r="P3" s="100">
        <v>50</v>
      </c>
      <c r="Q3" s="101" t="s">
        <v>225</v>
      </c>
      <c r="R3" s="99">
        <v>154245.95131007503</v>
      </c>
    </row>
    <row r="4" spans="2:18" ht="15">
      <c r="B4" s="97" t="s">
        <v>226</v>
      </c>
      <c r="D4" s="102">
        <v>6.5</v>
      </c>
      <c r="E4" s="102">
        <v>38</v>
      </c>
      <c r="F4" s="102">
        <v>5</v>
      </c>
      <c r="G4" s="102">
        <v>3.5</v>
      </c>
      <c r="H4" s="102">
        <v>38</v>
      </c>
      <c r="I4" s="102">
        <v>5</v>
      </c>
      <c r="J4" s="102">
        <v>10</v>
      </c>
      <c r="K4" s="102">
        <v>10</v>
      </c>
      <c r="L4" s="98">
        <v>5</v>
      </c>
      <c r="M4" s="99"/>
      <c r="N4" s="99"/>
      <c r="O4" s="100"/>
      <c r="P4" s="100"/>
      <c r="Q4" s="101"/>
      <c r="R4" s="99"/>
    </row>
    <row r="5" spans="2:18" ht="15">
      <c r="B5" s="97" t="s">
        <v>227</v>
      </c>
      <c r="D5" s="103">
        <v>3</v>
      </c>
      <c r="E5" s="103">
        <v>4</v>
      </c>
      <c r="F5" s="103">
        <v>8</v>
      </c>
      <c r="G5" s="103">
        <v>3</v>
      </c>
      <c r="H5" s="103">
        <v>4</v>
      </c>
      <c r="I5" s="103">
        <v>8</v>
      </c>
      <c r="J5" s="103">
        <v>3</v>
      </c>
      <c r="K5" s="103">
        <v>4</v>
      </c>
      <c r="L5" s="103">
        <v>8</v>
      </c>
      <c r="M5" s="99"/>
      <c r="N5" s="99"/>
      <c r="O5" s="100"/>
      <c r="P5" s="100"/>
      <c r="Q5" s="101"/>
      <c r="R5" s="99"/>
    </row>
    <row r="6" spans="4:31" s="104" customFormat="1" ht="26.25" customHeight="1">
      <c r="D6" s="211" t="s">
        <v>186</v>
      </c>
      <c r="E6" s="211"/>
      <c r="F6" s="211"/>
      <c r="G6" s="211" t="s">
        <v>195</v>
      </c>
      <c r="H6" s="211"/>
      <c r="I6" s="211"/>
      <c r="J6" s="211" t="s">
        <v>196</v>
      </c>
      <c r="K6" s="211"/>
      <c r="L6" s="211"/>
      <c r="M6" s="208" t="s">
        <v>228</v>
      </c>
      <c r="N6" s="209"/>
      <c r="O6" s="210" t="s">
        <v>229</v>
      </c>
      <c r="P6" s="210"/>
      <c r="Q6" s="210"/>
      <c r="R6" s="210"/>
      <c r="T6" s="206" t="s">
        <v>230</v>
      </c>
      <c r="U6" s="206"/>
      <c r="V6" s="206"/>
      <c r="W6" s="206"/>
      <c r="X6" s="206" t="s">
        <v>231</v>
      </c>
      <c r="Y6" s="206"/>
      <c r="Z6" s="206"/>
      <c r="AA6" s="206"/>
      <c r="AB6" s="206" t="s">
        <v>127</v>
      </c>
      <c r="AC6" s="206"/>
      <c r="AD6" s="206"/>
      <c r="AE6" s="206"/>
    </row>
    <row r="7" spans="1:31" s="104" customFormat="1" ht="22.5">
      <c r="A7" s="86" t="s">
        <v>216</v>
      </c>
      <c r="B7" s="86" t="s">
        <v>217</v>
      </c>
      <c r="C7" s="86" t="s">
        <v>4</v>
      </c>
      <c r="D7" s="105" t="s">
        <v>232</v>
      </c>
      <c r="E7" s="105" t="s">
        <v>233</v>
      </c>
      <c r="F7" s="105" t="s">
        <v>234</v>
      </c>
      <c r="G7" s="105" t="s">
        <v>232</v>
      </c>
      <c r="H7" s="105" t="s">
        <v>233</v>
      </c>
      <c r="I7" s="105" t="s">
        <v>234</v>
      </c>
      <c r="J7" s="105" t="s">
        <v>232</v>
      </c>
      <c r="K7" s="105" t="s">
        <v>233</v>
      </c>
      <c r="L7" s="105" t="s">
        <v>234</v>
      </c>
      <c r="M7" s="107" t="s">
        <v>235</v>
      </c>
      <c r="N7" s="107" t="s">
        <v>236</v>
      </c>
      <c r="O7" s="106" t="s">
        <v>237</v>
      </c>
      <c r="P7" s="106" t="s">
        <v>238</v>
      </c>
      <c r="Q7" s="106" t="s">
        <v>239</v>
      </c>
      <c r="R7" s="106" t="s">
        <v>88</v>
      </c>
      <c r="T7" s="105" t="s">
        <v>240</v>
      </c>
      <c r="U7" s="107" t="s">
        <v>241</v>
      </c>
      <c r="V7" s="106" t="s">
        <v>229</v>
      </c>
      <c r="W7" s="108" t="s">
        <v>97</v>
      </c>
      <c r="X7" s="105" t="s">
        <v>240</v>
      </c>
      <c r="Y7" s="107" t="s">
        <v>241</v>
      </c>
      <c r="Z7" s="106" t="s">
        <v>229</v>
      </c>
      <c r="AA7" s="108" t="s">
        <v>97</v>
      </c>
      <c r="AB7" s="105" t="s">
        <v>240</v>
      </c>
      <c r="AC7" s="107" t="s">
        <v>241</v>
      </c>
      <c r="AD7" s="106" t="s">
        <v>229</v>
      </c>
      <c r="AE7" s="108" t="s">
        <v>97</v>
      </c>
    </row>
    <row r="8" spans="1:18" s="109" customFormat="1" ht="11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3" ht="15">
      <c r="A9" s="92">
        <v>0</v>
      </c>
      <c r="B9" s="93" t="s">
        <v>136</v>
      </c>
      <c r="C9" s="110">
        <v>0</v>
      </c>
    </row>
    <row r="10" spans="1:31" ht="15">
      <c r="A10" s="92">
        <v>1</v>
      </c>
      <c r="B10" s="93" t="s">
        <v>27</v>
      </c>
      <c r="C10" s="110" t="s">
        <v>114</v>
      </c>
      <c r="D10" s="111">
        <v>89079.78417859951</v>
      </c>
      <c r="E10" s="111">
        <v>148466.30696433253</v>
      </c>
      <c r="F10" s="111">
        <v>74233.15348216626</v>
      </c>
      <c r="G10" s="111">
        <v>10659.119474362333</v>
      </c>
      <c r="H10" s="111">
        <v>15988.679211543504</v>
      </c>
      <c r="I10" s="111">
        <v>7994.339605771752</v>
      </c>
      <c r="J10" s="111">
        <v>12021.56331695</v>
      </c>
      <c r="K10" s="111">
        <v>18032.344975425</v>
      </c>
      <c r="L10" s="111">
        <v>9016.1724877125</v>
      </c>
      <c r="M10" s="112">
        <v>29507.473596149997</v>
      </c>
      <c r="N10" s="112">
        <v>59014.947192299995</v>
      </c>
      <c r="O10" s="112">
        <v>21537.6</v>
      </c>
      <c r="P10" s="112"/>
      <c r="Q10" s="112">
        <v>9124</v>
      </c>
      <c r="R10" s="112">
        <v>262457.583135325</v>
      </c>
      <c r="T10" s="111">
        <f aca="true" t="shared" si="1" ref="T10:T22">SUM(D10:L10)</f>
        <v>385491.46369686344</v>
      </c>
      <c r="U10" s="111">
        <f aca="true" t="shared" si="2" ref="U10:U22">M10+N10</f>
        <v>88522.42078844999</v>
      </c>
      <c r="V10" s="113">
        <f aca="true" t="shared" si="3" ref="V10:V22">SUM(O10:R10)</f>
        <v>293119.183135325</v>
      </c>
      <c r="W10" s="111">
        <f aca="true" t="shared" si="4" ref="W10:W22">SUM(T10:V10)</f>
        <v>767133.0676206384</v>
      </c>
      <c r="X10" s="113">
        <v>377429.16519244446</v>
      </c>
      <c r="Y10" s="113">
        <v>86671.03302</v>
      </c>
      <c r="Z10" s="113">
        <v>281321.78</v>
      </c>
      <c r="AA10" s="111">
        <f aca="true" t="shared" si="5" ref="AA10:AA22">SUM(X10:Z10)</f>
        <v>745421.9782124445</v>
      </c>
      <c r="AB10" s="111">
        <f aca="true" t="shared" si="6" ref="AB10:AB22">T10-X10</f>
        <v>8062.2985044189845</v>
      </c>
      <c r="AC10" s="111">
        <f aca="true" t="shared" si="7" ref="AC10:AC22">U10-Y10</f>
        <v>1851.3877684499894</v>
      </c>
      <c r="AD10" s="111">
        <f aca="true" t="shared" si="8" ref="AD10:AD22">V10-Z10</f>
        <v>11797.403135324945</v>
      </c>
      <c r="AE10" s="111">
        <f aca="true" t="shared" si="9" ref="AE10:AE22">W10-AA10</f>
        <v>21711.089408193948</v>
      </c>
    </row>
    <row r="11" spans="1:31" ht="15">
      <c r="A11" s="92">
        <v>2</v>
      </c>
      <c r="B11" s="93" t="s">
        <v>25</v>
      </c>
      <c r="C11" s="110" t="s">
        <v>112</v>
      </c>
      <c r="D11" s="111">
        <v>0</v>
      </c>
      <c r="E11" s="111">
        <v>118773.045571466</v>
      </c>
      <c r="F11" s="111">
        <v>59386.522785733</v>
      </c>
      <c r="G11" s="111">
        <v>0</v>
      </c>
      <c r="H11" s="111">
        <v>15988.679211543504</v>
      </c>
      <c r="I11" s="111">
        <v>7994.339605771752</v>
      </c>
      <c r="J11" s="111">
        <v>0</v>
      </c>
      <c r="K11" s="111">
        <v>15026.9541461875</v>
      </c>
      <c r="L11" s="111">
        <v>7513.47707309375</v>
      </c>
      <c r="M11" s="112">
        <v>29507.473596149997</v>
      </c>
      <c r="N11" s="112">
        <v>59014.947192299995</v>
      </c>
      <c r="O11" s="112">
        <v>15384</v>
      </c>
      <c r="P11" s="112"/>
      <c r="Q11" s="112">
        <v>0</v>
      </c>
      <c r="R11" s="112">
        <v>315153.9038674</v>
      </c>
      <c r="T11" s="111">
        <f t="shared" si="1"/>
        <v>224683.01839379553</v>
      </c>
      <c r="U11" s="111">
        <f t="shared" si="2"/>
        <v>88522.42078844999</v>
      </c>
      <c r="V11" s="113">
        <f t="shared" si="3"/>
        <v>330537.9038674</v>
      </c>
      <c r="W11" s="111">
        <f t="shared" si="4"/>
        <v>643743.3430496455</v>
      </c>
      <c r="X11" s="113">
        <v>219983.92195780002</v>
      </c>
      <c r="Y11" s="113">
        <v>86671.03302</v>
      </c>
      <c r="Z11" s="113">
        <v>325918.18</v>
      </c>
      <c r="AA11" s="111">
        <f t="shared" si="5"/>
        <v>632573.1349778001</v>
      </c>
      <c r="AB11" s="111">
        <f t="shared" si="6"/>
        <v>4699.096435995511</v>
      </c>
      <c r="AC11" s="111">
        <f t="shared" si="7"/>
        <v>1851.3877684499894</v>
      </c>
      <c r="AD11" s="111">
        <f t="shared" si="8"/>
        <v>4619.7238674000255</v>
      </c>
      <c r="AE11" s="111">
        <f t="shared" si="9"/>
        <v>11170.208071845467</v>
      </c>
    </row>
    <row r="12" spans="1:31" ht="15">
      <c r="A12" s="92">
        <v>3</v>
      </c>
      <c r="B12" s="93" t="s">
        <v>39</v>
      </c>
      <c r="C12" s="110" t="s">
        <v>114</v>
      </c>
      <c r="D12" s="111">
        <v>0</v>
      </c>
      <c r="E12" s="111">
        <v>89079.78417859951</v>
      </c>
      <c r="F12" s="111">
        <v>51963.20743751638</v>
      </c>
      <c r="G12" s="111">
        <v>0</v>
      </c>
      <c r="H12" s="111">
        <v>11991.509408657625</v>
      </c>
      <c r="I12" s="111">
        <v>5995.754704328812</v>
      </c>
      <c r="J12" s="111">
        <v>0</v>
      </c>
      <c r="K12" s="111">
        <v>12021.56331695</v>
      </c>
      <c r="L12" s="111">
        <v>7513.47707309375</v>
      </c>
      <c r="M12" s="112">
        <v>29507.473596149997</v>
      </c>
      <c r="N12" s="112">
        <v>59014.947192299995</v>
      </c>
      <c r="O12" s="112">
        <v>18845.4</v>
      </c>
      <c r="P12" s="112"/>
      <c r="Q12" s="112">
        <v>0</v>
      </c>
      <c r="R12" s="112">
        <v>262457.583135325</v>
      </c>
      <c r="T12" s="111">
        <f t="shared" si="1"/>
        <v>178565.29611914608</v>
      </c>
      <c r="U12" s="111">
        <f t="shared" si="2"/>
        <v>88522.42078844999</v>
      </c>
      <c r="V12" s="113">
        <f t="shared" si="3"/>
        <v>281302.983135325</v>
      </c>
      <c r="W12" s="111">
        <f t="shared" si="4"/>
        <v>548390.7000429211</v>
      </c>
      <c r="X12" s="113">
        <v>0</v>
      </c>
      <c r="Y12" s="113">
        <v>86671.03302</v>
      </c>
      <c r="Z12" s="113">
        <v>168654.5</v>
      </c>
      <c r="AA12" s="111">
        <f t="shared" si="5"/>
        <v>255325.53302</v>
      </c>
      <c r="AB12" s="111">
        <f t="shared" si="6"/>
        <v>178565.29611914608</v>
      </c>
      <c r="AC12" s="111">
        <f t="shared" si="7"/>
        <v>1851.3877684499894</v>
      </c>
      <c r="AD12" s="111">
        <f t="shared" si="8"/>
        <v>112648.48313532502</v>
      </c>
      <c r="AE12" s="111">
        <f t="shared" si="9"/>
        <v>293065.16702292114</v>
      </c>
    </row>
    <row r="13" spans="1:31" ht="15">
      <c r="A13" s="92">
        <v>4</v>
      </c>
      <c r="B13" s="93" t="s">
        <v>73</v>
      </c>
      <c r="C13" s="110" t="s">
        <v>118</v>
      </c>
      <c r="D13" s="111">
        <v>0</v>
      </c>
      <c r="E13" s="111">
        <v>0</v>
      </c>
      <c r="F13" s="111">
        <v>74233.15348216626</v>
      </c>
      <c r="G13" s="111">
        <v>0</v>
      </c>
      <c r="H13" s="111">
        <v>0</v>
      </c>
      <c r="I13" s="111">
        <v>7994.339605771752</v>
      </c>
      <c r="J13" s="111">
        <v>0</v>
      </c>
      <c r="K13" s="111">
        <v>0</v>
      </c>
      <c r="L13" s="111">
        <v>0</v>
      </c>
      <c r="M13" s="112">
        <v>29507.473596149997</v>
      </c>
      <c r="N13" s="112">
        <v>29507.473596149997</v>
      </c>
      <c r="O13" s="112">
        <v>23076</v>
      </c>
      <c r="P13" s="112"/>
      <c r="Q13" s="112">
        <v>0</v>
      </c>
      <c r="R13" s="112">
        <v>154245.95131007503</v>
      </c>
      <c r="T13" s="111">
        <f t="shared" si="1"/>
        <v>82227.49308793801</v>
      </c>
      <c r="U13" s="111">
        <f t="shared" si="2"/>
        <v>59014.947192299995</v>
      </c>
      <c r="V13" s="113">
        <f t="shared" si="3"/>
        <v>177321.95131007503</v>
      </c>
      <c r="W13" s="111">
        <f t="shared" si="4"/>
        <v>318564.39159031305</v>
      </c>
      <c r="X13" s="113">
        <v>89335.36477580002</v>
      </c>
      <c r="Y13" s="113">
        <v>57780.68868</v>
      </c>
      <c r="Z13" s="113">
        <v>171245.03</v>
      </c>
      <c r="AA13" s="111">
        <f t="shared" si="5"/>
        <v>318361.0834558</v>
      </c>
      <c r="AB13" s="111">
        <f t="shared" si="6"/>
        <v>-7107.8716878620035</v>
      </c>
      <c r="AC13" s="111">
        <f t="shared" si="7"/>
        <v>1234.2585122999953</v>
      </c>
      <c r="AD13" s="111">
        <f t="shared" si="8"/>
        <v>6076.921310075035</v>
      </c>
      <c r="AE13" s="111">
        <f t="shared" si="9"/>
        <v>203.30813451303402</v>
      </c>
    </row>
    <row r="14" spans="1:31" ht="15">
      <c r="A14" s="92">
        <v>7</v>
      </c>
      <c r="B14" s="93" t="s">
        <v>38</v>
      </c>
      <c r="C14" s="110" t="s">
        <v>114</v>
      </c>
      <c r="D14" s="111">
        <v>0</v>
      </c>
      <c r="E14" s="111">
        <v>0</v>
      </c>
      <c r="F14" s="111">
        <v>29693.2613928665</v>
      </c>
      <c r="G14" s="111">
        <v>0</v>
      </c>
      <c r="H14" s="111">
        <v>0</v>
      </c>
      <c r="I14" s="111">
        <v>3997.169802885876</v>
      </c>
      <c r="J14" s="111">
        <v>0</v>
      </c>
      <c r="K14" s="111">
        <v>0</v>
      </c>
      <c r="L14" s="111">
        <v>4508.08624385625</v>
      </c>
      <c r="M14" s="112">
        <v>29507.473596149997</v>
      </c>
      <c r="N14" s="112">
        <v>59014.947192299995</v>
      </c>
      <c r="O14" s="112">
        <v>7179.2</v>
      </c>
      <c r="P14" s="112"/>
      <c r="Q14" s="112">
        <v>0</v>
      </c>
      <c r="R14" s="112">
        <v>262457.583135325</v>
      </c>
      <c r="T14" s="111">
        <f t="shared" si="1"/>
        <v>38198.51743960862</v>
      </c>
      <c r="U14" s="111">
        <f t="shared" si="2"/>
        <v>88522.42078844999</v>
      </c>
      <c r="V14" s="113">
        <f t="shared" si="3"/>
        <v>269636.783135325</v>
      </c>
      <c r="W14" s="111">
        <f t="shared" si="4"/>
        <v>396357.72136338364</v>
      </c>
      <c r="X14" s="113">
        <v>37399.620760883336</v>
      </c>
      <c r="Y14" s="113">
        <v>86671.03302</v>
      </c>
      <c r="Z14" s="113">
        <v>263334.08</v>
      </c>
      <c r="AA14" s="111">
        <f t="shared" si="5"/>
        <v>387404.73378088337</v>
      </c>
      <c r="AB14" s="111">
        <f t="shared" si="6"/>
        <v>798.8966787252866</v>
      </c>
      <c r="AC14" s="111">
        <f t="shared" si="7"/>
        <v>1851.3877684499894</v>
      </c>
      <c r="AD14" s="111">
        <f t="shared" si="8"/>
        <v>6302.703135324991</v>
      </c>
      <c r="AE14" s="111">
        <f t="shared" si="9"/>
        <v>8952.987582500267</v>
      </c>
    </row>
    <row r="15" spans="1:31" ht="15">
      <c r="A15" s="92">
        <v>8</v>
      </c>
      <c r="B15" s="93" t="s">
        <v>26</v>
      </c>
      <c r="C15" s="110" t="s">
        <v>112</v>
      </c>
      <c r="D15" s="111">
        <v>0</v>
      </c>
      <c r="E15" s="111">
        <v>96503.09952681614</v>
      </c>
      <c r="F15" s="111">
        <v>48251.54976340807</v>
      </c>
      <c r="G15" s="111">
        <v>0</v>
      </c>
      <c r="H15" s="111">
        <v>11991.509408657625</v>
      </c>
      <c r="I15" s="111">
        <v>5995.754704328812</v>
      </c>
      <c r="J15" s="111">
        <v>0</v>
      </c>
      <c r="K15" s="111">
        <v>12021.56331695</v>
      </c>
      <c r="L15" s="111">
        <v>6010.781658475</v>
      </c>
      <c r="M15" s="112">
        <v>29507.473596149997</v>
      </c>
      <c r="N15" s="112">
        <v>59014.947192299995</v>
      </c>
      <c r="O15" s="112">
        <v>22306.8</v>
      </c>
      <c r="P15" s="112"/>
      <c r="Q15" s="112">
        <v>0</v>
      </c>
      <c r="R15" s="112">
        <v>315153.9038674</v>
      </c>
      <c r="T15" s="111">
        <f t="shared" si="1"/>
        <v>180774.2583786356</v>
      </c>
      <c r="U15" s="111">
        <f t="shared" si="2"/>
        <v>88522.42078844999</v>
      </c>
      <c r="V15" s="113">
        <f t="shared" si="3"/>
        <v>337460.7038674</v>
      </c>
      <c r="W15" s="111">
        <f t="shared" si="4"/>
        <v>606757.3830344856</v>
      </c>
      <c r="X15" s="113">
        <v>176993.48456075002</v>
      </c>
      <c r="Y15" s="113">
        <v>86671.03302</v>
      </c>
      <c r="Z15" s="113">
        <v>332571.28</v>
      </c>
      <c r="AA15" s="111">
        <f t="shared" si="5"/>
        <v>596235.7975807501</v>
      </c>
      <c r="AB15" s="111">
        <f t="shared" si="6"/>
        <v>3780.77381788558</v>
      </c>
      <c r="AC15" s="111">
        <f t="shared" si="7"/>
        <v>1851.3877684499894</v>
      </c>
      <c r="AD15" s="111">
        <f t="shared" si="8"/>
        <v>4889.423867399979</v>
      </c>
      <c r="AE15" s="111">
        <f t="shared" si="9"/>
        <v>10521.585453735548</v>
      </c>
    </row>
    <row r="16" spans="1:31" ht="15">
      <c r="A16" s="92">
        <v>9</v>
      </c>
      <c r="B16" s="94" t="s">
        <v>28</v>
      </c>
      <c r="C16" s="110" t="s">
        <v>114</v>
      </c>
      <c r="D16" s="111">
        <v>0</v>
      </c>
      <c r="E16" s="111">
        <v>118773.045571466</v>
      </c>
      <c r="F16" s="111">
        <v>59386.522785733</v>
      </c>
      <c r="G16" s="111">
        <v>0</v>
      </c>
      <c r="H16" s="111">
        <v>15988.679211543504</v>
      </c>
      <c r="I16" s="111">
        <v>7994.339605771752</v>
      </c>
      <c r="J16" s="111">
        <v>0</v>
      </c>
      <c r="K16" s="111">
        <v>15026.9541461875</v>
      </c>
      <c r="L16" s="111">
        <v>7513.47707309375</v>
      </c>
      <c r="M16" s="112">
        <v>29507.473596149997</v>
      </c>
      <c r="N16" s="112">
        <v>59014.947192299995</v>
      </c>
      <c r="O16" s="112">
        <v>24999</v>
      </c>
      <c r="P16" s="112"/>
      <c r="Q16" s="112">
        <v>0</v>
      </c>
      <c r="R16" s="112">
        <v>262457.583135325</v>
      </c>
      <c r="T16" s="111">
        <f t="shared" si="1"/>
        <v>224683.01839379553</v>
      </c>
      <c r="U16" s="111">
        <f t="shared" si="2"/>
        <v>88522.42078844999</v>
      </c>
      <c r="V16" s="113">
        <f t="shared" si="3"/>
        <v>287456.583135325</v>
      </c>
      <c r="W16" s="111">
        <f t="shared" si="4"/>
        <v>600662.0223175705</v>
      </c>
      <c r="X16" s="113">
        <v>219983.92195780002</v>
      </c>
      <c r="Y16" s="113">
        <v>86671.03302</v>
      </c>
      <c r="Z16" s="113">
        <v>285052.88</v>
      </c>
      <c r="AA16" s="111">
        <f t="shared" si="5"/>
        <v>591707.8349778</v>
      </c>
      <c r="AB16" s="111">
        <f t="shared" si="6"/>
        <v>4699.096435995511</v>
      </c>
      <c r="AC16" s="111">
        <f t="shared" si="7"/>
        <v>1851.3877684499894</v>
      </c>
      <c r="AD16" s="111">
        <f t="shared" si="8"/>
        <v>2403.7031353249913</v>
      </c>
      <c r="AE16" s="111">
        <f t="shared" si="9"/>
        <v>8954.187339770491</v>
      </c>
    </row>
    <row r="17" spans="1:31" ht="15">
      <c r="A17" s="92">
        <v>10</v>
      </c>
      <c r="B17" s="94" t="s">
        <v>36</v>
      </c>
      <c r="C17" s="110" t="s">
        <v>116</v>
      </c>
      <c r="D17" s="111">
        <v>0</v>
      </c>
      <c r="E17" s="111">
        <v>0</v>
      </c>
      <c r="F17" s="111">
        <v>44539.892089299756</v>
      </c>
      <c r="G17" s="111">
        <v>0</v>
      </c>
      <c r="H17" s="111">
        <v>0</v>
      </c>
      <c r="I17" s="111">
        <v>5995.754704328812</v>
      </c>
      <c r="J17" s="111">
        <v>0</v>
      </c>
      <c r="K17" s="111">
        <v>0</v>
      </c>
      <c r="L17" s="111">
        <v>0</v>
      </c>
      <c r="M17" s="112">
        <v>29507.473596149997</v>
      </c>
      <c r="N17" s="112">
        <v>59014.947192299995</v>
      </c>
      <c r="O17" s="112">
        <v>17307</v>
      </c>
      <c r="P17" s="112"/>
      <c r="Q17" s="112">
        <v>0</v>
      </c>
      <c r="R17" s="112">
        <v>154245.95131007503</v>
      </c>
      <c r="T17" s="111">
        <f t="shared" si="1"/>
        <v>50535.64679362857</v>
      </c>
      <c r="U17" s="111">
        <f t="shared" si="2"/>
        <v>88522.42078844999</v>
      </c>
      <c r="V17" s="113">
        <f t="shared" si="3"/>
        <v>171552.95131007503</v>
      </c>
      <c r="W17" s="111">
        <f t="shared" si="4"/>
        <v>310611.01889215363</v>
      </c>
      <c r="X17" s="113">
        <v>55363.797373408335</v>
      </c>
      <c r="Y17" s="113">
        <v>86671.03302</v>
      </c>
      <c r="Z17" s="113">
        <v>165341.18</v>
      </c>
      <c r="AA17" s="111">
        <f t="shared" si="5"/>
        <v>307376.01039340836</v>
      </c>
      <c r="AB17" s="111">
        <f t="shared" si="6"/>
        <v>-4828.150579779765</v>
      </c>
      <c r="AC17" s="111">
        <f t="shared" si="7"/>
        <v>1851.3877684499894</v>
      </c>
      <c r="AD17" s="111">
        <f t="shared" si="8"/>
        <v>6211.771310075041</v>
      </c>
      <c r="AE17" s="111">
        <f t="shared" si="9"/>
        <v>3235.008498745272</v>
      </c>
    </row>
    <row r="18" spans="1:31" ht="15">
      <c r="A18" s="92">
        <v>12</v>
      </c>
      <c r="B18" s="94" t="s">
        <v>32</v>
      </c>
      <c r="C18" s="110" t="s">
        <v>119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2">
        <v>29507.473596149997</v>
      </c>
      <c r="N18" s="112">
        <v>59014.947192299995</v>
      </c>
      <c r="O18" s="112">
        <v>1923</v>
      </c>
      <c r="P18" s="112"/>
      <c r="Q18" s="112">
        <v>0</v>
      </c>
      <c r="R18" s="112">
        <v>150657.50131007502</v>
      </c>
      <c r="T18" s="111">
        <f t="shared" si="1"/>
        <v>0</v>
      </c>
      <c r="U18" s="111">
        <f t="shared" si="2"/>
        <v>88522.42078844999</v>
      </c>
      <c r="V18" s="113">
        <f t="shared" si="3"/>
        <v>152580.50131007502</v>
      </c>
      <c r="W18" s="111">
        <f t="shared" si="4"/>
        <v>241102.922098525</v>
      </c>
      <c r="X18" s="113">
        <v>0</v>
      </c>
      <c r="Y18" s="113">
        <v>86671.03302</v>
      </c>
      <c r="Z18" s="113">
        <v>146981.7275</v>
      </c>
      <c r="AA18" s="111">
        <f t="shared" si="5"/>
        <v>233652.76052</v>
      </c>
      <c r="AB18" s="111">
        <f t="shared" si="6"/>
        <v>0</v>
      </c>
      <c r="AC18" s="111">
        <f t="shared" si="7"/>
        <v>1851.3877684499894</v>
      </c>
      <c r="AD18" s="111">
        <f t="shared" si="8"/>
        <v>5598.773810075014</v>
      </c>
      <c r="AE18" s="111">
        <f t="shared" si="9"/>
        <v>7450.161578525003</v>
      </c>
    </row>
    <row r="19" spans="1:31" ht="15">
      <c r="A19" s="92">
        <v>14</v>
      </c>
      <c r="B19" s="93" t="s">
        <v>30</v>
      </c>
      <c r="C19" s="110" t="s">
        <v>119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2">
        <v>29507.473596149997</v>
      </c>
      <c r="N19" s="112">
        <v>59014.947192299995</v>
      </c>
      <c r="O19" s="112">
        <v>1923</v>
      </c>
      <c r="P19" s="112"/>
      <c r="Q19" s="112">
        <v>0</v>
      </c>
      <c r="R19" s="112">
        <v>150657.50131007502</v>
      </c>
      <c r="T19" s="111">
        <f t="shared" si="1"/>
        <v>0</v>
      </c>
      <c r="U19" s="111">
        <f t="shared" si="2"/>
        <v>88522.42078844999</v>
      </c>
      <c r="V19" s="113">
        <f t="shared" si="3"/>
        <v>152580.50131007502</v>
      </c>
      <c r="W19" s="111">
        <f t="shared" si="4"/>
        <v>241102.922098525</v>
      </c>
      <c r="X19" s="113">
        <v>0</v>
      </c>
      <c r="Y19" s="113">
        <v>86671.03302</v>
      </c>
      <c r="Z19" s="113">
        <v>146000</v>
      </c>
      <c r="AA19" s="111">
        <f t="shared" si="5"/>
        <v>232671.03302</v>
      </c>
      <c r="AB19" s="111">
        <f t="shared" si="6"/>
        <v>0</v>
      </c>
      <c r="AC19" s="111">
        <f t="shared" si="7"/>
        <v>1851.3877684499894</v>
      </c>
      <c r="AD19" s="111">
        <f t="shared" si="8"/>
        <v>6580.501310075022</v>
      </c>
      <c r="AE19" s="111">
        <f t="shared" si="9"/>
        <v>8431.889078525011</v>
      </c>
    </row>
    <row r="20" spans="1:31" ht="15">
      <c r="A20" s="92">
        <v>16</v>
      </c>
      <c r="B20" s="93" t="s">
        <v>33</v>
      </c>
      <c r="C20" s="110" t="s">
        <v>123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2">
        <v>29507.473596149997</v>
      </c>
      <c r="N20" s="112">
        <v>29507.473596149997</v>
      </c>
      <c r="O20" s="112">
        <v>1923</v>
      </c>
      <c r="P20" s="112"/>
      <c r="Q20" s="112">
        <v>0</v>
      </c>
      <c r="R20" s="112">
        <v>95383.23211540001</v>
      </c>
      <c r="T20" s="111">
        <f t="shared" si="1"/>
        <v>0</v>
      </c>
      <c r="U20" s="111">
        <f t="shared" si="2"/>
        <v>59014.947192299995</v>
      </c>
      <c r="V20" s="113">
        <f t="shared" si="3"/>
        <v>97306.23211540001</v>
      </c>
      <c r="W20" s="111">
        <f t="shared" si="4"/>
        <v>156321.17930770002</v>
      </c>
      <c r="X20" s="113">
        <v>0</v>
      </c>
      <c r="Y20" s="113">
        <v>57780.68868</v>
      </c>
      <c r="Z20" s="113">
        <v>95250</v>
      </c>
      <c r="AA20" s="111">
        <f t="shared" si="5"/>
        <v>153030.68868</v>
      </c>
      <c r="AB20" s="111">
        <f t="shared" si="6"/>
        <v>0</v>
      </c>
      <c r="AC20" s="111">
        <f t="shared" si="7"/>
        <v>1234.2585122999953</v>
      </c>
      <c r="AD20" s="111">
        <f t="shared" si="8"/>
        <v>2056.232115400009</v>
      </c>
      <c r="AE20" s="111">
        <f t="shared" si="9"/>
        <v>3290.4906277000264</v>
      </c>
    </row>
    <row r="21" spans="1:31" ht="15">
      <c r="A21" s="92">
        <v>17</v>
      </c>
      <c r="B21" s="93" t="s">
        <v>31</v>
      </c>
      <c r="C21" s="110" t="s">
        <v>119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2">
        <v>29507.473596149997</v>
      </c>
      <c r="N21" s="112">
        <v>59014.947192299995</v>
      </c>
      <c r="O21" s="112">
        <v>1923</v>
      </c>
      <c r="P21" s="112"/>
      <c r="Q21" s="112">
        <v>0</v>
      </c>
      <c r="R21" s="112">
        <v>150657.50131007502</v>
      </c>
      <c r="T21" s="111">
        <f t="shared" si="1"/>
        <v>0</v>
      </c>
      <c r="U21" s="111">
        <f t="shared" si="2"/>
        <v>88522.42078844999</v>
      </c>
      <c r="V21" s="113">
        <f t="shared" si="3"/>
        <v>152580.50131007502</v>
      </c>
      <c r="W21" s="111">
        <f t="shared" si="4"/>
        <v>241102.922098525</v>
      </c>
      <c r="X21" s="113">
        <v>0</v>
      </c>
      <c r="Y21" s="113">
        <v>86671.03302</v>
      </c>
      <c r="Z21" s="113">
        <v>147963.455</v>
      </c>
      <c r="AA21" s="111">
        <f t="shared" si="5"/>
        <v>234634.48802</v>
      </c>
      <c r="AB21" s="111">
        <f t="shared" si="6"/>
        <v>0</v>
      </c>
      <c r="AC21" s="111">
        <f t="shared" si="7"/>
        <v>1851.3877684499894</v>
      </c>
      <c r="AD21" s="111">
        <f t="shared" si="8"/>
        <v>4617.046310075035</v>
      </c>
      <c r="AE21" s="111">
        <f t="shared" si="9"/>
        <v>6468.434078525024</v>
      </c>
    </row>
    <row r="22" spans="1:31" ht="15">
      <c r="A22" s="92" t="s">
        <v>222</v>
      </c>
      <c r="B22" s="93" t="s">
        <v>29</v>
      </c>
      <c r="C22" s="110" t="s">
        <v>114</v>
      </c>
      <c r="D22" s="111">
        <v>0</v>
      </c>
      <c r="E22" s="111">
        <v>178159.56835719902</v>
      </c>
      <c r="F22" s="111">
        <v>96503.09952681614</v>
      </c>
      <c r="G22" s="111">
        <v>0</v>
      </c>
      <c r="H22" s="111">
        <v>19985.849014429376</v>
      </c>
      <c r="I22" s="111">
        <v>11991.509408657625</v>
      </c>
      <c r="J22" s="111">
        <v>0</v>
      </c>
      <c r="K22" s="111">
        <v>24043.1266339</v>
      </c>
      <c r="L22" s="111">
        <v>12021.56331695</v>
      </c>
      <c r="M22" s="112">
        <v>29507.473596149997</v>
      </c>
      <c r="N22" s="112">
        <v>59014.947192299995</v>
      </c>
      <c r="O22" s="112">
        <v>21537.6</v>
      </c>
      <c r="P22" s="112"/>
      <c r="Q22" s="112">
        <v>0</v>
      </c>
      <c r="R22" s="112">
        <v>262457.583135325</v>
      </c>
      <c r="T22" s="111">
        <f t="shared" si="1"/>
        <v>342704.7162579521</v>
      </c>
      <c r="U22" s="111">
        <f t="shared" si="2"/>
        <v>88522.42078844999</v>
      </c>
      <c r="V22" s="113">
        <f t="shared" si="3"/>
        <v>283995.183135325</v>
      </c>
      <c r="W22" s="111">
        <f t="shared" si="4"/>
        <v>715222.3201817271</v>
      </c>
      <c r="X22" s="113">
        <v>335537.27422215004</v>
      </c>
      <c r="Y22" s="113">
        <v>86671.03302</v>
      </c>
      <c r="Z22" s="113">
        <v>332341.48</v>
      </c>
      <c r="AA22" s="111">
        <f t="shared" si="5"/>
        <v>754549.78724215</v>
      </c>
      <c r="AB22" s="111">
        <f t="shared" si="6"/>
        <v>7167.442035802058</v>
      </c>
      <c r="AC22" s="111">
        <f t="shared" si="7"/>
        <v>1851.3877684499894</v>
      </c>
      <c r="AD22" s="111">
        <f t="shared" si="8"/>
        <v>-48346.29686467501</v>
      </c>
      <c r="AE22" s="111">
        <f t="shared" si="9"/>
        <v>-39327.46706042299</v>
      </c>
    </row>
    <row r="23" spans="4:31" s="2" customFormat="1" ht="12.75">
      <c r="D23" s="114">
        <f aca="true" t="shared" si="10" ref="D23:R23">SUM(D10:D22)</f>
        <v>89079.78417859951</v>
      </c>
      <c r="E23" s="114">
        <f t="shared" si="10"/>
        <v>749754.8501698792</v>
      </c>
      <c r="F23" s="114">
        <f t="shared" si="10"/>
        <v>538190.3627457054</v>
      </c>
      <c r="G23" s="114">
        <f t="shared" si="10"/>
        <v>10659.119474362333</v>
      </c>
      <c r="H23" s="114">
        <f t="shared" si="10"/>
        <v>91934.90546637514</v>
      </c>
      <c r="I23" s="114">
        <f t="shared" si="10"/>
        <v>65953.30174761695</v>
      </c>
      <c r="J23" s="114">
        <f t="shared" si="10"/>
        <v>12021.56331695</v>
      </c>
      <c r="K23" s="114">
        <f t="shared" si="10"/>
        <v>96172.5065356</v>
      </c>
      <c r="L23" s="114">
        <f t="shared" si="10"/>
        <v>54097.034926275</v>
      </c>
      <c r="M23" s="114">
        <f t="shared" si="10"/>
        <v>383597.15674994997</v>
      </c>
      <c r="N23" s="114">
        <f t="shared" si="10"/>
        <v>708179.3663075999</v>
      </c>
      <c r="O23" s="114">
        <f t="shared" si="10"/>
        <v>179864.6</v>
      </c>
      <c r="P23" s="114">
        <f t="shared" si="10"/>
        <v>0</v>
      </c>
      <c r="Q23" s="114">
        <f t="shared" si="10"/>
        <v>9124</v>
      </c>
      <c r="R23" s="114">
        <f t="shared" si="10"/>
        <v>2798443.362077201</v>
      </c>
      <c r="S23" s="114"/>
      <c r="T23" s="114">
        <f aca="true" t="shared" si="11" ref="T23:AE23">SUM(T10:T22)</f>
        <v>1707863.4285613634</v>
      </c>
      <c r="U23" s="114">
        <f t="shared" si="11"/>
        <v>1091776.5230575497</v>
      </c>
      <c r="V23" s="114">
        <f t="shared" si="11"/>
        <v>2987431.962077201</v>
      </c>
      <c r="W23" s="114">
        <f t="shared" si="11"/>
        <v>5787071.913696115</v>
      </c>
      <c r="X23" s="114">
        <f t="shared" si="11"/>
        <v>1512026.550801036</v>
      </c>
      <c r="Y23" s="114">
        <f t="shared" si="11"/>
        <v>1068942.74058</v>
      </c>
      <c r="Z23" s="114">
        <f t="shared" si="11"/>
        <v>2861975.5725</v>
      </c>
      <c r="AA23" s="114">
        <f t="shared" si="11"/>
        <v>5442944.863881036</v>
      </c>
      <c r="AB23" s="114">
        <f t="shared" si="11"/>
        <v>195836.87776032725</v>
      </c>
      <c r="AC23" s="114">
        <f t="shared" si="11"/>
        <v>22833.782477549874</v>
      </c>
      <c r="AD23" s="114">
        <f t="shared" si="11"/>
        <v>125456.38957720011</v>
      </c>
      <c r="AE23" s="114">
        <f t="shared" si="11"/>
        <v>344127.0498150772</v>
      </c>
    </row>
    <row r="24" spans="4:29" ht="15">
      <c r="D24" s="111"/>
      <c r="AB24" s="97" t="s">
        <v>242</v>
      </c>
      <c r="AC24" s="96" t="s">
        <v>243</v>
      </c>
    </row>
    <row r="25" spans="2:17" ht="15">
      <c r="B25" s="127" t="s">
        <v>34</v>
      </c>
      <c r="C25" s="127" t="s">
        <v>245</v>
      </c>
      <c r="Q25" s="96">
        <v>0</v>
      </c>
    </row>
    <row r="26" spans="2:17" ht="15">
      <c r="B26" s="127" t="s">
        <v>37</v>
      </c>
      <c r="C26" s="127" t="s">
        <v>245</v>
      </c>
      <c r="Q26" s="96">
        <v>0</v>
      </c>
    </row>
    <row r="27" spans="2:17" ht="15">
      <c r="B27" s="127" t="s">
        <v>48</v>
      </c>
      <c r="C27" s="127" t="s">
        <v>245</v>
      </c>
      <c r="Q27" s="96">
        <v>0</v>
      </c>
    </row>
    <row r="28" spans="2:17" ht="15">
      <c r="B28" s="127" t="s">
        <v>35</v>
      </c>
      <c r="C28" s="127" t="s">
        <v>245</v>
      </c>
      <c r="Q28" s="96">
        <v>0</v>
      </c>
    </row>
  </sheetData>
  <mergeCells count="9">
    <mergeCell ref="T6:W6"/>
    <mergeCell ref="X6:AA6"/>
    <mergeCell ref="AB6:AE6"/>
    <mergeCell ref="A2:E2"/>
    <mergeCell ref="M6:N6"/>
    <mergeCell ref="O6:R6"/>
    <mergeCell ref="D6:F6"/>
    <mergeCell ref="G6:I6"/>
    <mergeCell ref="J6:L6"/>
  </mergeCells>
  <conditionalFormatting sqref="AB10:AE23">
    <cfRule type="cellIs" priority="1" dxfId="0" operator="lessThan" stopIfTrue="1">
      <formula>-2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39"/>
  <sheetViews>
    <sheetView workbookViewId="0" topLeftCell="A1">
      <selection activeCell="E37" sqref="E37"/>
    </sheetView>
  </sheetViews>
  <sheetFormatPr defaultColWidth="9.140625" defaultRowHeight="12.75"/>
  <cols>
    <col min="1" max="1" width="25.28125" style="0" customWidth="1"/>
    <col min="2" max="2" width="10.28125" style="0" bestFit="1" customWidth="1"/>
    <col min="3" max="3" width="11.00390625" style="0" bestFit="1" customWidth="1"/>
    <col min="4" max="4" width="10.28125" style="0" bestFit="1" customWidth="1"/>
    <col min="5" max="5" width="10.421875" style="0" bestFit="1" customWidth="1"/>
    <col min="6" max="6" width="10.28125" style="0" bestFit="1" customWidth="1"/>
    <col min="9" max="10" width="12.140625" style="0" customWidth="1"/>
  </cols>
  <sheetData>
    <row r="4" ht="12.75">
      <c r="A4" s="2" t="s">
        <v>153</v>
      </c>
    </row>
    <row r="5" ht="12.75" hidden="1"/>
    <row r="6" ht="12.75" hidden="1"/>
    <row r="7" ht="12.75" hidden="1"/>
    <row r="8" ht="12.75" hidden="1"/>
    <row r="9" ht="12.75">
      <c r="A9" s="2" t="s">
        <v>154</v>
      </c>
    </row>
    <row r="10" spans="5:8" ht="12.75">
      <c r="E10" s="39" t="s">
        <v>175</v>
      </c>
      <c r="F10" s="39" t="s">
        <v>173</v>
      </c>
      <c r="G10" s="39"/>
      <c r="H10" s="39" t="s">
        <v>174</v>
      </c>
    </row>
    <row r="11" spans="2:8" ht="12.75">
      <c r="B11" s="2" t="s">
        <v>148</v>
      </c>
      <c r="C11" s="2" t="s">
        <v>149</v>
      </c>
      <c r="D11" s="2" t="s">
        <v>150</v>
      </c>
      <c r="E11" s="39" t="s">
        <v>155</v>
      </c>
      <c r="F11" s="2" t="s">
        <v>151</v>
      </c>
      <c r="G11" s="2" t="s">
        <v>152</v>
      </c>
      <c r="H11" s="2" t="s">
        <v>155</v>
      </c>
    </row>
    <row r="12" spans="1:8" ht="12.75">
      <c r="A12" t="s">
        <v>10</v>
      </c>
      <c r="B12">
        <v>47</v>
      </c>
      <c r="C12" s="25">
        <v>41611</v>
      </c>
      <c r="D12" s="53">
        <f>9.1%+24.8%</f>
        <v>0.33899999999999997</v>
      </c>
      <c r="E12" s="25">
        <f>C12*(1+D12)</f>
        <v>55717.129</v>
      </c>
      <c r="F12" s="25">
        <v>57486</v>
      </c>
      <c r="G12" s="53">
        <f>(E12-F12)/F12</f>
        <v>-0.03077046585255539</v>
      </c>
      <c r="H12" s="35">
        <f>F12</f>
        <v>57486</v>
      </c>
    </row>
    <row r="13" spans="1:8" ht="12.75">
      <c r="A13" t="s">
        <v>82</v>
      </c>
      <c r="B13">
        <v>40</v>
      </c>
      <c r="C13" s="25">
        <v>35417</v>
      </c>
      <c r="D13" s="53">
        <f aca="true" t="shared" si="0" ref="D13:D24">9.1%+24.8%</f>
        <v>0.33899999999999997</v>
      </c>
      <c r="E13" s="25">
        <f aca="true" t="shared" si="1" ref="E13:E24">C13*(1+D13)</f>
        <v>47423.363</v>
      </c>
      <c r="F13" s="25">
        <v>47607</v>
      </c>
      <c r="G13" s="53">
        <f aca="true" t="shared" si="2" ref="G13:G24">(E13-F13)/F13</f>
        <v>-0.0038573529102863538</v>
      </c>
      <c r="H13" s="35">
        <f aca="true" t="shared" si="3" ref="H13:H24">F13</f>
        <v>47607</v>
      </c>
    </row>
    <row r="14" spans="1:8" ht="12.75">
      <c r="A14" t="s">
        <v>94</v>
      </c>
      <c r="B14">
        <v>44</v>
      </c>
      <c r="C14" s="25">
        <v>38960</v>
      </c>
      <c r="D14" s="53">
        <f t="shared" si="0"/>
        <v>0.33899999999999997</v>
      </c>
      <c r="E14" s="25">
        <f t="shared" si="1"/>
        <v>52167.44</v>
      </c>
      <c r="F14" s="25">
        <v>53825</v>
      </c>
      <c r="G14" s="53">
        <f t="shared" si="2"/>
        <v>-0.030795355318160664</v>
      </c>
      <c r="H14" s="35">
        <f t="shared" si="3"/>
        <v>53825</v>
      </c>
    </row>
    <row r="15" spans="1:8" ht="12.75">
      <c r="A15" t="s">
        <v>71</v>
      </c>
      <c r="C15" s="25"/>
      <c r="D15" s="53"/>
      <c r="E15" s="25">
        <f>F15*1.021</f>
        <v>5196.889999999999</v>
      </c>
      <c r="F15" s="25">
        <v>5090</v>
      </c>
      <c r="G15" s="53">
        <f t="shared" si="2"/>
        <v>0.020999999999999887</v>
      </c>
      <c r="H15" s="35">
        <f>E15</f>
        <v>5196.889999999999</v>
      </c>
    </row>
    <row r="16" spans="1:8" ht="12.75">
      <c r="A16" t="s">
        <v>141</v>
      </c>
      <c r="B16" s="54" t="s">
        <v>166</v>
      </c>
      <c r="C16" s="25">
        <f>(39523+40432)/2</f>
        <v>39977.5</v>
      </c>
      <c r="D16" s="53">
        <f>14.1%+9.1%</f>
        <v>0.23199999999999998</v>
      </c>
      <c r="E16" s="25">
        <f t="shared" si="1"/>
        <v>49252.28</v>
      </c>
      <c r="F16" s="25">
        <v>55011</v>
      </c>
      <c r="G16" s="53">
        <f t="shared" si="2"/>
        <v>-0.10468306338732256</v>
      </c>
      <c r="H16" s="35">
        <f>E16</f>
        <v>49252.28</v>
      </c>
    </row>
    <row r="17" spans="1:8" ht="12.75">
      <c r="A17" t="s">
        <v>142</v>
      </c>
      <c r="B17">
        <v>23</v>
      </c>
      <c r="C17" s="25">
        <v>21952</v>
      </c>
      <c r="D17" s="53">
        <f t="shared" si="0"/>
        <v>0.33899999999999997</v>
      </c>
      <c r="E17" s="25">
        <f t="shared" si="1"/>
        <v>29393.728</v>
      </c>
      <c r="F17" s="25">
        <v>29507</v>
      </c>
      <c r="G17" s="53">
        <f t="shared" si="2"/>
        <v>-0.003838817907615171</v>
      </c>
      <c r="H17" s="35">
        <f>F17+1</f>
        <v>29508</v>
      </c>
    </row>
    <row r="18" spans="1:8" ht="12.75">
      <c r="A18" t="s">
        <v>143</v>
      </c>
      <c r="B18">
        <v>23</v>
      </c>
      <c r="C18" s="25">
        <v>21952</v>
      </c>
      <c r="D18" s="53">
        <f t="shared" si="0"/>
        <v>0.33899999999999997</v>
      </c>
      <c r="E18" s="25">
        <f t="shared" si="1"/>
        <v>29393.728</v>
      </c>
      <c r="F18" s="25">
        <v>29507</v>
      </c>
      <c r="G18" s="53">
        <f t="shared" si="2"/>
        <v>-0.003838817907615171</v>
      </c>
      <c r="H18" s="35">
        <f>F18+1</f>
        <v>29508</v>
      </c>
    </row>
    <row r="19" spans="1:8" ht="12.75">
      <c r="A19" t="s">
        <v>140</v>
      </c>
      <c r="B19">
        <v>18</v>
      </c>
      <c r="C19" s="25">
        <v>18917</v>
      </c>
      <c r="D19" s="53">
        <f t="shared" si="0"/>
        <v>0.33899999999999997</v>
      </c>
      <c r="E19" s="25">
        <f t="shared" si="1"/>
        <v>25329.863</v>
      </c>
      <c r="F19" s="25">
        <v>25427</v>
      </c>
      <c r="G19" s="53">
        <f t="shared" si="2"/>
        <v>-0.003820230463680293</v>
      </c>
      <c r="H19" s="35">
        <f t="shared" si="3"/>
        <v>25427</v>
      </c>
    </row>
    <row r="20" spans="1:8" ht="12.75">
      <c r="A20" t="s">
        <v>144</v>
      </c>
      <c r="B20">
        <v>18</v>
      </c>
      <c r="C20" s="25">
        <v>18917</v>
      </c>
      <c r="D20" s="53">
        <f t="shared" si="0"/>
        <v>0.33899999999999997</v>
      </c>
      <c r="E20" s="25">
        <f t="shared" si="1"/>
        <v>25329.863</v>
      </c>
      <c r="F20" s="25">
        <v>25427</v>
      </c>
      <c r="G20" s="53">
        <f t="shared" si="2"/>
        <v>-0.003820230463680293</v>
      </c>
      <c r="H20" s="35">
        <f t="shared" si="3"/>
        <v>25427</v>
      </c>
    </row>
    <row r="21" spans="1:8" ht="12.75">
      <c r="A21" t="s">
        <v>146</v>
      </c>
      <c r="B21">
        <v>18</v>
      </c>
      <c r="C21" s="25">
        <v>18917</v>
      </c>
      <c r="D21" s="53">
        <f t="shared" si="0"/>
        <v>0.33899999999999997</v>
      </c>
      <c r="E21" s="25">
        <f t="shared" si="1"/>
        <v>25329.863</v>
      </c>
      <c r="F21" s="25">
        <v>25427</v>
      </c>
      <c r="G21" s="53">
        <f t="shared" si="2"/>
        <v>-0.003820230463680293</v>
      </c>
      <c r="H21" s="35">
        <f t="shared" si="3"/>
        <v>25427</v>
      </c>
    </row>
    <row r="22" spans="1:8" ht="12.75">
      <c r="A22" t="s">
        <v>145</v>
      </c>
      <c r="B22">
        <v>7</v>
      </c>
      <c r="C22" s="25">
        <v>15215</v>
      </c>
      <c r="D22" s="53">
        <f t="shared" si="0"/>
        <v>0.33899999999999997</v>
      </c>
      <c r="E22" s="25">
        <f t="shared" si="1"/>
        <v>20372.885</v>
      </c>
      <c r="F22" s="25">
        <v>20401</v>
      </c>
      <c r="G22" s="53">
        <f t="shared" si="2"/>
        <v>-0.0013781187196706829</v>
      </c>
      <c r="H22" s="35">
        <f t="shared" si="3"/>
        <v>20401</v>
      </c>
    </row>
    <row r="23" spans="1:8" ht="12.75">
      <c r="A23" t="s">
        <v>12</v>
      </c>
      <c r="B23">
        <v>10</v>
      </c>
      <c r="C23" s="25">
        <v>16290</v>
      </c>
      <c r="D23" s="53">
        <f t="shared" si="0"/>
        <v>0.33899999999999997</v>
      </c>
      <c r="E23" s="25">
        <f t="shared" si="1"/>
        <v>21812.309999999998</v>
      </c>
      <c r="F23" s="25">
        <v>21841</v>
      </c>
      <c r="G23" s="53">
        <f t="shared" si="2"/>
        <v>-0.0013135845428323945</v>
      </c>
      <c r="H23" s="35">
        <f t="shared" si="3"/>
        <v>21841</v>
      </c>
    </row>
    <row r="24" spans="1:8" ht="12.75">
      <c r="A24" t="s">
        <v>3</v>
      </c>
      <c r="B24">
        <v>23</v>
      </c>
      <c r="C24" s="25">
        <v>21952</v>
      </c>
      <c r="D24" s="53">
        <f t="shared" si="0"/>
        <v>0.33899999999999997</v>
      </c>
      <c r="E24" s="25">
        <f t="shared" si="1"/>
        <v>29393.728</v>
      </c>
      <c r="F24" s="35">
        <f>F17</f>
        <v>29507</v>
      </c>
      <c r="G24" s="53">
        <f t="shared" si="2"/>
        <v>-0.003838817907615171</v>
      </c>
      <c r="H24" s="35">
        <f t="shared" si="3"/>
        <v>29507</v>
      </c>
    </row>
    <row r="28" spans="1:5" ht="12.75">
      <c r="A28" s="39" t="s">
        <v>141</v>
      </c>
      <c r="B28" s="39" t="s">
        <v>168</v>
      </c>
      <c r="C28" s="39" t="s">
        <v>169</v>
      </c>
      <c r="D28" s="39" t="s">
        <v>170</v>
      </c>
      <c r="E28" s="39" t="s">
        <v>173</v>
      </c>
    </row>
    <row r="29" spans="1:5" ht="12.75">
      <c r="A29" s="2" t="s">
        <v>167</v>
      </c>
      <c r="B29">
        <v>34326</v>
      </c>
      <c r="C29">
        <v>35115</v>
      </c>
      <c r="D29" s="25">
        <f>(5*B29+7*C29)/12</f>
        <v>34786.25</v>
      </c>
      <c r="E29" s="25">
        <f>D29</f>
        <v>34786.25</v>
      </c>
    </row>
    <row r="30" spans="1:5" ht="12.75">
      <c r="A30" s="2" t="s">
        <v>171</v>
      </c>
      <c r="B30">
        <v>2478</v>
      </c>
      <c r="C30">
        <v>2535</v>
      </c>
      <c r="D30" s="25">
        <f>(5*B30+7*C30)/12</f>
        <v>2511.25</v>
      </c>
      <c r="E30" s="212">
        <f>D30+(D31-D30)/2</f>
        <v>4324.166666666666</v>
      </c>
    </row>
    <row r="31" spans="1:5" ht="12.75">
      <c r="A31" s="2" t="s">
        <v>172</v>
      </c>
      <c r="B31">
        <v>6056</v>
      </c>
      <c r="C31">
        <v>6195</v>
      </c>
      <c r="D31" s="25">
        <f>(5*B31+7*C31)/12</f>
        <v>6137.083333333333</v>
      </c>
      <c r="E31" s="212"/>
    </row>
    <row r="32" ht="12.75">
      <c r="E32" s="67">
        <f>C16</f>
        <v>39977.5</v>
      </c>
    </row>
    <row r="34" ht="12.75">
      <c r="A34" s="2" t="s">
        <v>3</v>
      </c>
    </row>
    <row r="35" spans="1:2" ht="12.75">
      <c r="A35" s="2" t="s">
        <v>181</v>
      </c>
      <c r="B35" s="1">
        <v>0.1</v>
      </c>
    </row>
    <row r="36" spans="1:2" ht="12.75">
      <c r="A36" s="2" t="s">
        <v>182</v>
      </c>
      <c r="B36" s="1">
        <v>0.2</v>
      </c>
    </row>
    <row r="37" spans="1:2" ht="12.75">
      <c r="A37" s="2" t="s">
        <v>184</v>
      </c>
      <c r="B37" s="25">
        <f>H24*(1+B35)*(1+B36)</f>
        <v>38949.240000000005</v>
      </c>
    </row>
    <row r="38" spans="1:2" ht="12.75">
      <c r="A38" s="2" t="s">
        <v>185</v>
      </c>
      <c r="B38">
        <f>36*45</f>
        <v>1620</v>
      </c>
    </row>
    <row r="39" spans="1:2" ht="12.75">
      <c r="A39" s="2" t="s">
        <v>183</v>
      </c>
      <c r="B39" s="70">
        <f>B37/B38</f>
        <v>24.042740740740744</v>
      </c>
    </row>
  </sheetData>
  <mergeCells count="1">
    <mergeCell ref="E30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37" sqref="E37"/>
    </sheetView>
  </sheetViews>
  <sheetFormatPr defaultColWidth="9.140625" defaultRowHeight="12.75"/>
  <cols>
    <col min="2" max="2" width="2.00390625" style="0" bestFit="1" customWidth="1"/>
    <col min="3" max="3" width="20.8515625" style="0" bestFit="1" customWidth="1"/>
    <col min="4" max="4" width="5.00390625" style="0" bestFit="1" customWidth="1"/>
    <col min="5" max="5" width="18.7109375" style="0" bestFit="1" customWidth="1"/>
    <col min="6" max="7" width="12.8515625" style="0" bestFit="1" customWidth="1"/>
    <col min="8" max="8" width="14.00390625" style="0" bestFit="1" customWidth="1"/>
  </cols>
  <sheetData>
    <row r="1" spans="1:7" ht="12.75">
      <c r="A1" t="s">
        <v>213</v>
      </c>
      <c r="G1" t="s">
        <v>214</v>
      </c>
    </row>
    <row r="2" ht="12.75">
      <c r="A2">
        <v>40255.70838379629</v>
      </c>
    </row>
    <row r="3" ht="12.75">
      <c r="F3" t="s">
        <v>151</v>
      </c>
    </row>
    <row r="4" ht="12.75">
      <c r="E4" t="s">
        <v>215</v>
      </c>
    </row>
    <row r="5" spans="1:8" ht="12.75">
      <c r="A5" t="s">
        <v>216</v>
      </c>
      <c r="C5" t="s">
        <v>217</v>
      </c>
      <c r="D5" t="s">
        <v>4</v>
      </c>
      <c r="E5" t="s">
        <v>218</v>
      </c>
      <c r="F5" t="s">
        <v>219</v>
      </c>
      <c r="G5" t="s">
        <v>220</v>
      </c>
      <c r="H5" t="s">
        <v>221</v>
      </c>
    </row>
    <row r="7" spans="1:7" ht="12.75">
      <c r="A7">
        <v>0</v>
      </c>
      <c r="C7" t="s">
        <v>136</v>
      </c>
      <c r="E7">
        <v>0</v>
      </c>
      <c r="F7">
        <v>0</v>
      </c>
      <c r="G7">
        <v>0</v>
      </c>
    </row>
    <row r="8" spans="1:8" ht="12.75">
      <c r="A8">
        <v>2</v>
      </c>
      <c r="B8">
        <v>1</v>
      </c>
      <c r="C8" t="s">
        <v>25</v>
      </c>
      <c r="D8" t="s">
        <v>112</v>
      </c>
      <c r="E8" s="25">
        <v>643743.3430496455</v>
      </c>
      <c r="F8" s="25">
        <v>230880</v>
      </c>
      <c r="G8" s="25">
        <v>412863.34304964554</v>
      </c>
      <c r="H8" s="25">
        <v>67319.85</v>
      </c>
    </row>
    <row r="9" spans="1:8" ht="12.75">
      <c r="A9">
        <v>8</v>
      </c>
      <c r="B9">
        <v>1</v>
      </c>
      <c r="C9" t="s">
        <v>26</v>
      </c>
      <c r="D9" t="s">
        <v>112</v>
      </c>
      <c r="E9" s="25">
        <v>606757.3830344856</v>
      </c>
      <c r="F9" s="25">
        <v>187590</v>
      </c>
      <c r="G9" s="25">
        <v>419167.3830344856</v>
      </c>
      <c r="H9" s="25">
        <v>34086</v>
      </c>
    </row>
    <row r="10" spans="1:8" ht="12.75">
      <c r="A10" t="s">
        <v>222</v>
      </c>
      <c r="B10">
        <v>1</v>
      </c>
      <c r="C10" t="s">
        <v>29</v>
      </c>
      <c r="D10" t="s">
        <v>114</v>
      </c>
      <c r="E10" s="25">
        <v>715222.3201817271</v>
      </c>
      <c r="F10" s="25">
        <v>320666.6666666667</v>
      </c>
      <c r="G10" s="25">
        <v>394555.6535150604</v>
      </c>
      <c r="H10" s="25">
        <v>26416.65</v>
      </c>
    </row>
    <row r="11" spans="1:8" ht="12.75">
      <c r="A11">
        <v>9</v>
      </c>
      <c r="B11">
        <v>1</v>
      </c>
      <c r="C11" t="s">
        <v>28</v>
      </c>
      <c r="D11" t="s">
        <v>114</v>
      </c>
      <c r="E11" s="25">
        <v>600662.0223175705</v>
      </c>
      <c r="F11" s="25">
        <v>230880</v>
      </c>
      <c r="G11" s="25">
        <v>369782.0223175705</v>
      </c>
      <c r="H11" s="25">
        <v>15338.7</v>
      </c>
    </row>
    <row r="12" spans="5:8" ht="12.75">
      <c r="E12" s="25">
        <v>2566385.068583429</v>
      </c>
      <c r="F12" s="25">
        <v>970016.6666666667</v>
      </c>
      <c r="G12" s="25">
        <v>1596368.4019167619</v>
      </c>
      <c r="H12" s="25">
        <v>143161.2</v>
      </c>
    </row>
    <row r="13" spans="1:8" ht="12.75">
      <c r="A13">
        <v>1</v>
      </c>
      <c r="B13">
        <v>2</v>
      </c>
      <c r="C13" t="s">
        <v>27</v>
      </c>
      <c r="D13" t="s">
        <v>114</v>
      </c>
      <c r="E13" s="25">
        <v>767133.0676206384</v>
      </c>
      <c r="F13" s="25">
        <v>353535</v>
      </c>
      <c r="G13" s="25">
        <v>413598.0676206384</v>
      </c>
      <c r="H13" s="25">
        <v>36642.45</v>
      </c>
    </row>
    <row r="14" spans="1:8" ht="12.75">
      <c r="A14">
        <v>7</v>
      </c>
      <c r="B14">
        <v>2</v>
      </c>
      <c r="C14" t="s">
        <v>38</v>
      </c>
      <c r="D14" t="s">
        <v>114</v>
      </c>
      <c r="E14" s="25">
        <v>396357.72136338364</v>
      </c>
      <c r="F14" s="25">
        <v>57720</v>
      </c>
      <c r="G14" s="25">
        <v>338637.72136338364</v>
      </c>
      <c r="H14" s="25">
        <v>0</v>
      </c>
    </row>
    <row r="15" spans="1:8" ht="12.75">
      <c r="A15">
        <v>10</v>
      </c>
      <c r="B15">
        <v>2</v>
      </c>
      <c r="C15" t="s">
        <v>36</v>
      </c>
      <c r="D15" t="s">
        <v>116</v>
      </c>
      <c r="E15" s="25">
        <v>310611.01889215363</v>
      </c>
      <c r="F15" s="25">
        <v>78660</v>
      </c>
      <c r="G15" s="25">
        <v>231951.01889215363</v>
      </c>
      <c r="H15" s="25">
        <v>18747.3</v>
      </c>
    </row>
    <row r="16" spans="1:8" ht="12.75">
      <c r="A16">
        <v>4</v>
      </c>
      <c r="B16">
        <v>2</v>
      </c>
      <c r="C16" t="s">
        <v>73</v>
      </c>
      <c r="D16" t="s">
        <v>118</v>
      </c>
      <c r="E16" s="25">
        <v>318564.39159031305</v>
      </c>
      <c r="F16" s="25">
        <v>131100</v>
      </c>
      <c r="G16" s="25">
        <v>187464.39159031305</v>
      </c>
      <c r="H16" s="25">
        <v>0</v>
      </c>
    </row>
    <row r="17" spans="1:8" ht="12.75">
      <c r="A17">
        <v>3</v>
      </c>
      <c r="B17">
        <v>2</v>
      </c>
      <c r="C17" t="s">
        <v>39</v>
      </c>
      <c r="D17" t="s">
        <v>114</v>
      </c>
      <c r="E17" s="25">
        <v>548390.7000429211</v>
      </c>
      <c r="F17" s="25">
        <v>119054.72222222222</v>
      </c>
      <c r="G17" s="25">
        <v>429335.97782069887</v>
      </c>
      <c r="H17" s="25">
        <v>11930.1</v>
      </c>
    </row>
    <row r="18" spans="1:8" ht="12.75">
      <c r="A18">
        <v>12</v>
      </c>
      <c r="B18">
        <v>2</v>
      </c>
      <c r="C18" t="s">
        <v>32</v>
      </c>
      <c r="D18" t="s">
        <v>119</v>
      </c>
      <c r="E18" s="25">
        <v>241102.922098525</v>
      </c>
      <c r="F18" s="25">
        <v>0</v>
      </c>
      <c r="G18" s="25">
        <v>241102.922098525</v>
      </c>
      <c r="H18" s="25">
        <v>0</v>
      </c>
    </row>
    <row r="19" spans="1:8" ht="12.75">
      <c r="A19">
        <v>14</v>
      </c>
      <c r="B19">
        <v>2</v>
      </c>
      <c r="C19" t="s">
        <v>30</v>
      </c>
      <c r="D19" t="s">
        <v>119</v>
      </c>
      <c r="E19" s="25">
        <v>241102.922098525</v>
      </c>
      <c r="F19" s="25">
        <v>0</v>
      </c>
      <c r="G19" s="25">
        <v>241102.922098525</v>
      </c>
      <c r="H19" s="25">
        <v>0</v>
      </c>
    </row>
    <row r="20" spans="1:8" ht="12.75">
      <c r="A20">
        <v>17</v>
      </c>
      <c r="B20">
        <v>2</v>
      </c>
      <c r="C20" t="s">
        <v>31</v>
      </c>
      <c r="D20" t="s">
        <v>119</v>
      </c>
      <c r="E20" s="25">
        <v>241102.922098525</v>
      </c>
      <c r="F20" s="25">
        <v>0</v>
      </c>
      <c r="G20" s="25">
        <v>241102.922098525</v>
      </c>
      <c r="H20" s="25">
        <v>0</v>
      </c>
    </row>
    <row r="21" spans="1:8" ht="12.75">
      <c r="A21">
        <v>16</v>
      </c>
      <c r="B21">
        <v>2</v>
      </c>
      <c r="C21" t="s">
        <v>33</v>
      </c>
      <c r="D21" t="s">
        <v>123</v>
      </c>
      <c r="E21" s="25">
        <v>156321.17930770002</v>
      </c>
      <c r="F21" s="25">
        <v>0</v>
      </c>
      <c r="G21" s="25">
        <v>156321.17930770002</v>
      </c>
      <c r="H21" s="25">
        <v>0</v>
      </c>
    </row>
    <row r="22" spans="5:8" ht="12.75">
      <c r="E22" s="25">
        <v>3220686.8451126846</v>
      </c>
      <c r="F22" s="25">
        <v>740069.7222222222</v>
      </c>
      <c r="G22" s="25">
        <v>2480617.122890463</v>
      </c>
      <c r="H22" s="25">
        <v>67319.85</v>
      </c>
    </row>
    <row r="23" spans="3:8" ht="12.75">
      <c r="C23" t="s">
        <v>223</v>
      </c>
      <c r="E23" s="25">
        <v>5787071.913696114</v>
      </c>
      <c r="F23" s="25">
        <v>1710086.388888889</v>
      </c>
      <c r="G23" s="25">
        <v>4076985.524807225</v>
      </c>
      <c r="H23" s="25">
        <v>210481.05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K131"/>
  <sheetViews>
    <sheetView showGridLines="0" showZeros="0" tabSelected="1" zoomScale="85" zoomScaleNormal="85" workbookViewId="0" topLeftCell="A1">
      <pane xSplit="1" ySplit="11" topLeftCell="B12" activePane="bottomRight" state="frozen"/>
      <selection pane="topLeft" activeCell="D52" sqref="D52"/>
      <selection pane="topRight" activeCell="D52" sqref="D52"/>
      <selection pane="bottomLeft" activeCell="D52" sqref="D52"/>
      <selection pane="bottomRight" activeCell="D5" sqref="D5"/>
    </sheetView>
  </sheetViews>
  <sheetFormatPr defaultColWidth="9.140625" defaultRowHeight="12.75"/>
  <cols>
    <col min="1" max="1" width="5.421875" style="0" hidden="1" customWidth="1"/>
    <col min="2" max="2" width="4.57421875" style="0" customWidth="1"/>
    <col min="4" max="4" width="28.28125" style="0" customWidth="1"/>
    <col min="5" max="5" width="12.00390625" style="28" customWidth="1"/>
    <col min="6" max="6" width="10.28125" style="0" bestFit="1" customWidth="1"/>
    <col min="7" max="7" width="15.421875" style="0" bestFit="1" customWidth="1"/>
    <col min="8" max="8" width="4.140625" style="0" customWidth="1"/>
    <col min="10" max="10" width="11.28125" style="143" hidden="1" customWidth="1"/>
    <col min="11" max="11" width="9.140625" style="143" hidden="1" customWidth="1"/>
  </cols>
  <sheetData>
    <row r="1" spans="1:8" ht="12.75">
      <c r="A1" s="35">
        <f>A56</f>
        <v>0</v>
      </c>
      <c r="B1" s="41"/>
      <c r="C1" s="42"/>
      <c r="D1" s="42"/>
      <c r="E1" s="43"/>
      <c r="F1" s="42"/>
      <c r="G1" s="42"/>
      <c r="H1" s="44"/>
    </row>
    <row r="2" spans="2:8" ht="15.75">
      <c r="B2" s="45"/>
      <c r="C2" s="46"/>
      <c r="D2" s="63" t="s">
        <v>162</v>
      </c>
      <c r="E2" s="47"/>
      <c r="F2" s="46"/>
      <c r="G2" s="46"/>
      <c r="H2" s="48"/>
    </row>
    <row r="3" spans="2:8" ht="15.75">
      <c r="B3" s="45"/>
      <c r="C3" s="62">
        <f>IF(D6="X","",IF(ABS(ROUND(A1,0))=0,"","ERROR!"))</f>
      </c>
      <c r="D3" s="63"/>
      <c r="E3" s="64" t="s">
        <v>163</v>
      </c>
      <c r="F3" s="46"/>
      <c r="G3" s="46"/>
      <c r="H3" s="48"/>
    </row>
    <row r="4" spans="2:8" ht="13.5" thickBot="1">
      <c r="B4" s="45"/>
      <c r="C4" s="46"/>
      <c r="D4" s="46"/>
      <c r="E4" s="47"/>
      <c r="F4" s="46"/>
      <c r="G4" s="46"/>
      <c r="H4" s="48"/>
    </row>
    <row r="5" spans="2:10" ht="13.5" thickBot="1">
      <c r="B5" s="45"/>
      <c r="C5" s="193" t="s">
        <v>2</v>
      </c>
      <c r="D5" s="190" t="s">
        <v>136</v>
      </c>
      <c r="E5" s="47"/>
      <c r="F5" s="65" t="s">
        <v>164</v>
      </c>
      <c r="G5" s="66">
        <v>40331</v>
      </c>
      <c r="H5" s="48"/>
      <c r="J5" s="143" t="s">
        <v>244</v>
      </c>
    </row>
    <row r="6" spans="2:10" ht="13.5" thickBot="1">
      <c r="B6" s="45"/>
      <c r="C6" s="193" t="s">
        <v>4</v>
      </c>
      <c r="D6" s="191" t="str">
        <f>VLOOKUP(D5,Data!C:H,6,0)</f>
        <v>X</v>
      </c>
      <c r="E6" s="47"/>
      <c r="F6" s="65" t="s">
        <v>165</v>
      </c>
      <c r="G6" s="66">
        <f ca="1">NOW()</f>
        <v>40331.46284918982</v>
      </c>
      <c r="H6" s="48"/>
      <c r="J6" s="144">
        <f>VLOOKUP(D5,alloc0910!B9:C32,2,0)</f>
        <v>0</v>
      </c>
    </row>
    <row r="7" spans="2:10" ht="13.5" thickBot="1">
      <c r="B7" s="45"/>
      <c r="C7" s="193" t="s">
        <v>282</v>
      </c>
      <c r="D7" s="191">
        <f>VLOOKUP(D5,Data!C:Y,22,0)</f>
        <v>0</v>
      </c>
      <c r="E7" s="47"/>
      <c r="F7" s="65"/>
      <c r="G7" s="66"/>
      <c r="H7" s="48"/>
      <c r="J7" s="144"/>
    </row>
    <row r="8" spans="2:10" ht="13.5" thickBot="1">
      <c r="B8" s="45"/>
      <c r="C8" s="193" t="s">
        <v>125</v>
      </c>
      <c r="D8" s="192">
        <f>G56</f>
        <v>0</v>
      </c>
      <c r="E8" s="47"/>
      <c r="F8" s="46"/>
      <c r="G8" s="46"/>
      <c r="H8" s="48"/>
      <c r="J8" s="145" t="e">
        <f>VLOOKUP(D5,'All Centres'!C12:F41,3,0)-J56</f>
        <v>#N/A</v>
      </c>
    </row>
    <row r="9" spans="2:10" ht="12.75">
      <c r="B9" s="45"/>
      <c r="C9" s="46"/>
      <c r="D9" s="173"/>
      <c r="E9" s="47"/>
      <c r="F9" s="46"/>
      <c r="G9" s="46"/>
      <c r="H9" s="48"/>
      <c r="J9" s="145"/>
    </row>
    <row r="10" spans="2:10" ht="13.5" thickBot="1">
      <c r="B10" s="45"/>
      <c r="C10" s="46"/>
      <c r="D10" s="174" t="s">
        <v>272</v>
      </c>
      <c r="E10" s="47"/>
      <c r="F10" s="46"/>
      <c r="G10" s="46"/>
      <c r="H10" s="48"/>
      <c r="J10" s="145"/>
    </row>
    <row r="11" spans="2:8" ht="13.5" thickTop="1">
      <c r="B11" s="49"/>
      <c r="C11" s="50"/>
      <c r="D11" s="50"/>
      <c r="E11" s="51"/>
      <c r="F11" s="50"/>
      <c r="G11" s="50"/>
      <c r="H11" s="52"/>
    </row>
    <row r="13" spans="3:7" ht="12.75">
      <c r="C13" s="160" t="s">
        <v>137</v>
      </c>
      <c r="D13" s="75"/>
      <c r="E13" s="161"/>
      <c r="F13" s="75"/>
      <c r="G13" s="76"/>
    </row>
    <row r="14" spans="3:7" ht="12.75">
      <c r="C14" s="77"/>
      <c r="D14" s="162" t="s">
        <v>9</v>
      </c>
      <c r="E14" s="163">
        <f>VLOOKUP(D$5,Data!C:G,2,0)</f>
        <v>0</v>
      </c>
      <c r="F14" s="162">
        <f>IF(E$17="Childcare","Places:","")</f>
      </c>
      <c r="G14" s="78"/>
    </row>
    <row r="15" spans="3:7" ht="12.75">
      <c r="C15" s="77"/>
      <c r="D15" s="162" t="s">
        <v>138</v>
      </c>
      <c r="E15" s="164">
        <f>VLOOKUP(D$5,Data!C:G,3,0)</f>
        <v>0</v>
      </c>
      <c r="F15" s="162">
        <f>IF(E$17="Childcare","Age 0-2","")</f>
      </c>
      <c r="G15" s="165">
        <f>IF(E17="Childcare",VLOOKUP(D$5,Data!C$6:M$31,9,0),"")</f>
      </c>
    </row>
    <row r="16" spans="3:7" ht="12.75">
      <c r="C16" s="77"/>
      <c r="D16" s="162" t="s">
        <v>19</v>
      </c>
      <c r="E16" s="164">
        <f>IF(D6="X",0,IF(VLOOKUP(D$5,Data!C:G,5,0)="SA","Stand Alone","School"))</f>
        <v>0</v>
      </c>
      <c r="F16" s="162">
        <f>IF(E$17="Childcare","Age 2-3","")</f>
      </c>
      <c r="G16" s="165">
        <f>IF(E17="Childcare",VLOOKUP(D$5,Data!C$6:M$31,10,0),"")</f>
      </c>
    </row>
    <row r="17" spans="3:7" ht="12.75">
      <c r="C17" s="77"/>
      <c r="D17" s="162" t="s">
        <v>3</v>
      </c>
      <c r="E17" s="164">
        <f>IF(D6="X",0,IF(VLOOKUP(D$5,Data!C:G,4,0)="NC","No Childcare","Childcare"))</f>
        <v>0</v>
      </c>
      <c r="F17" s="162">
        <f>IF(E$17="Childcare","Age 3-4","")</f>
      </c>
      <c r="G17" s="165">
        <f>IF(E17="Childcare",VLOOKUP(D$5,Data!C$6:M$31,11,0),"")</f>
      </c>
    </row>
    <row r="18" spans="3:7" ht="12.75">
      <c r="C18" s="82"/>
      <c r="D18" s="166"/>
      <c r="E18" s="167"/>
      <c r="F18" s="166"/>
      <c r="G18" s="168"/>
    </row>
    <row r="20" spans="3:11" ht="12.75">
      <c r="C20" s="2" t="s">
        <v>139</v>
      </c>
      <c r="E20" s="39" t="s">
        <v>90</v>
      </c>
      <c r="F20" s="39" t="s">
        <v>130</v>
      </c>
      <c r="G20" s="39" t="s">
        <v>125</v>
      </c>
      <c r="J20" s="146" t="s">
        <v>151</v>
      </c>
      <c r="K20" s="146" t="s">
        <v>127</v>
      </c>
    </row>
    <row r="21" spans="1:11" ht="12.75">
      <c r="A21">
        <v>2</v>
      </c>
      <c r="D21" t="s">
        <v>10</v>
      </c>
      <c r="E21" s="28">
        <f>VLOOKUP(D$6,Types!I$5:V$16,A21,0)</f>
        <v>0</v>
      </c>
      <c r="F21" s="25">
        <f>Types!J20</f>
        <v>57486</v>
      </c>
      <c r="G21" s="25">
        <f>E21*F21*D$7/12</f>
        <v>0</v>
      </c>
      <c r="J21" s="147">
        <f>VLOOKUP(J$6,'basic entitlement 0910'!A$14:S$30,4,0)</f>
        <v>0</v>
      </c>
      <c r="K21" s="145">
        <f>ROUND(G21-J21,0)</f>
        <v>0</v>
      </c>
    </row>
    <row r="22" spans="1:11" ht="12.75">
      <c r="A22">
        <v>10</v>
      </c>
      <c r="D22" t="s">
        <v>82</v>
      </c>
      <c r="E22" s="28">
        <f>VLOOKUP(D$6,Types!I$5:V$16,A22,0)</f>
        <v>0</v>
      </c>
      <c r="F22" s="25">
        <f>Types!R20</f>
        <v>47607</v>
      </c>
      <c r="G22" s="25">
        <f aca="true" t="shared" si="0" ref="G22:G32">E22*F22*D$7/12</f>
        <v>0</v>
      </c>
      <c r="J22" s="147">
        <f>VLOOKUP(J$6,'basic entitlement 0910'!A$14:S$30,5,0)</f>
        <v>0</v>
      </c>
      <c r="K22" s="145">
        <f aca="true" t="shared" si="1" ref="K22:K31">ROUND(G22-J22,0)</f>
        <v>0</v>
      </c>
    </row>
    <row r="23" spans="1:11" ht="12.75">
      <c r="A23">
        <v>8</v>
      </c>
      <c r="D23" t="s">
        <v>94</v>
      </c>
      <c r="E23" s="28">
        <f>VLOOKUP(D$6,Types!I$5:V$16,A23,0)</f>
        <v>0</v>
      </c>
      <c r="F23" s="25">
        <f>Types!P20</f>
        <v>53825</v>
      </c>
      <c r="G23" s="25">
        <f t="shared" si="0"/>
        <v>0</v>
      </c>
      <c r="J23" s="147">
        <f>VLOOKUP(J$6,'basic entitlement 0910'!A$14:S$30,7,0)</f>
        <v>0</v>
      </c>
      <c r="K23" s="145">
        <f t="shared" si="1"/>
        <v>0</v>
      </c>
    </row>
    <row r="24" spans="1:11" ht="12.75">
      <c r="A24">
        <v>3</v>
      </c>
      <c r="D24" t="s">
        <v>71</v>
      </c>
      <c r="E24" s="28">
        <f>VLOOKUP(D$6,Types!I$5:V$16,A24,0)</f>
        <v>0</v>
      </c>
      <c r="F24" s="25">
        <f>Types!K20</f>
        <v>5196.889999999999</v>
      </c>
      <c r="G24" s="25">
        <f t="shared" si="0"/>
        <v>0</v>
      </c>
      <c r="J24" s="147">
        <f>VLOOKUP(J$6,'basic entitlement 0910'!A$14:AS$30,23,0)</f>
        <v>0</v>
      </c>
      <c r="K24" s="145">
        <f t="shared" si="1"/>
        <v>0</v>
      </c>
    </row>
    <row r="25" spans="1:11" ht="12.75">
      <c r="A25">
        <v>4</v>
      </c>
      <c r="D25" t="s">
        <v>141</v>
      </c>
      <c r="E25" s="28">
        <f>VLOOKUP(D$6,Types!I$5:V$16,A25,0)</f>
        <v>0</v>
      </c>
      <c r="F25" s="25">
        <f>Types!L20</f>
        <v>49252.28</v>
      </c>
      <c r="G25" s="25">
        <f t="shared" si="0"/>
        <v>0</v>
      </c>
      <c r="J25" s="147">
        <f>VLOOKUP(J$6,'basic entitlement 0910'!A$14:S$30,6,0)</f>
        <v>0</v>
      </c>
      <c r="K25" s="145">
        <f t="shared" si="1"/>
        <v>0</v>
      </c>
    </row>
    <row r="26" spans="1:11" ht="12.75">
      <c r="A26">
        <v>6</v>
      </c>
      <c r="D26" t="s">
        <v>142</v>
      </c>
      <c r="E26" s="28">
        <f>VLOOKUP(D$6,Types!I$5:V$16,A26,0)</f>
        <v>0</v>
      </c>
      <c r="F26" s="25">
        <f>Types!N20</f>
        <v>29508</v>
      </c>
      <c r="G26" s="25">
        <f t="shared" si="0"/>
        <v>0</v>
      </c>
      <c r="J26" s="147">
        <f>VLOOKUP(D$5,alloc0910!B$7:W$33,12,0)</f>
        <v>0</v>
      </c>
      <c r="K26" s="145">
        <f t="shared" si="1"/>
        <v>0</v>
      </c>
    </row>
    <row r="27" spans="1:11" ht="12.75">
      <c r="A27">
        <v>7</v>
      </c>
      <c r="D27" t="s">
        <v>143</v>
      </c>
      <c r="E27" s="28">
        <f>VLOOKUP(D$6,Types!I$5:V$16,A27,0)</f>
        <v>0</v>
      </c>
      <c r="F27" s="25">
        <f>Types!O20</f>
        <v>29508</v>
      </c>
      <c r="G27" s="25">
        <f t="shared" si="0"/>
        <v>0</v>
      </c>
      <c r="J27" s="147">
        <f>VLOOKUP(D$5,alloc0910!B$7:W$33,13,0)</f>
        <v>0</v>
      </c>
      <c r="K27" s="145">
        <f t="shared" si="1"/>
        <v>0</v>
      </c>
    </row>
    <row r="28" spans="1:11" ht="12.75">
      <c r="A28">
        <v>5</v>
      </c>
      <c r="D28" t="s">
        <v>140</v>
      </c>
      <c r="E28" s="28">
        <f>VLOOKUP(D$6,Types!I$5:V$16,A28,0)</f>
        <v>0</v>
      </c>
      <c r="F28" s="25">
        <f>Types!M20</f>
        <v>25427</v>
      </c>
      <c r="G28" s="25">
        <f t="shared" si="0"/>
        <v>0</v>
      </c>
      <c r="J28" s="147">
        <f>VLOOKUP(J$6,'basic entitlement 0910'!A$14:S$30,9,0)</f>
        <v>0</v>
      </c>
      <c r="K28" s="145">
        <f t="shared" si="1"/>
        <v>0</v>
      </c>
    </row>
    <row r="29" spans="1:11" ht="12.75">
      <c r="A29">
        <v>12</v>
      </c>
      <c r="D29" t="s">
        <v>144</v>
      </c>
      <c r="E29" s="28">
        <f>VLOOKUP(D$6,Types!I$5:V$16,A29,0)</f>
        <v>0</v>
      </c>
      <c r="F29" s="25">
        <f>Types!T20</f>
        <v>25427</v>
      </c>
      <c r="G29" s="25">
        <f t="shared" si="0"/>
        <v>0</v>
      </c>
      <c r="J29" s="147">
        <f>VLOOKUP(J$6,'basic entitlement 0910'!A$14:S$30,8,0)</f>
        <v>0</v>
      </c>
      <c r="K29" s="145">
        <f t="shared" si="1"/>
        <v>0</v>
      </c>
    </row>
    <row r="30" spans="1:11" ht="12.75">
      <c r="A30">
        <v>11</v>
      </c>
      <c r="D30" t="s">
        <v>146</v>
      </c>
      <c r="E30" s="28">
        <f>VLOOKUP(D$6,Types!I$5:V$16,A30,0)</f>
        <v>0</v>
      </c>
      <c r="F30" s="25">
        <f>Types!S20</f>
        <v>25427</v>
      </c>
      <c r="G30" s="25">
        <f t="shared" si="0"/>
        <v>0</v>
      </c>
      <c r="J30" s="147">
        <f>VLOOKUP(J$6,'basic entitlement 0910'!A$14:S$30,11,0)</f>
        <v>0</v>
      </c>
      <c r="K30" s="145">
        <f t="shared" si="1"/>
        <v>0</v>
      </c>
    </row>
    <row r="31" spans="1:11" ht="12.75">
      <c r="A31">
        <v>13</v>
      </c>
      <c r="D31" t="s">
        <v>145</v>
      </c>
      <c r="E31" s="28">
        <f>VLOOKUP(D$6,Types!I$5:V$16,A31,0)</f>
        <v>0</v>
      </c>
      <c r="F31" s="25">
        <f>Types!U20</f>
        <v>20401</v>
      </c>
      <c r="G31" s="25">
        <f t="shared" si="0"/>
        <v>0</v>
      </c>
      <c r="J31" s="147">
        <f>VLOOKUP(J$6,'basic entitlement 0910'!A$14:S$30,12,0)</f>
        <v>0</v>
      </c>
      <c r="K31" s="145">
        <f t="shared" si="1"/>
        <v>0</v>
      </c>
    </row>
    <row r="32" spans="1:11" ht="12.75">
      <c r="A32">
        <v>9</v>
      </c>
      <c r="D32" t="s">
        <v>12</v>
      </c>
      <c r="E32" s="28">
        <f>VLOOKUP(D$6,Types!I$5:V$16,A32,0)</f>
        <v>0</v>
      </c>
      <c r="F32" s="25">
        <f>Types!Q20</f>
        <v>21841</v>
      </c>
      <c r="G32" s="25">
        <f t="shared" si="0"/>
        <v>0</v>
      </c>
      <c r="J32" s="147">
        <f>VLOOKUP(J$6,'basic entitlement 0910'!A$14:S$30,10,0)</f>
        <v>0</v>
      </c>
      <c r="K32" s="145">
        <f>ROUND(G32-J32,0)</f>
        <v>0</v>
      </c>
    </row>
    <row r="33" spans="4:11" ht="12.75">
      <c r="D33" s="2" t="s">
        <v>135</v>
      </c>
      <c r="G33" s="40">
        <f>SUM(G21:G32)</f>
        <v>0</v>
      </c>
      <c r="J33" s="148">
        <f>SUM(J21:J32)</f>
        <v>0</v>
      </c>
      <c r="K33" s="148">
        <f>SUM(K21:K32)</f>
        <v>0</v>
      </c>
    </row>
    <row r="35" spans="3:6" ht="12.75">
      <c r="C35" s="2" t="s">
        <v>147</v>
      </c>
      <c r="D35" s="2"/>
      <c r="E35" s="39" t="s">
        <v>160</v>
      </c>
      <c r="F35" s="39"/>
    </row>
    <row r="36" spans="4:11" ht="12.75">
      <c r="D36" t="s">
        <v>100</v>
      </c>
      <c r="E36" s="55">
        <f>VLOOKUP(D$6,Types!I:Z,15,0)</f>
        <v>0</v>
      </c>
      <c r="F36" s="25">
        <f>Types!W20</f>
        <v>4116.7919999999995</v>
      </c>
      <c r="G36" s="25">
        <f>E36*F36*D$7/12</f>
        <v>0</v>
      </c>
      <c r="J36" s="147">
        <f>VLOOKUP(J$6,'basic entitlement 0910'!A$14:AS$30,21,0)</f>
        <v>0</v>
      </c>
      <c r="K36" s="145">
        <f>G36-J36</f>
        <v>0</v>
      </c>
    </row>
    <row r="37" spans="4:11" ht="12.75">
      <c r="D37" s="26" t="s">
        <v>159</v>
      </c>
      <c r="E37" s="55">
        <f>VLOOKUP(D$6,Types!I:V,14,0)</f>
        <v>0</v>
      </c>
      <c r="F37" s="25">
        <f>Types!X20</f>
        <v>823.3583999999998</v>
      </c>
      <c r="G37" s="25">
        <f aca="true" t="shared" si="2" ref="G37:G47">E37*F37*D$7/12</f>
        <v>0</v>
      </c>
      <c r="J37" s="147">
        <f>VLOOKUP(J$6,'basic entitlement 0910'!A$14:AS$30,22,0)</f>
        <v>0</v>
      </c>
      <c r="K37" s="145">
        <f aca="true" t="shared" si="3" ref="K37:K47">G37-J37</f>
        <v>0</v>
      </c>
    </row>
    <row r="38" spans="4:11" ht="12.75">
      <c r="D38" s="26" t="s">
        <v>103</v>
      </c>
      <c r="E38" s="55">
        <f>VLOOKUP(D$6,Types!I:Z,17,0)</f>
        <v>0</v>
      </c>
      <c r="F38" s="25">
        <f>Types!Y20</f>
        <v>2058.3959999999997</v>
      </c>
      <c r="G38" s="25">
        <f t="shared" si="2"/>
        <v>0</v>
      </c>
      <c r="J38" s="147">
        <f>VLOOKUP(J$6,'basic entitlement 0910'!A$14:AS$30,24,0)</f>
        <v>0</v>
      </c>
      <c r="K38" s="145">
        <f t="shared" si="3"/>
        <v>0</v>
      </c>
    </row>
    <row r="39" spans="4:11" ht="12.75">
      <c r="D39" s="26" t="s">
        <v>156</v>
      </c>
      <c r="E39" s="55">
        <f>VLOOKUP(D$6,Types!I:Z,18,0)</f>
        <v>0</v>
      </c>
      <c r="F39" s="25">
        <f>Types!Z20</f>
        <v>2058.3959999999997</v>
      </c>
      <c r="G39" s="25">
        <f t="shared" si="2"/>
        <v>0</v>
      </c>
      <c r="J39" s="147">
        <f>VLOOKUP(J$6,'basic entitlement 0910'!A$14:AS$30,25,0)</f>
        <v>0</v>
      </c>
      <c r="K39" s="145">
        <f t="shared" si="3"/>
        <v>0</v>
      </c>
    </row>
    <row r="40" spans="4:11" ht="12.75">
      <c r="D40" s="26" t="s">
        <v>105</v>
      </c>
      <c r="E40" s="55">
        <f>VLOOKUP(D$6,Types!I:AZ,19,0)</f>
        <v>0</v>
      </c>
      <c r="F40" s="25">
        <f>Types!AA20</f>
        <v>2058.3959999999997</v>
      </c>
      <c r="G40" s="25">
        <f t="shared" si="2"/>
        <v>0</v>
      </c>
      <c r="J40" s="147">
        <f>VLOOKUP(J$6,'basic entitlement 0910'!A$14:AS$30,26,0)</f>
        <v>0</v>
      </c>
      <c r="K40" s="145">
        <f t="shared" si="3"/>
        <v>0</v>
      </c>
    </row>
    <row r="41" spans="4:11" ht="12.75">
      <c r="D41" s="26" t="s">
        <v>106</v>
      </c>
      <c r="E41" s="55">
        <f>VLOOKUP(D$6,Types!I:AZ,20,0)</f>
        <v>0</v>
      </c>
      <c r="F41" s="25">
        <f>Types!AB20</f>
        <v>23671.553999999996</v>
      </c>
      <c r="G41" s="25">
        <f t="shared" si="2"/>
        <v>0</v>
      </c>
      <c r="J41" s="147">
        <f>VLOOKUP(J$6,'basic entitlement 0910'!A$14:AS$30,27,0)</f>
        <v>0</v>
      </c>
      <c r="K41" s="145">
        <f t="shared" si="3"/>
        <v>0</v>
      </c>
    </row>
    <row r="42" spans="4:11" ht="12.75">
      <c r="D42" s="26" t="s">
        <v>157</v>
      </c>
      <c r="E42" s="55">
        <f>VLOOKUP(D$6,Types!I:AZ,21,0)</f>
        <v>0</v>
      </c>
      <c r="F42" s="25">
        <f>Types!AC20</f>
        <v>3087.5939999999996</v>
      </c>
      <c r="G42" s="25">
        <f t="shared" si="2"/>
        <v>0</v>
      </c>
      <c r="J42" s="147">
        <f>VLOOKUP(J$6,'basic entitlement 0910'!A$14:AS$30,28,0)</f>
        <v>0</v>
      </c>
      <c r="K42" s="145">
        <f t="shared" si="3"/>
        <v>0</v>
      </c>
    </row>
    <row r="43" spans="4:11" ht="12.75">
      <c r="D43" s="26" t="s">
        <v>176</v>
      </c>
      <c r="E43" s="57">
        <f>VLOOKUP(D6,Types!I4:AG17,24,0)</f>
        <v>0</v>
      </c>
      <c r="F43" s="25">
        <f>Types!AF20</f>
        <v>1260.7675499999998</v>
      </c>
      <c r="G43" s="25">
        <f t="shared" si="2"/>
        <v>0</v>
      </c>
      <c r="J43" s="147">
        <f>VLOOKUP(J$6,'basic entitlement 0910'!A$14:AS$30,30,0)</f>
        <v>0</v>
      </c>
      <c r="K43" s="145">
        <f t="shared" si="3"/>
        <v>0</v>
      </c>
    </row>
    <row r="44" spans="4:11" ht="12.75">
      <c r="D44" s="26" t="s">
        <v>258</v>
      </c>
      <c r="E44" s="139">
        <f>VLOOKUP(D$6,Types!I$4:AG$18,23,0)</f>
        <v>0</v>
      </c>
      <c r="F44" s="25">
        <f>Types!AE20</f>
        <v>833.6503799999999</v>
      </c>
      <c r="G44" s="25">
        <f t="shared" si="2"/>
        <v>0</v>
      </c>
      <c r="J44" s="147">
        <f>VLOOKUP(J$6,'basic entitlement 0910'!A$14:AH$25,31,0)</f>
        <v>0</v>
      </c>
      <c r="K44" s="145">
        <f t="shared" si="3"/>
        <v>0</v>
      </c>
    </row>
    <row r="45" spans="4:11" ht="12.75">
      <c r="D45" s="26" t="s">
        <v>111</v>
      </c>
      <c r="E45" s="57">
        <f>VLOOKUP(D$6,Types!I$4:AG$18,25,0)</f>
        <v>0</v>
      </c>
      <c r="F45" s="25">
        <f>Types!AG20</f>
        <v>2058.3959999999997</v>
      </c>
      <c r="G45" s="25">
        <f t="shared" si="2"/>
        <v>0</v>
      </c>
      <c r="J45" s="147">
        <f>VLOOKUP(J$6,'basic entitlement 0910'!A$14:AH$25,32,0)</f>
        <v>0</v>
      </c>
      <c r="K45" s="145">
        <f t="shared" si="3"/>
        <v>0</v>
      </c>
    </row>
    <row r="46" spans="4:11" ht="12.75">
      <c r="D46" s="26" t="s">
        <v>257</v>
      </c>
      <c r="E46" s="57"/>
      <c r="F46" s="25"/>
      <c r="G46" s="25">
        <f t="shared" si="2"/>
        <v>0</v>
      </c>
      <c r="J46" s="147">
        <f>VLOOKUP(D5,alloc0910!B7:R230,16,0)</f>
        <v>0</v>
      </c>
      <c r="K46" s="145">
        <f t="shared" si="3"/>
        <v>0</v>
      </c>
    </row>
    <row r="47" spans="4:11" ht="12.75">
      <c r="D47" s="26" t="s">
        <v>158</v>
      </c>
      <c r="E47" s="57">
        <f>VLOOKUP(D5,Data!C:P,12,0)</f>
        <v>0</v>
      </c>
      <c r="F47" s="24">
        <f>Types!AD20</f>
        <v>39.585</v>
      </c>
      <c r="G47" s="25">
        <f t="shared" si="2"/>
        <v>0</v>
      </c>
      <c r="J47" s="147">
        <f>VLOOKUP(D$5,alloc0910!B$7:W$33,14,0)</f>
        <v>0</v>
      </c>
      <c r="K47" s="145">
        <f t="shared" si="3"/>
        <v>0</v>
      </c>
    </row>
    <row r="48" spans="4:11" ht="12.75">
      <c r="D48" s="2" t="s">
        <v>135</v>
      </c>
      <c r="G48" s="58">
        <f>SUM(G36:G47)</f>
        <v>0</v>
      </c>
      <c r="J48" s="149">
        <f>SUM(J36:J47)</f>
        <v>0</v>
      </c>
      <c r="K48" s="149">
        <f>SUM(K36:K47)</f>
        <v>0</v>
      </c>
    </row>
    <row r="50" spans="3:4" ht="12.75">
      <c r="C50" s="182" t="s">
        <v>3</v>
      </c>
      <c r="D50" s="182"/>
    </row>
    <row r="51" spans="3:11" ht="12.75">
      <c r="C51" s="59"/>
      <c r="D51" s="59" t="s">
        <v>270</v>
      </c>
      <c r="E51" s="183" t="s">
        <v>209</v>
      </c>
      <c r="G51" s="159">
        <f>Children!G18</f>
        <v>0</v>
      </c>
      <c r="J51" s="147">
        <f>Children!J18</f>
        <v>0</v>
      </c>
      <c r="K51" s="145">
        <f>G51-J51</f>
        <v>0</v>
      </c>
    </row>
    <row r="52" spans="3:11" ht="13.5" thickBot="1">
      <c r="C52" s="59"/>
      <c r="D52" s="59" t="s">
        <v>271</v>
      </c>
      <c r="E52" s="184"/>
      <c r="G52" s="159">
        <f>Children!G23</f>
        <v>0</v>
      </c>
      <c r="J52" s="147">
        <f>Children!J23</f>
        <v>0</v>
      </c>
      <c r="K52" s="145">
        <f>G52-J52</f>
        <v>0</v>
      </c>
    </row>
    <row r="53" spans="3:4" ht="13.5" hidden="1" thickTop="1">
      <c r="C53" s="59"/>
      <c r="D53" s="59"/>
    </row>
    <row r="54" spans="7:11" ht="12.75" hidden="1">
      <c r="G54" s="157"/>
      <c r="J54" s="149">
        <f>J51-J52</f>
        <v>0</v>
      </c>
      <c r="K54" s="149">
        <f>G54-J54</f>
        <v>0</v>
      </c>
    </row>
    <row r="55" ht="14.25" thickBot="1" thickTop="1"/>
    <row r="56" spans="1:11" ht="13.5" thickBot="1">
      <c r="A56" s="35">
        <f>VLOOKUP(D5,Data!C:Z,23,0)-G56</f>
        <v>0</v>
      </c>
      <c r="C56" s="2" t="s">
        <v>161</v>
      </c>
      <c r="G56" s="61">
        <f>G33+G48+G51-G52</f>
        <v>0</v>
      </c>
      <c r="J56" s="150">
        <f>J33+J48+J54</f>
        <v>0</v>
      </c>
      <c r="K56" s="150">
        <f>K33+K48+K54</f>
        <v>0</v>
      </c>
    </row>
    <row r="58" spans="2:8" ht="12.75">
      <c r="B58" s="41"/>
      <c r="C58" s="42" t="s">
        <v>267</v>
      </c>
      <c r="D58" s="42"/>
      <c r="E58" s="43"/>
      <c r="F58" s="42"/>
      <c r="G58" s="42"/>
      <c r="H58" s="44"/>
    </row>
    <row r="59" spans="2:8" ht="12.75">
      <c r="B59" s="45"/>
      <c r="C59" s="46" t="s">
        <v>268</v>
      </c>
      <c r="D59" s="46"/>
      <c r="E59" s="47"/>
      <c r="F59" s="46"/>
      <c r="G59" s="46"/>
      <c r="H59" s="48"/>
    </row>
    <row r="60" spans="2:8" ht="12.75">
      <c r="B60" s="170"/>
      <c r="C60" s="171" t="s">
        <v>269</v>
      </c>
      <c r="D60" s="171"/>
      <c r="E60" s="171"/>
      <c r="F60" s="171"/>
      <c r="G60" s="171"/>
      <c r="H60" s="172"/>
    </row>
    <row r="113" spans="2:3" ht="12.75">
      <c r="B113" t="s">
        <v>136</v>
      </c>
      <c r="C113">
        <v>0</v>
      </c>
    </row>
    <row r="114" spans="2:4" ht="12.75">
      <c r="B114" t="s">
        <v>30</v>
      </c>
      <c r="C114">
        <v>7</v>
      </c>
      <c r="D114">
        <v>2002</v>
      </c>
    </row>
    <row r="115" spans="2:4" ht="12" customHeight="1">
      <c r="B115" t="s">
        <v>31</v>
      </c>
      <c r="C115">
        <v>8</v>
      </c>
      <c r="D115">
        <v>2003</v>
      </c>
    </row>
    <row r="116" spans="2:4" ht="12.75">
      <c r="B116" t="s">
        <v>278</v>
      </c>
      <c r="C116">
        <v>16</v>
      </c>
      <c r="D116">
        <v>0</v>
      </c>
    </row>
    <row r="117" spans="2:4" ht="12.75">
      <c r="B117" t="s">
        <v>32</v>
      </c>
      <c r="C117">
        <v>12</v>
      </c>
      <c r="D117">
        <v>2010</v>
      </c>
    </row>
    <row r="118" ht="12.75">
      <c r="B118" t="s">
        <v>279</v>
      </c>
    </row>
    <row r="119" spans="2:4" ht="12.75">
      <c r="B119" t="s">
        <v>38</v>
      </c>
      <c r="C119">
        <v>3</v>
      </c>
      <c r="D119">
        <v>2015</v>
      </c>
    </row>
    <row r="120" spans="2:4" ht="12.75">
      <c r="B120" t="s">
        <v>28</v>
      </c>
      <c r="C120">
        <v>9</v>
      </c>
      <c r="D120">
        <v>2024</v>
      </c>
    </row>
    <row r="121" spans="2:4" ht="12.75">
      <c r="B121" t="s">
        <v>37</v>
      </c>
      <c r="C121">
        <v>17</v>
      </c>
      <c r="D121">
        <v>0</v>
      </c>
    </row>
    <row r="122" spans="2:4" ht="12.75">
      <c r="B122" t="s">
        <v>36</v>
      </c>
      <c r="C122">
        <v>13</v>
      </c>
      <c r="D122">
        <v>1001</v>
      </c>
    </row>
    <row r="123" spans="2:4" ht="12.75">
      <c r="B123" t="s">
        <v>34</v>
      </c>
      <c r="C123">
        <v>10</v>
      </c>
      <c r="D123">
        <v>0</v>
      </c>
    </row>
    <row r="124" spans="2:4" ht="12.75">
      <c r="B124" t="s">
        <v>26</v>
      </c>
      <c r="C124">
        <v>1</v>
      </c>
      <c r="D124">
        <v>0</v>
      </c>
    </row>
    <row r="125" spans="2:4" ht="12.75">
      <c r="B125" t="s">
        <v>27</v>
      </c>
      <c r="C125">
        <v>4</v>
      </c>
      <c r="D125">
        <v>2000</v>
      </c>
    </row>
    <row r="126" spans="2:4" ht="12.75">
      <c r="B126" s="26" t="s">
        <v>73</v>
      </c>
      <c r="C126">
        <v>14</v>
      </c>
      <c r="D126">
        <v>1003</v>
      </c>
    </row>
    <row r="127" spans="2:4" ht="12.75">
      <c r="B127" t="s">
        <v>33</v>
      </c>
      <c r="C127">
        <v>11</v>
      </c>
      <c r="D127">
        <v>0</v>
      </c>
    </row>
    <row r="128" spans="2:4" ht="12.75">
      <c r="B128" t="s">
        <v>35</v>
      </c>
      <c r="C128">
        <v>15</v>
      </c>
      <c r="D128">
        <v>0</v>
      </c>
    </row>
    <row r="129" spans="2:4" ht="12.75">
      <c r="B129" t="s">
        <v>39</v>
      </c>
      <c r="C129">
        <v>5</v>
      </c>
      <c r="D129">
        <v>2074</v>
      </c>
    </row>
    <row r="130" spans="2:4" ht="12.75">
      <c r="B130" t="s">
        <v>29</v>
      </c>
      <c r="C130">
        <v>6</v>
      </c>
      <c r="D130">
        <v>2057</v>
      </c>
    </row>
    <row r="131" spans="2:4" ht="12.75">
      <c r="B131" t="s">
        <v>25</v>
      </c>
      <c r="C131">
        <v>2</v>
      </c>
      <c r="D131">
        <v>0</v>
      </c>
    </row>
  </sheetData>
  <sheetProtection sheet="1" objects="1" scenarios="1"/>
  <mergeCells count="2">
    <mergeCell ref="C50:D50"/>
    <mergeCell ref="E51:E52"/>
  </mergeCells>
  <conditionalFormatting sqref="C3">
    <cfRule type="cellIs" priority="1" dxfId="1" operator="equal" stopIfTrue="1">
      <formula>"ERROR!"</formula>
    </cfRule>
  </conditionalFormatting>
  <conditionalFormatting sqref="J8:J10">
    <cfRule type="cellIs" priority="2" dxfId="1" operator="greaterThan" stopIfTrue="1">
      <formula>0</formula>
    </cfRule>
    <cfRule type="cellIs" priority="3" dxfId="1" operator="lessThan" stopIfTrue="1">
      <formula>0</formula>
    </cfRule>
  </conditionalFormatting>
  <conditionalFormatting sqref="K1:K65536">
    <cfRule type="cellIs" priority="4" dxfId="1" operator="lessThan" stopIfTrue="1">
      <formula>0</formula>
    </cfRule>
  </conditionalFormatting>
  <dataValidations count="1">
    <dataValidation type="list" allowBlank="1" showInputMessage="1" showErrorMessage="1" sqref="D5">
      <formula1>$B$113:$B$132</formula1>
    </dataValidation>
  </dataValidations>
  <hyperlinks>
    <hyperlink ref="E51" location="Children!A1" display="Click for details"/>
    <hyperlink ref="D10" location="'All Centres'!A1" display="Click for all centres"/>
  </hyperlink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35"/>
  <sheetViews>
    <sheetView showGridLines="0" showRowColHeaders="0" showZeros="0" workbookViewId="0" topLeftCell="A1">
      <selection activeCell="A32" sqref="A32:IV33"/>
    </sheetView>
  </sheetViews>
  <sheetFormatPr defaultColWidth="9.140625" defaultRowHeight="12.75"/>
  <cols>
    <col min="1" max="1" width="3.57421875" style="0" customWidth="1"/>
    <col min="3" max="3" width="22.00390625" style="0" customWidth="1"/>
    <col min="4" max="4" width="12.8515625" style="0" bestFit="1" customWidth="1"/>
    <col min="5" max="5" width="11.28125" style="0" bestFit="1" customWidth="1"/>
    <col min="6" max="6" width="10.28125" style="0" bestFit="1" customWidth="1"/>
    <col min="7" max="7" width="6.7109375" style="0" customWidth="1"/>
    <col min="8" max="8" width="3.140625" style="0" customWidth="1"/>
    <col min="9" max="9" width="10.57421875" style="0" hidden="1" customWidth="1"/>
    <col min="10" max="10" width="71.8515625" style="0" hidden="1" customWidth="1"/>
    <col min="11" max="11" width="10.28125" style="0" hidden="1" customWidth="1"/>
    <col min="12" max="12" width="30.00390625" style="0" hidden="1" customWidth="1"/>
  </cols>
  <sheetData>
    <row r="1" spans="1:8" ht="12.75">
      <c r="A1" s="41"/>
      <c r="B1" s="42"/>
      <c r="C1" s="42"/>
      <c r="D1" s="43"/>
      <c r="E1" s="42"/>
      <c r="F1" s="42"/>
      <c r="G1" s="42"/>
      <c r="H1" s="44"/>
    </row>
    <row r="2" spans="1:8" ht="15.75">
      <c r="A2" s="45"/>
      <c r="B2" s="46"/>
      <c r="C2" s="63" t="s">
        <v>162</v>
      </c>
      <c r="D2" s="47"/>
      <c r="E2" s="46"/>
      <c r="F2" s="46"/>
      <c r="G2" s="46"/>
      <c r="H2" s="48"/>
    </row>
    <row r="3" spans="1:8" ht="15.75">
      <c r="A3" s="45"/>
      <c r="B3" s="62">
        <f>IF(ABS(ROUND(D33,0))&gt;0,"ERROR","")</f>
      </c>
      <c r="C3" s="73"/>
      <c r="D3" s="64" t="s">
        <v>163</v>
      </c>
      <c r="E3" s="46"/>
      <c r="F3" s="46"/>
      <c r="G3" s="46"/>
      <c r="H3" s="48"/>
    </row>
    <row r="4" spans="1:8" ht="13.5" thickBot="1">
      <c r="A4" s="45"/>
      <c r="B4" s="46"/>
      <c r="C4" s="46"/>
      <c r="D4" s="47"/>
      <c r="E4" s="46"/>
      <c r="F4" s="46"/>
      <c r="G4" s="46"/>
      <c r="H4" s="48"/>
    </row>
    <row r="5" spans="1:8" ht="13.5" thickBot="1">
      <c r="A5" s="45"/>
      <c r="B5" s="46"/>
      <c r="C5" s="68" t="s">
        <v>211</v>
      </c>
      <c r="D5" s="47"/>
      <c r="E5" s="65" t="s">
        <v>164</v>
      </c>
      <c r="F5" s="66">
        <v>40259</v>
      </c>
      <c r="G5" s="46"/>
      <c r="H5" s="48"/>
    </row>
    <row r="6" spans="1:8" ht="13.5" thickBot="1">
      <c r="A6" s="45"/>
      <c r="B6" s="46"/>
      <c r="C6" s="74"/>
      <c r="D6" s="47"/>
      <c r="E6" s="65" t="s">
        <v>165</v>
      </c>
      <c r="F6" s="66">
        <f ca="1">NOW()</f>
        <v>40331.46284918982</v>
      </c>
      <c r="G6" s="46"/>
      <c r="H6" s="48"/>
    </row>
    <row r="7" spans="1:8" ht="13.5" thickTop="1">
      <c r="A7" s="45"/>
      <c r="B7" s="46"/>
      <c r="C7" s="87" t="s">
        <v>210</v>
      </c>
      <c r="D7" s="47"/>
      <c r="E7" s="46"/>
      <c r="F7" s="46"/>
      <c r="G7" s="46"/>
      <c r="H7" s="48"/>
    </row>
    <row r="8" spans="1:8" ht="12.75">
      <c r="A8" s="49"/>
      <c r="B8" s="50"/>
      <c r="C8" s="50"/>
      <c r="D8" s="51"/>
      <c r="E8" s="50"/>
      <c r="F8" s="50"/>
      <c r="G8" s="50"/>
      <c r="H8" s="52"/>
    </row>
    <row r="10" spans="2:11" ht="12.75">
      <c r="B10" s="2" t="s">
        <v>4</v>
      </c>
      <c r="C10" s="2" t="s">
        <v>212</v>
      </c>
      <c r="D10" s="39" t="s">
        <v>155</v>
      </c>
      <c r="E10" s="39" t="s">
        <v>151</v>
      </c>
      <c r="F10" s="39" t="s">
        <v>127</v>
      </c>
      <c r="I10" s="39" t="s">
        <v>262</v>
      </c>
      <c r="J10" s="2" t="s">
        <v>261</v>
      </c>
      <c r="K10" t="s">
        <v>276</v>
      </c>
    </row>
    <row r="12" spans="2:11" ht="12.75">
      <c r="B12" t="str">
        <f>VLOOKUP(C12,Data!C:H,6,0)</f>
        <v>2A</v>
      </c>
      <c r="C12" t="s">
        <v>26</v>
      </c>
      <c r="D12" s="154">
        <f>VLOOKUP(C12,Data!C:Z,23,0)</f>
        <v>442154.40536044445</v>
      </c>
      <c r="E12" s="154">
        <f>VLOOKUP(C12,'2009-10'!C:G,5,0)</f>
        <v>419167.3830344856</v>
      </c>
      <c r="F12" s="155">
        <f aca="true" t="shared" si="0" ref="F12:F25">D12-E12</f>
        <v>22987.022325958824</v>
      </c>
      <c r="G12" s="27">
        <f aca="true" t="shared" si="1" ref="G12:G25">(D12-E12)/E12</f>
        <v>0.05483972097148514</v>
      </c>
      <c r="I12" s="25">
        <v>419167.3830344856</v>
      </c>
      <c r="K12" s="25">
        <v>424870</v>
      </c>
    </row>
    <row r="13" spans="2:11" ht="12.75">
      <c r="B13" t="str">
        <f>VLOOKUP(C13,Data!C:H,6,0)</f>
        <v>2A</v>
      </c>
      <c r="C13" t="s">
        <v>25</v>
      </c>
      <c r="D13" s="154">
        <f>VLOOKUP(C13,Data!C:Z,23,0)</f>
        <v>435647.16063822224</v>
      </c>
      <c r="E13" s="154">
        <f>VLOOKUP(C13,'2009-10'!C:G,5,0)</f>
        <v>412863.34304964554</v>
      </c>
      <c r="F13" s="155">
        <f t="shared" si="0"/>
        <v>22783.817588576698</v>
      </c>
      <c r="G13" s="27">
        <f t="shared" si="1"/>
        <v>0.0551848885887576</v>
      </c>
      <c r="I13" s="25">
        <v>412863.34304964554</v>
      </c>
      <c r="K13" s="25">
        <v>415960</v>
      </c>
    </row>
    <row r="14" spans="2:11" ht="12.75">
      <c r="B14" t="str">
        <f>VLOOKUP(C14,Data!C:H,6,0)</f>
        <v>2B</v>
      </c>
      <c r="C14" t="s">
        <v>38</v>
      </c>
      <c r="D14" s="154">
        <f>VLOOKUP(C14,Data!C:Z,23,0)</f>
        <v>374918.6299478519</v>
      </c>
      <c r="E14" s="154">
        <f>VLOOKUP(C14,'2009-10'!C:G,5,0)</f>
        <v>338637.72136338364</v>
      </c>
      <c r="F14" s="155">
        <f t="shared" si="0"/>
        <v>36280.90858446824</v>
      </c>
      <c r="G14" s="27">
        <f t="shared" si="1"/>
        <v>0.10713782398014694</v>
      </c>
      <c r="I14" s="25">
        <v>338637.72136338364</v>
      </c>
      <c r="J14" t="s">
        <v>263</v>
      </c>
      <c r="K14" s="25"/>
    </row>
    <row r="15" spans="2:11" ht="12.75">
      <c r="B15" t="str">
        <f>VLOOKUP(C15,Data!C:H,6,0)</f>
        <v>2B</v>
      </c>
      <c r="C15" t="s">
        <v>27</v>
      </c>
      <c r="D15" s="154">
        <f>VLOOKUP(C15,Data!C:Z,23,0)</f>
        <v>450293.4021392099</v>
      </c>
      <c r="E15" s="154">
        <f>VLOOKUP(C15,'2009-10'!C:G,5,0)</f>
        <v>413598.0676206384</v>
      </c>
      <c r="F15" s="155">
        <f t="shared" si="0"/>
        <v>36695.3345185715</v>
      </c>
      <c r="G15" s="27">
        <f t="shared" si="1"/>
        <v>0.08872220977644726</v>
      </c>
      <c r="I15" s="25">
        <v>413598.0676206384</v>
      </c>
      <c r="K15" s="213">
        <v>755880</v>
      </c>
    </row>
    <row r="16" spans="2:11" ht="12.75">
      <c r="B16" t="str">
        <f>VLOOKUP(C16,Data!C:H,6,0)</f>
        <v>2B</v>
      </c>
      <c r="C16" t="s">
        <v>39</v>
      </c>
      <c r="D16" s="154">
        <f>VLOOKUP(C16,Data!C:Z,23,0)</f>
        <v>400191.5557348889</v>
      </c>
      <c r="E16" s="154">
        <f>VLOOKUP(C16,'2009-10'!C:G,5,0)</f>
        <v>429335.97782069887</v>
      </c>
      <c r="F16" s="155">
        <f t="shared" si="0"/>
        <v>-29144.422085809987</v>
      </c>
      <c r="G16" s="27">
        <f t="shared" si="1"/>
        <v>-0.06788255257280443</v>
      </c>
      <c r="I16" s="25">
        <v>368705</v>
      </c>
      <c r="J16" t="s">
        <v>260</v>
      </c>
      <c r="K16" s="213"/>
    </row>
    <row r="17" spans="2:11" ht="12.75">
      <c r="B17" t="str">
        <f>VLOOKUP(C17,Data!C:H,6,0)</f>
        <v>2B</v>
      </c>
      <c r="C17" t="s">
        <v>29</v>
      </c>
      <c r="D17" s="154">
        <f>VLOOKUP(C17,Data!C:Z,23,0)</f>
        <v>391168.34142933344</v>
      </c>
      <c r="E17" s="154">
        <f>VLOOKUP(C17,'2009-10'!C:G,5,0)</f>
        <v>394555.6535150604</v>
      </c>
      <c r="F17" s="155">
        <f t="shared" si="0"/>
        <v>-3387.3120857269387</v>
      </c>
      <c r="G17" s="27">
        <f t="shared" si="1"/>
        <v>-0.008585131287689542</v>
      </c>
      <c r="I17" s="25">
        <v>394555.6535150604</v>
      </c>
      <c r="J17" t="s">
        <v>259</v>
      </c>
      <c r="K17" s="25"/>
    </row>
    <row r="18" spans="2:11" ht="12.75">
      <c r="B18" t="str">
        <f>VLOOKUP(C18,Data!C:H,6,0)</f>
        <v>2D</v>
      </c>
      <c r="C18" t="s">
        <v>30</v>
      </c>
      <c r="D18" s="154">
        <f>VLOOKUP(C18,Data!C:Z,23,0)</f>
        <v>277185.29738</v>
      </c>
      <c r="E18" s="154">
        <f>VLOOKUP(C18,'2009-10'!C:G,5,0)</f>
        <v>241102.922098525</v>
      </c>
      <c r="F18" s="155">
        <f t="shared" si="0"/>
        <v>36082.37528147499</v>
      </c>
      <c r="G18" s="27">
        <f t="shared" si="1"/>
        <v>0.14965548723930513</v>
      </c>
      <c r="I18" s="25">
        <v>241102.922098525</v>
      </c>
      <c r="K18" s="25"/>
    </row>
    <row r="19" spans="2:11" ht="12.75">
      <c r="B19" t="str">
        <f>VLOOKUP(C19,Data!C:H,6,0)</f>
        <v>2D</v>
      </c>
      <c r="C19" t="s">
        <v>31</v>
      </c>
      <c r="D19" s="154">
        <f>VLOOKUP(C19,Data!C:Z,23,0)</f>
        <v>277185.29738</v>
      </c>
      <c r="E19" s="154">
        <f>VLOOKUP(C19,'2009-10'!C:G,5,0)</f>
        <v>241102.922098525</v>
      </c>
      <c r="F19" s="155">
        <f t="shared" si="0"/>
        <v>36082.37528147499</v>
      </c>
      <c r="G19" s="27">
        <f t="shared" si="1"/>
        <v>0.14965548723930513</v>
      </c>
      <c r="I19" s="25">
        <v>241102.922098525</v>
      </c>
      <c r="K19" s="25"/>
    </row>
    <row r="20" spans="2:11" ht="12.75">
      <c r="B20" t="str">
        <f>VLOOKUP(C20,Data!C:H,6,0)</f>
        <v>2F</v>
      </c>
      <c r="C20" t="s">
        <v>28</v>
      </c>
      <c r="D20" s="154">
        <f>VLOOKUP(C20,Data!C:Z,23,0)</f>
        <v>377073.1878182222</v>
      </c>
      <c r="E20" s="154">
        <f>VLOOKUP(C20,'2009-10'!C:G,5,0)</f>
        <v>369782.0223175705</v>
      </c>
      <c r="F20" s="155">
        <f t="shared" si="0"/>
        <v>7291.165500651696</v>
      </c>
      <c r="G20" s="27">
        <f t="shared" si="1"/>
        <v>0.01971746883462606</v>
      </c>
      <c r="I20" s="25">
        <v>369782.0223175705</v>
      </c>
      <c r="J20" t="s">
        <v>264</v>
      </c>
      <c r="K20" s="25">
        <v>375590</v>
      </c>
    </row>
    <row r="21" spans="2:11" ht="12.75">
      <c r="B21" t="str">
        <f>VLOOKUP(C21,Data!C:H,6,0)</f>
        <v>2G</v>
      </c>
      <c r="C21" t="s">
        <v>33</v>
      </c>
      <c r="D21" s="154">
        <f>VLOOKUP(C21,Data!C:Z,23,0)</f>
        <v>182797.01588400002</v>
      </c>
      <c r="E21" s="154">
        <f>VLOOKUP(C21,'2009-10'!C:G,5,0)</f>
        <v>156321.17930770002</v>
      </c>
      <c r="F21" s="155">
        <f t="shared" si="0"/>
        <v>26475.836576300004</v>
      </c>
      <c r="G21" s="27">
        <f t="shared" si="1"/>
        <v>0.16936819881703558</v>
      </c>
      <c r="I21" s="25">
        <v>156321.17930770002</v>
      </c>
      <c r="J21" t="s">
        <v>263</v>
      </c>
      <c r="K21" s="25">
        <v>156320</v>
      </c>
    </row>
    <row r="22" spans="2:11" ht="12.75">
      <c r="B22" t="str">
        <f>VLOOKUP(C22,Data!C:H,6,0)</f>
        <v>2H</v>
      </c>
      <c r="C22" t="s">
        <v>32</v>
      </c>
      <c r="D22" s="154">
        <f>VLOOKUP(C22,Data!C:Z,23,0)</f>
        <v>226679.08033000003</v>
      </c>
      <c r="E22" s="154">
        <f>VLOOKUP(C22,'2009-10'!C:G,5,0)</f>
        <v>241102.922098525</v>
      </c>
      <c r="F22" s="155">
        <f t="shared" si="0"/>
        <v>-14423.841768524988</v>
      </c>
      <c r="G22" s="27">
        <f t="shared" si="1"/>
        <v>-0.05982441707044424</v>
      </c>
      <c r="I22" s="25">
        <v>211595</v>
      </c>
      <c r="J22" s="153">
        <v>0.7</v>
      </c>
      <c r="K22" s="25"/>
    </row>
    <row r="23" spans="2:11" ht="12.75">
      <c r="B23" t="str">
        <f>VLOOKUP(C23,Data!C:H,6,0)</f>
        <v>2H</v>
      </c>
      <c r="C23" t="s">
        <v>36</v>
      </c>
      <c r="D23" s="154">
        <f>VLOOKUP(C23,Data!C:Z,23,0)</f>
        <v>226679.08033000003</v>
      </c>
      <c r="E23" s="154">
        <f>VLOOKUP(C23,'2009-10'!C:G,5,0)</f>
        <v>231951.01889215363</v>
      </c>
      <c r="F23" s="155">
        <f t="shared" si="0"/>
        <v>-5271.938562153606</v>
      </c>
      <c r="G23" s="27">
        <f t="shared" si="1"/>
        <v>-0.022728671714112237</v>
      </c>
      <c r="I23" s="25">
        <v>211595</v>
      </c>
      <c r="J23" s="153">
        <v>0.7</v>
      </c>
      <c r="K23" s="25"/>
    </row>
    <row r="24" spans="2:11" ht="12.75">
      <c r="B24" t="str">
        <f>VLOOKUP(C24,Data!C:H,6,0)</f>
        <v>2H</v>
      </c>
      <c r="C24" s="26" t="s">
        <v>73</v>
      </c>
      <c r="D24" s="154">
        <f>VLOOKUP(C24,Data!C:Z,23,0)</f>
        <v>226679.08033000003</v>
      </c>
      <c r="E24" s="154">
        <f>VLOOKUP(C24,'2009-10'!C:G,5,0)</f>
        <v>187464.39159031305</v>
      </c>
      <c r="F24" s="155">
        <f t="shared" si="0"/>
        <v>39214.68873968697</v>
      </c>
      <c r="G24" s="27">
        <f t="shared" si="1"/>
        <v>0.20918473320195777</v>
      </c>
      <c r="I24" s="25">
        <v>211595</v>
      </c>
      <c r="J24" t="s">
        <v>263</v>
      </c>
      <c r="K24" s="25"/>
    </row>
    <row r="25" spans="2:11" ht="12.75">
      <c r="B25" t="str">
        <f>VLOOKUP(C25,Data!C:H,6,0)</f>
        <v>3G</v>
      </c>
      <c r="C25" t="s">
        <v>34</v>
      </c>
      <c r="D25" s="154">
        <f>VLOOKUP(C25,Data!C:Z,23,0)</f>
        <v>146456.27888400003</v>
      </c>
      <c r="E25" s="156">
        <v>126702</v>
      </c>
      <c r="F25" s="155">
        <f t="shared" si="0"/>
        <v>19754.27888400003</v>
      </c>
      <c r="G25" s="27">
        <f t="shared" si="1"/>
        <v>0.1559113422361133</v>
      </c>
      <c r="I25" s="95">
        <v>0</v>
      </c>
      <c r="K25" s="25">
        <v>156320</v>
      </c>
    </row>
    <row r="26" spans="2:11" ht="12.75">
      <c r="B26" t="str">
        <f>VLOOKUP(C26,Data!C:H,6,0)</f>
        <v>3G</v>
      </c>
      <c r="C26" t="s">
        <v>35</v>
      </c>
      <c r="D26" s="154">
        <f>VLOOKUP(C26,Data!C:Z,23,0)</f>
        <v>146456.27888400003</v>
      </c>
      <c r="E26" s="154"/>
      <c r="F26" s="155"/>
      <c r="G26" s="177" t="s">
        <v>266</v>
      </c>
      <c r="I26" s="25">
        <v>0</v>
      </c>
      <c r="K26" s="25">
        <v>156320</v>
      </c>
    </row>
    <row r="27" spans="2:12" ht="12.75">
      <c r="B27" t="str">
        <f>VLOOKUP(C27,Data!C:H,6,0)</f>
        <v>3G</v>
      </c>
      <c r="C27" t="s">
        <v>278</v>
      </c>
      <c r="D27" s="154">
        <f>VLOOKUP(C27,Data!C:Z,23,0)</f>
        <v>146456.27888400003</v>
      </c>
      <c r="E27" s="154"/>
      <c r="F27" s="155"/>
      <c r="G27" s="177" t="s">
        <v>266</v>
      </c>
      <c r="I27" s="25">
        <v>0</v>
      </c>
      <c r="K27" s="25">
        <f>156320*2</f>
        <v>312640</v>
      </c>
      <c r="L27" t="s">
        <v>275</v>
      </c>
    </row>
    <row r="28" spans="2:11" ht="12.75">
      <c r="B28" t="str">
        <f>VLOOKUP(C28,Data!C:H,6,0)</f>
        <v>3G</v>
      </c>
      <c r="C28" t="s">
        <v>279</v>
      </c>
      <c r="D28" s="154">
        <f>VLOOKUP(C28,Data!C:Z,23,0)</f>
        <v>134251.588977</v>
      </c>
      <c r="E28" s="154"/>
      <c r="F28" s="155"/>
      <c r="G28" s="177" t="s">
        <v>266</v>
      </c>
      <c r="I28" s="25"/>
      <c r="K28" s="25"/>
    </row>
    <row r="29" spans="2:11" ht="12.75">
      <c r="B29" t="str">
        <f>VLOOKUP(C29,Data!C:H,6,0)</f>
        <v>3G4</v>
      </c>
      <c r="C29" t="s">
        <v>37</v>
      </c>
      <c r="D29" s="154">
        <f>VLOOKUP(C29,Data!C:Z,23,0)</f>
        <v>470853.11553599994</v>
      </c>
      <c r="E29" s="154"/>
      <c r="F29" s="155"/>
      <c r="G29" s="177" t="s">
        <v>266</v>
      </c>
      <c r="I29" s="25">
        <v>0</v>
      </c>
      <c r="K29" s="25">
        <v>278050</v>
      </c>
    </row>
    <row r="30" spans="4:11" ht="12.75">
      <c r="D30" s="72">
        <f>SUM(D12:D29)</f>
        <v>5333125.075867172</v>
      </c>
      <c r="E30" s="72">
        <f>SUM(E12:E29)</f>
        <v>4203687.524807224</v>
      </c>
      <c r="F30" s="72">
        <f>D30-E30</f>
        <v>1129437.5510599483</v>
      </c>
      <c r="G30" s="176">
        <f>(D30-E30)/E30</f>
        <v>0.2686778083277593</v>
      </c>
      <c r="I30" s="72">
        <f>SUM(I12:I29)</f>
        <v>3990621.2144055343</v>
      </c>
      <c r="K30" s="25"/>
    </row>
    <row r="31" spans="11:12" ht="12.75">
      <c r="K31" s="25">
        <v>1875920</v>
      </c>
      <c r="L31" t="s">
        <v>273</v>
      </c>
    </row>
    <row r="32" spans="4:12" ht="12.75" hidden="1">
      <c r="D32" s="25">
        <f>Data!Y26</f>
        <v>5333125.075867172</v>
      </c>
      <c r="E32" s="35"/>
      <c r="I32" s="35">
        <f>D30-I30</f>
        <v>1342503.861461638</v>
      </c>
      <c r="K32" s="25">
        <f>156320*2</f>
        <v>312640</v>
      </c>
      <c r="L32" t="s">
        <v>274</v>
      </c>
    </row>
    <row r="33" spans="4:11" ht="12.75" hidden="1">
      <c r="D33" s="35">
        <f>D32-D30</f>
        <v>0</v>
      </c>
      <c r="K33" s="178">
        <f>SUM(K12:K32)</f>
        <v>5220510</v>
      </c>
    </row>
    <row r="34" spans="11:12" ht="12.75">
      <c r="K34" s="35">
        <f>D30-K33</f>
        <v>112615.07586717233</v>
      </c>
      <c r="L34" t="s">
        <v>277</v>
      </c>
    </row>
    <row r="35" ht="12.75">
      <c r="K35" s="60">
        <f>K33+K34</f>
        <v>5333125.075867172</v>
      </c>
    </row>
  </sheetData>
  <sheetProtection sheet="1" objects="1" scenarios="1"/>
  <mergeCells count="1">
    <mergeCell ref="K15:K16"/>
  </mergeCells>
  <conditionalFormatting sqref="F12:F29">
    <cfRule type="cellIs" priority="1" dxfId="2" operator="lessThan" stopIfTrue="1">
      <formula>0</formula>
    </cfRule>
  </conditionalFormatting>
  <conditionalFormatting sqref="B3">
    <cfRule type="cellIs" priority="2" dxfId="1" operator="equal" stopIfTrue="1">
      <formula>"ERROR"</formula>
    </cfRule>
  </conditionalFormatting>
  <hyperlinks>
    <hyperlink ref="C7" location="Report!A1" display="Go Back to Main Report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B1:K29"/>
  <sheetViews>
    <sheetView showGridLines="0" showRowColHeaders="0" showZeros="0" workbookViewId="0" topLeftCell="B1">
      <selection activeCell="D8" sqref="D8"/>
    </sheetView>
  </sheetViews>
  <sheetFormatPr defaultColWidth="9.140625" defaultRowHeight="12.75"/>
  <cols>
    <col min="1" max="1" width="0" style="0" hidden="1" customWidth="1"/>
    <col min="2" max="2" width="3.8515625" style="0" customWidth="1"/>
    <col min="4" max="4" width="30.421875" style="0" customWidth="1"/>
    <col min="8" max="8" width="2.7109375" style="0" customWidth="1"/>
    <col min="10" max="10" width="11.28125" style="143" hidden="1" customWidth="1"/>
    <col min="11" max="11" width="0" style="143" hidden="1" customWidth="1"/>
  </cols>
  <sheetData>
    <row r="1" spans="2:8" ht="12.75">
      <c r="B1" s="41"/>
      <c r="C1" s="42"/>
      <c r="D1" s="42"/>
      <c r="E1" s="43"/>
      <c r="F1" s="42"/>
      <c r="G1" s="42"/>
      <c r="H1" s="44"/>
    </row>
    <row r="2" spans="2:8" ht="22.5" customHeight="1">
      <c r="B2" s="45"/>
      <c r="C2" s="214" t="s">
        <v>162</v>
      </c>
      <c r="D2" s="214"/>
      <c r="E2" s="214"/>
      <c r="F2" s="214"/>
      <c r="G2" s="214"/>
      <c r="H2" s="48"/>
    </row>
    <row r="3" spans="2:8" ht="15.75" customHeight="1">
      <c r="B3" s="45"/>
      <c r="C3" s="214" t="s">
        <v>163</v>
      </c>
      <c r="D3" s="214"/>
      <c r="E3" s="214"/>
      <c r="F3" s="214"/>
      <c r="G3" s="214"/>
      <c r="H3" s="48"/>
    </row>
    <row r="4" spans="2:8" ht="13.5" thickBot="1">
      <c r="B4" s="45"/>
      <c r="C4" s="46"/>
      <c r="D4" s="46"/>
      <c r="E4" s="47"/>
      <c r="F4" s="46"/>
      <c r="G4" s="46"/>
      <c r="H4" s="48"/>
    </row>
    <row r="5" spans="2:8" ht="13.5" thickBot="1">
      <c r="B5" s="45"/>
      <c r="C5" s="46"/>
      <c r="D5" s="69" t="str">
        <f>Report!D5</f>
        <v>Please choose a centre</v>
      </c>
      <c r="E5" s="47"/>
      <c r="F5" s="65" t="s">
        <v>164</v>
      </c>
      <c r="G5" s="66">
        <v>40259</v>
      </c>
      <c r="H5" s="48"/>
    </row>
    <row r="6" spans="2:8" ht="13.5" thickBot="1">
      <c r="B6" s="45"/>
      <c r="C6" s="46"/>
      <c r="D6" s="68" t="str">
        <f>Report!D6</f>
        <v>X</v>
      </c>
      <c r="E6" s="47"/>
      <c r="F6" s="65" t="s">
        <v>165</v>
      </c>
      <c r="G6" s="66">
        <f ca="1">NOW()</f>
        <v>40331.46284918982</v>
      </c>
      <c r="H6" s="48"/>
    </row>
    <row r="7" spans="2:8" ht="12.75">
      <c r="B7" s="45"/>
      <c r="C7" s="46"/>
      <c r="D7" s="46"/>
      <c r="E7" s="47"/>
      <c r="F7" s="46"/>
      <c r="G7" s="46"/>
      <c r="H7" s="48"/>
    </row>
    <row r="8" spans="2:8" ht="13.5" thickBot="1">
      <c r="B8" s="45"/>
      <c r="C8" s="46"/>
      <c r="D8" s="175" t="s">
        <v>210</v>
      </c>
      <c r="E8" s="47"/>
      <c r="F8" s="46"/>
      <c r="G8" s="46"/>
      <c r="H8" s="48"/>
    </row>
    <row r="9" spans="2:8" ht="13.5" thickTop="1">
      <c r="B9" s="50"/>
      <c r="C9" s="50"/>
      <c r="D9" s="50"/>
      <c r="E9" s="50"/>
      <c r="F9" s="50"/>
      <c r="G9" s="50"/>
      <c r="H9" s="50"/>
    </row>
    <row r="10" spans="2:8" ht="12.75">
      <c r="B10" s="77"/>
      <c r="C10" s="22"/>
      <c r="D10" s="22">
        <f>IF(Report!E17="Childcare","Hourly rate for staff including 10% (SEN) and 20% (Leave &amp; training)","")</f>
      </c>
      <c r="E10" s="22"/>
      <c r="F10" s="22"/>
      <c r="G10" s="22"/>
      <c r="H10" s="78"/>
    </row>
    <row r="11" spans="2:8" ht="12.75">
      <c r="B11" s="77"/>
      <c r="C11" s="22"/>
      <c r="D11" s="22"/>
      <c r="E11" s="22"/>
      <c r="F11" s="22"/>
      <c r="G11" s="88">
        <f>IF(Report!E17="Childcare",Childcare!G2,"")</f>
      </c>
      <c r="H11" s="78"/>
    </row>
    <row r="12" spans="2:8" ht="12.75">
      <c r="B12" s="77"/>
      <c r="C12" s="22"/>
      <c r="D12" s="22"/>
      <c r="E12" s="22"/>
      <c r="F12" s="22"/>
      <c r="G12" s="22"/>
      <c r="H12" s="78"/>
    </row>
    <row r="13" spans="2:8" ht="12.75">
      <c r="B13" s="77"/>
      <c r="C13" s="22"/>
      <c r="D13" s="22"/>
      <c r="E13" s="22"/>
      <c r="F13" s="22"/>
      <c r="G13" s="22"/>
      <c r="H13" s="78"/>
    </row>
    <row r="14" spans="2:11" ht="12.75">
      <c r="B14" s="77"/>
      <c r="C14" s="84" t="s">
        <v>203</v>
      </c>
      <c r="D14" s="84" t="s">
        <v>200</v>
      </c>
      <c r="E14" s="79"/>
      <c r="F14" s="85" t="s">
        <v>208</v>
      </c>
      <c r="G14" s="22"/>
      <c r="H14" s="78"/>
      <c r="J14" s="146" t="s">
        <v>151</v>
      </c>
      <c r="K14" s="146" t="s">
        <v>246</v>
      </c>
    </row>
    <row r="15" spans="2:11" ht="12.75">
      <c r="B15" s="77"/>
      <c r="C15" s="22"/>
      <c r="D15" s="22" t="s">
        <v>197</v>
      </c>
      <c r="E15" s="79"/>
      <c r="F15" s="80">
        <v>1</v>
      </c>
      <c r="G15" s="81">
        <f>VLOOKUP(Report!D$5,Childcare!A:I,6,0)</f>
        <v>0</v>
      </c>
      <c r="H15" s="78"/>
      <c r="J15" s="147">
        <f>VLOOKUP(D$5,alloc0910!B:L,3,0)+VLOOKUP(D$5,alloc0910!B:L,4,0)+VLOOKUP(D$5,alloc0910!B:L,5,0)</f>
        <v>0</v>
      </c>
      <c r="K15" s="145">
        <f>G15-J15</f>
        <v>0</v>
      </c>
    </row>
    <row r="16" spans="2:11" ht="12.75">
      <c r="B16" s="77"/>
      <c r="C16" s="22"/>
      <c r="D16" s="22" t="s">
        <v>198</v>
      </c>
      <c r="E16" s="79"/>
      <c r="F16" s="80">
        <v>0.2</v>
      </c>
      <c r="G16" s="81">
        <f>VLOOKUP(Report!D$5,Childcare!A:I,7,0)</f>
        <v>0</v>
      </c>
      <c r="H16" s="78"/>
      <c r="J16" s="147">
        <f>VLOOKUP(D$5,alloc0910!B:L,6,0)+VLOOKUP(D$5,alloc0910!B:L,7,0)+VLOOKUP(D$5,alloc0910!B:L,8,0)</f>
        <v>0</v>
      </c>
      <c r="K16" s="145">
        <f>G16-J16</f>
        <v>0</v>
      </c>
    </row>
    <row r="17" spans="2:11" ht="12.75">
      <c r="B17" s="77"/>
      <c r="C17" s="22"/>
      <c r="D17" s="22" t="s">
        <v>199</v>
      </c>
      <c r="E17" s="79"/>
      <c r="F17" s="80">
        <v>0.3</v>
      </c>
      <c r="G17" s="81">
        <f>VLOOKUP(Report!D$5,Childcare!A:I,8,0)</f>
        <v>0</v>
      </c>
      <c r="H17" s="78"/>
      <c r="J17" s="147">
        <f>VLOOKUP(D$5,alloc0910!B:L,9,0)+VLOOKUP(D$5,alloc0910!B:L,10,0)+VLOOKUP(D$5,alloc0910!B:L,11,0)</f>
        <v>0</v>
      </c>
      <c r="K17" s="145">
        <f>G17-J17</f>
        <v>0</v>
      </c>
    </row>
    <row r="18" spans="2:11" ht="12.75">
      <c r="B18" s="77"/>
      <c r="C18" s="22"/>
      <c r="D18" s="22"/>
      <c r="E18" s="79"/>
      <c r="F18" s="22"/>
      <c r="G18" s="72">
        <f>SUM(G15:G17)</f>
        <v>0</v>
      </c>
      <c r="H18" s="78"/>
      <c r="J18" s="151">
        <f>SUM(J15:J17)</f>
        <v>0</v>
      </c>
      <c r="K18" s="145"/>
    </row>
    <row r="19" spans="2:11" ht="12.75">
      <c r="B19" s="77"/>
      <c r="C19" s="22"/>
      <c r="D19" s="84" t="s">
        <v>201</v>
      </c>
      <c r="E19" s="79"/>
      <c r="F19" s="85" t="s">
        <v>202</v>
      </c>
      <c r="G19" s="22"/>
      <c r="H19" s="78"/>
      <c r="K19" s="145"/>
    </row>
    <row r="20" spans="2:11" ht="12.75">
      <c r="B20" s="77"/>
      <c r="C20" s="22"/>
      <c r="D20" s="22" t="s">
        <v>197</v>
      </c>
      <c r="E20" s="79"/>
      <c r="F20" s="80">
        <v>0.9</v>
      </c>
      <c r="G20" s="81">
        <f>VLOOKUP(Report!D$5,Childcare!A:N,11,0)</f>
        <v>0</v>
      </c>
      <c r="H20" s="78"/>
      <c r="J20" s="147">
        <f>VLOOKUP(D$5,'fee income 0910'!B:K,2,0)+VLOOKUP(D$5,'fee income 0910'!B:K,3,0)+VLOOKUP(D$5,'fee income 0910'!B:K,4,0)</f>
        <v>0</v>
      </c>
      <c r="K20" s="145">
        <f>G20-J20</f>
        <v>0</v>
      </c>
    </row>
    <row r="21" spans="2:11" ht="12.75">
      <c r="B21" s="77"/>
      <c r="C21" s="22"/>
      <c r="D21" s="22" t="s">
        <v>198</v>
      </c>
      <c r="E21" s="79"/>
      <c r="F21" s="80">
        <v>0.2</v>
      </c>
      <c r="G21" s="81">
        <f>VLOOKUP(Report!D$5,Childcare!A:N,12,0)</f>
        <v>0</v>
      </c>
      <c r="H21" s="78"/>
      <c r="J21" s="147">
        <f>VLOOKUP(D$5,'fee income 0910'!B:K,5,0)+VLOOKUP(D$5,'fee income 0910'!B:K,6,0)+VLOOKUP(D$5,'fee income 0910'!B:K,7,0)</f>
        <v>0</v>
      </c>
      <c r="K21" s="145">
        <f>G21-J21</f>
        <v>0</v>
      </c>
    </row>
    <row r="22" spans="2:11" ht="12.75">
      <c r="B22" s="77"/>
      <c r="C22" s="22"/>
      <c r="D22" s="22" t="s">
        <v>199</v>
      </c>
      <c r="E22" s="79"/>
      <c r="F22" s="80">
        <v>0.3</v>
      </c>
      <c r="G22" s="81">
        <f>VLOOKUP(Report!D$5,Childcare!A:N,13,0)</f>
        <v>0</v>
      </c>
      <c r="H22" s="78"/>
      <c r="J22" s="147">
        <f>VLOOKUP(D$5,'fee income 0910'!B:K,8,0)+VLOOKUP(D$5,'fee income 0910'!B:K,9,0)+VLOOKUP(D$5,'fee income 0910'!B:K,10,0)</f>
        <v>0</v>
      </c>
      <c r="K22" s="145">
        <f>G22-J22</f>
        <v>0</v>
      </c>
    </row>
    <row r="23" spans="2:11" ht="12.75">
      <c r="B23" s="77"/>
      <c r="C23" s="22"/>
      <c r="D23" s="22"/>
      <c r="E23" s="79"/>
      <c r="F23" s="22"/>
      <c r="G23" s="72">
        <f>SUM(G20:G22)</f>
        <v>0</v>
      </c>
      <c r="H23" s="78"/>
      <c r="J23" s="151">
        <f>SUM(J20:J22)</f>
        <v>0</v>
      </c>
      <c r="K23" s="145">
        <f>G23-J23</f>
        <v>0</v>
      </c>
    </row>
    <row r="24" spans="2:11" ht="12.75" hidden="1">
      <c r="B24" s="77"/>
      <c r="C24" s="22"/>
      <c r="D24" s="22"/>
      <c r="E24" s="79"/>
      <c r="F24" s="22"/>
      <c r="G24" s="158"/>
      <c r="H24" s="78"/>
      <c r="J24" s="152">
        <f>J18-J23</f>
        <v>0</v>
      </c>
      <c r="K24" s="145">
        <f>G24-J24</f>
        <v>0</v>
      </c>
    </row>
    <row r="25" spans="2:8" ht="12.75" hidden="1">
      <c r="B25" s="77"/>
      <c r="C25" s="22"/>
      <c r="D25" s="22"/>
      <c r="E25" s="22"/>
      <c r="F25" s="22"/>
      <c r="G25" s="22"/>
      <c r="H25" s="78"/>
    </row>
    <row r="26" spans="2:8" ht="12.75" hidden="1">
      <c r="B26" s="77"/>
      <c r="C26" s="22"/>
      <c r="D26" s="22"/>
      <c r="E26" s="22"/>
      <c r="F26" s="22"/>
      <c r="G26" s="22"/>
      <c r="H26" s="78"/>
    </row>
    <row r="27" spans="2:8" ht="12.75" hidden="1">
      <c r="B27" s="77"/>
      <c r="C27" s="22"/>
      <c r="D27" s="22"/>
      <c r="E27" s="22"/>
      <c r="F27" s="22"/>
      <c r="G27" s="22"/>
      <c r="H27" s="78"/>
    </row>
    <row r="28" spans="2:8" ht="12.75" hidden="1">
      <c r="B28" s="77"/>
      <c r="C28" s="22"/>
      <c r="D28" s="22"/>
      <c r="E28" s="22"/>
      <c r="F28" s="22"/>
      <c r="G28" s="22"/>
      <c r="H28" s="78"/>
    </row>
    <row r="29" spans="2:8" ht="12.75">
      <c r="B29" s="82"/>
      <c r="C29" s="31"/>
      <c r="D29" s="31"/>
      <c r="E29" s="31"/>
      <c r="F29" s="31"/>
      <c r="G29" s="31"/>
      <c r="H29" s="83"/>
    </row>
  </sheetData>
  <sheetProtection sheet="1" objects="1" scenarios="1"/>
  <mergeCells count="2">
    <mergeCell ref="C2:G2"/>
    <mergeCell ref="C3:G3"/>
  </mergeCells>
  <hyperlinks>
    <hyperlink ref="D8" location="Report!A1" display="Go Back to Main Report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66"/>
  <sheetViews>
    <sheetView workbookViewId="0" topLeftCell="A1">
      <pane xSplit="4" ySplit="4" topLeftCell="E5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I15" sqref="I15"/>
    </sheetView>
  </sheetViews>
  <sheetFormatPr defaultColWidth="9.140625" defaultRowHeight="12.75"/>
  <cols>
    <col min="1" max="1" width="12.7109375" style="0" customWidth="1"/>
    <col min="2" max="2" width="7.28125" style="0" customWidth="1"/>
    <col min="3" max="3" width="9.7109375" style="0" bestFit="1" customWidth="1"/>
    <col min="4" max="4" width="7.28125" style="0" customWidth="1"/>
    <col min="5" max="6" width="7.421875" style="0" bestFit="1" customWidth="1"/>
    <col min="7" max="7" width="5.421875" style="0" bestFit="1" customWidth="1"/>
    <col min="8" max="8" width="12.7109375" style="0" bestFit="1" customWidth="1"/>
    <col min="9" max="9" width="5.421875" style="0" bestFit="1" customWidth="1"/>
    <col min="10" max="10" width="9.00390625" style="0" bestFit="1" customWidth="1"/>
    <col min="11" max="11" width="9.28125" style="0" bestFit="1" customWidth="1"/>
    <col min="12" max="12" width="8.421875" style="0" bestFit="1" customWidth="1"/>
    <col min="13" max="14" width="10.57421875" style="0" customWidth="1"/>
    <col min="15" max="20" width="10.421875" style="0" customWidth="1"/>
    <col min="23" max="23" width="10.8515625" style="0" bestFit="1" customWidth="1"/>
    <col min="24" max="24" width="7.7109375" style="0" bestFit="1" customWidth="1"/>
    <col min="25" max="26" width="9.28125" style="0" bestFit="1" customWidth="1"/>
    <col min="27" max="27" width="9.421875" style="0" bestFit="1" customWidth="1"/>
    <col min="28" max="28" width="10.28125" style="0" bestFit="1" customWidth="1"/>
    <col min="29" max="29" width="9.28125" style="0" bestFit="1" customWidth="1"/>
    <col min="30" max="30" width="8.00390625" style="0" bestFit="1" customWidth="1"/>
    <col min="31" max="33" width="9.00390625" style="0" customWidth="1"/>
  </cols>
  <sheetData>
    <row r="1" ht="12.75">
      <c r="A1" s="2" t="s">
        <v>14</v>
      </c>
    </row>
    <row r="2" spans="1:33" ht="12.75">
      <c r="A2" s="215">
        <f ca="1">NOW()</f>
        <v>40331.46284918982</v>
      </c>
      <c r="B2" s="215"/>
      <c r="C2" s="215"/>
      <c r="D2" s="215"/>
      <c r="I2">
        <v>1</v>
      </c>
      <c r="J2">
        <v>2</v>
      </c>
      <c r="K2">
        <v>3</v>
      </c>
      <c r="L2">
        <v>4</v>
      </c>
      <c r="M2">
        <v>5</v>
      </c>
      <c r="N2">
        <v>6</v>
      </c>
      <c r="O2">
        <v>7</v>
      </c>
      <c r="P2">
        <v>8</v>
      </c>
      <c r="Q2">
        <v>9</v>
      </c>
      <c r="R2">
        <v>10</v>
      </c>
      <c r="S2">
        <v>11</v>
      </c>
      <c r="T2">
        <v>12</v>
      </c>
      <c r="U2">
        <v>13</v>
      </c>
      <c r="V2">
        <v>14</v>
      </c>
      <c r="W2">
        <v>15</v>
      </c>
      <c r="X2">
        <v>16</v>
      </c>
      <c r="Y2">
        <v>17</v>
      </c>
      <c r="Z2">
        <v>18</v>
      </c>
      <c r="AA2">
        <v>19</v>
      </c>
      <c r="AB2">
        <v>20</v>
      </c>
      <c r="AC2">
        <v>21</v>
      </c>
      <c r="AD2">
        <v>22</v>
      </c>
      <c r="AE2">
        <v>23</v>
      </c>
      <c r="AF2">
        <v>24</v>
      </c>
      <c r="AG2">
        <v>25</v>
      </c>
    </row>
    <row r="4" spans="1:33" s="2" customFormat="1" ht="12.75">
      <c r="A4" s="2" t="s">
        <v>9</v>
      </c>
      <c r="B4" s="2" t="s">
        <v>17</v>
      </c>
      <c r="C4" s="2" t="s">
        <v>3</v>
      </c>
      <c r="D4" s="2" t="s">
        <v>19</v>
      </c>
      <c r="E4" s="2" t="s">
        <v>46</v>
      </c>
      <c r="F4" s="2" t="s">
        <v>47</v>
      </c>
      <c r="G4" s="2" t="s">
        <v>45</v>
      </c>
      <c r="H4" s="2" t="s">
        <v>5</v>
      </c>
      <c r="I4" s="2" t="s">
        <v>4</v>
      </c>
      <c r="J4" s="2" t="s">
        <v>10</v>
      </c>
      <c r="K4" s="2" t="s">
        <v>41</v>
      </c>
      <c r="L4" s="2" t="s">
        <v>11</v>
      </c>
      <c r="M4" s="2" t="s">
        <v>42</v>
      </c>
      <c r="N4" s="2" t="s">
        <v>13</v>
      </c>
      <c r="O4" s="2" t="s">
        <v>43</v>
      </c>
      <c r="P4" s="2" t="s">
        <v>44</v>
      </c>
      <c r="Q4" s="2" t="s">
        <v>12</v>
      </c>
      <c r="R4" s="2" t="s">
        <v>82</v>
      </c>
      <c r="S4" s="2" t="s">
        <v>83</v>
      </c>
      <c r="T4" s="2" t="s">
        <v>86</v>
      </c>
      <c r="U4" s="2" t="s">
        <v>84</v>
      </c>
      <c r="V4" s="2" t="s">
        <v>85</v>
      </c>
      <c r="W4" s="2" t="s">
        <v>100</v>
      </c>
      <c r="X4" s="2" t="s">
        <v>101</v>
      </c>
      <c r="Y4" s="2" t="s">
        <v>103</v>
      </c>
      <c r="Z4" s="2" t="s">
        <v>131</v>
      </c>
      <c r="AA4" s="2" t="s">
        <v>132</v>
      </c>
      <c r="AB4" s="2" t="s">
        <v>106</v>
      </c>
      <c r="AC4" s="2" t="s">
        <v>107</v>
      </c>
      <c r="AD4" s="2" t="s">
        <v>133</v>
      </c>
      <c r="AE4" s="2" t="s">
        <v>70</v>
      </c>
      <c r="AF4" s="2" t="s">
        <v>109</v>
      </c>
      <c r="AG4" s="2" t="s">
        <v>111</v>
      </c>
    </row>
    <row r="5" spans="1:33" ht="12.75">
      <c r="A5" t="s">
        <v>15</v>
      </c>
      <c r="B5" s="1">
        <v>0.3</v>
      </c>
      <c r="C5" t="s">
        <v>3</v>
      </c>
      <c r="D5" t="s">
        <v>18</v>
      </c>
      <c r="G5">
        <v>1</v>
      </c>
      <c r="H5" t="str">
        <f aca="true" t="shared" si="0" ref="H5:H12">CONCATENATE("P",RIGHT(A5,1),"-",LEFT(B5*100,2),IF(C5="Childcare","Ch","NC"),IF(D5="School","Sch","SA"),G5)</f>
        <v>P2-30ChSA1</v>
      </c>
      <c r="I5" t="s">
        <v>21</v>
      </c>
      <c r="J5">
        <v>1</v>
      </c>
      <c r="K5" s="24">
        <f aca="true" t="shared" si="1" ref="K5:K12">IF(D5="School",1,0)</f>
        <v>0</v>
      </c>
      <c r="L5">
        <f>IF(C5="Childcare",1,0.5)</f>
        <v>1</v>
      </c>
      <c r="M5">
        <v>1</v>
      </c>
      <c r="N5">
        <v>1</v>
      </c>
      <c r="O5">
        <v>2</v>
      </c>
      <c r="P5">
        <v>0.5</v>
      </c>
      <c r="Q5">
        <v>1</v>
      </c>
      <c r="R5">
        <v>1</v>
      </c>
      <c r="S5">
        <v>1</v>
      </c>
      <c r="T5">
        <v>0.5</v>
      </c>
      <c r="U5">
        <v>1</v>
      </c>
      <c r="V5" s="24">
        <v>1.05</v>
      </c>
      <c r="W5">
        <v>1.25</v>
      </c>
      <c r="Y5">
        <v>1.5</v>
      </c>
      <c r="Z5">
        <v>1</v>
      </c>
      <c r="AA5">
        <v>1</v>
      </c>
      <c r="AB5">
        <v>1.15</v>
      </c>
      <c r="AC5">
        <v>1.7</v>
      </c>
      <c r="AE5">
        <v>1.7</v>
      </c>
      <c r="AF5">
        <v>1</v>
      </c>
      <c r="AG5">
        <v>1</v>
      </c>
    </row>
    <row r="6" spans="1:33" ht="12.75">
      <c r="A6" t="s">
        <v>15</v>
      </c>
      <c r="B6" s="1">
        <v>0.3</v>
      </c>
      <c r="C6" t="s">
        <v>3</v>
      </c>
      <c r="D6" t="s">
        <v>19</v>
      </c>
      <c r="G6">
        <v>1</v>
      </c>
      <c r="H6" t="str">
        <f t="shared" si="0"/>
        <v>P2-30ChSch1</v>
      </c>
      <c r="I6" t="s">
        <v>22</v>
      </c>
      <c r="J6">
        <v>1</v>
      </c>
      <c r="K6" s="24">
        <f t="shared" si="1"/>
        <v>1</v>
      </c>
      <c r="L6">
        <f aca="true" t="shared" si="2" ref="L6:L12">IF(C6="Childcare",1,0.5)</f>
        <v>1</v>
      </c>
      <c r="M6">
        <v>1</v>
      </c>
      <c r="N6">
        <v>1</v>
      </c>
      <c r="O6">
        <v>2</v>
      </c>
      <c r="P6">
        <v>0.5</v>
      </c>
      <c r="Q6">
        <v>0.5</v>
      </c>
      <c r="R6">
        <v>1</v>
      </c>
      <c r="S6">
        <v>0</v>
      </c>
      <c r="T6">
        <v>0.5</v>
      </c>
      <c r="U6">
        <v>1</v>
      </c>
      <c r="V6" s="24">
        <v>1</v>
      </c>
      <c r="W6">
        <v>1</v>
      </c>
      <c r="Y6">
        <v>1</v>
      </c>
      <c r="Z6">
        <v>1</v>
      </c>
      <c r="AA6">
        <v>1</v>
      </c>
      <c r="AB6">
        <v>1</v>
      </c>
      <c r="AC6">
        <v>1</v>
      </c>
      <c r="AE6">
        <v>1.7</v>
      </c>
      <c r="AF6">
        <v>1</v>
      </c>
      <c r="AG6">
        <v>1</v>
      </c>
    </row>
    <row r="7" spans="1:33" ht="12.75">
      <c r="A7" t="s">
        <v>15</v>
      </c>
      <c r="B7" s="1">
        <v>0.3</v>
      </c>
      <c r="C7" t="s">
        <v>18</v>
      </c>
      <c r="D7" t="s">
        <v>18</v>
      </c>
      <c r="G7">
        <v>1</v>
      </c>
      <c r="H7" t="str">
        <f t="shared" si="0"/>
        <v>P2-30NCSA1</v>
      </c>
      <c r="I7" t="s">
        <v>23</v>
      </c>
      <c r="J7">
        <v>1</v>
      </c>
      <c r="K7" s="24">
        <f t="shared" si="1"/>
        <v>0</v>
      </c>
      <c r="L7">
        <v>1</v>
      </c>
      <c r="M7">
        <v>1</v>
      </c>
      <c r="N7">
        <v>1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 s="24">
        <f>0.26*G7</f>
        <v>0.26</v>
      </c>
      <c r="W7">
        <v>1</v>
      </c>
      <c r="Y7">
        <v>1</v>
      </c>
      <c r="Z7">
        <v>1</v>
      </c>
      <c r="AA7">
        <v>1</v>
      </c>
      <c r="AB7">
        <v>0.25</v>
      </c>
      <c r="AC7">
        <v>0.3</v>
      </c>
      <c r="AG7">
        <v>1</v>
      </c>
    </row>
    <row r="8" spans="1:33" ht="12.75">
      <c r="A8" t="s">
        <v>15</v>
      </c>
      <c r="B8" s="1">
        <v>0.3</v>
      </c>
      <c r="C8" t="s">
        <v>18</v>
      </c>
      <c r="D8" t="s">
        <v>19</v>
      </c>
      <c r="G8">
        <v>1</v>
      </c>
      <c r="H8" t="str">
        <f t="shared" si="0"/>
        <v>P2-30NCSch1</v>
      </c>
      <c r="I8" t="s">
        <v>24</v>
      </c>
      <c r="J8">
        <v>1</v>
      </c>
      <c r="K8" s="24">
        <f t="shared" si="1"/>
        <v>1</v>
      </c>
      <c r="L8">
        <v>1</v>
      </c>
      <c r="M8">
        <v>1</v>
      </c>
      <c r="N8">
        <v>1</v>
      </c>
      <c r="O8">
        <v>2</v>
      </c>
      <c r="P8">
        <v>0</v>
      </c>
      <c r="Q8">
        <v>0.5</v>
      </c>
      <c r="R8">
        <v>0</v>
      </c>
      <c r="S8">
        <v>0</v>
      </c>
      <c r="T8">
        <v>0</v>
      </c>
      <c r="U8">
        <v>0</v>
      </c>
      <c r="V8" s="24">
        <v>1</v>
      </c>
      <c r="W8">
        <v>1</v>
      </c>
      <c r="Y8">
        <v>1</v>
      </c>
      <c r="Z8">
        <v>1</v>
      </c>
      <c r="AA8">
        <v>1</v>
      </c>
      <c r="AB8">
        <v>0.9</v>
      </c>
      <c r="AC8">
        <v>1</v>
      </c>
      <c r="AE8">
        <v>1</v>
      </c>
      <c r="AG8">
        <v>1</v>
      </c>
    </row>
    <row r="9" spans="1:33" ht="12.75">
      <c r="A9" t="s">
        <v>15</v>
      </c>
      <c r="B9" s="1">
        <v>0.7</v>
      </c>
      <c r="C9" t="s">
        <v>3</v>
      </c>
      <c r="D9" t="s">
        <v>18</v>
      </c>
      <c r="G9">
        <v>1</v>
      </c>
      <c r="H9" t="str">
        <f t="shared" si="0"/>
        <v>P2-70ChSA1</v>
      </c>
      <c r="I9" t="s">
        <v>57</v>
      </c>
      <c r="J9">
        <v>1</v>
      </c>
      <c r="K9" s="24">
        <f t="shared" si="1"/>
        <v>0</v>
      </c>
      <c r="L9">
        <f t="shared" si="2"/>
        <v>1</v>
      </c>
      <c r="M9">
        <v>1</v>
      </c>
      <c r="N9">
        <v>1</v>
      </c>
      <c r="O9">
        <v>1</v>
      </c>
      <c r="P9">
        <v>0.5</v>
      </c>
      <c r="Q9">
        <v>0.5</v>
      </c>
      <c r="R9">
        <v>1</v>
      </c>
      <c r="S9">
        <v>0</v>
      </c>
      <c r="T9">
        <v>0.5</v>
      </c>
      <c r="U9">
        <v>1</v>
      </c>
      <c r="V9" s="24">
        <v>1</v>
      </c>
      <c r="W9">
        <v>1</v>
      </c>
      <c r="Y9">
        <v>1</v>
      </c>
      <c r="Z9">
        <v>1</v>
      </c>
      <c r="AA9">
        <v>1</v>
      </c>
      <c r="AB9">
        <v>1</v>
      </c>
      <c r="AC9">
        <v>1</v>
      </c>
      <c r="AE9">
        <v>1.7</v>
      </c>
      <c r="AF9">
        <v>1</v>
      </c>
      <c r="AG9">
        <v>1</v>
      </c>
    </row>
    <row r="10" spans="1:33" ht="12.75">
      <c r="A10" t="s">
        <v>15</v>
      </c>
      <c r="B10" s="1">
        <v>0.7</v>
      </c>
      <c r="C10" t="s">
        <v>3</v>
      </c>
      <c r="D10" t="s">
        <v>19</v>
      </c>
      <c r="G10">
        <v>1</v>
      </c>
      <c r="H10" t="str">
        <f t="shared" si="0"/>
        <v>P2-70ChSch1</v>
      </c>
      <c r="I10" t="s">
        <v>58</v>
      </c>
      <c r="J10">
        <v>1</v>
      </c>
      <c r="K10" s="24">
        <f t="shared" si="1"/>
        <v>1</v>
      </c>
      <c r="L10">
        <f t="shared" si="2"/>
        <v>1</v>
      </c>
      <c r="M10">
        <v>1</v>
      </c>
      <c r="N10">
        <v>1</v>
      </c>
      <c r="O10">
        <v>1</v>
      </c>
      <c r="P10">
        <v>0.5</v>
      </c>
      <c r="Q10">
        <v>0.5</v>
      </c>
      <c r="R10">
        <v>1</v>
      </c>
      <c r="S10">
        <v>0</v>
      </c>
      <c r="T10">
        <v>0.5</v>
      </c>
      <c r="U10">
        <v>1</v>
      </c>
      <c r="V10" s="24">
        <v>1</v>
      </c>
      <c r="W10">
        <v>1</v>
      </c>
      <c r="Y10">
        <v>1</v>
      </c>
      <c r="Z10">
        <v>1</v>
      </c>
      <c r="AA10">
        <v>1</v>
      </c>
      <c r="AB10">
        <v>1</v>
      </c>
      <c r="AC10">
        <v>1</v>
      </c>
      <c r="AE10">
        <v>1.7</v>
      </c>
      <c r="AF10">
        <v>1</v>
      </c>
      <c r="AG10">
        <v>1</v>
      </c>
    </row>
    <row r="11" spans="1:33" ht="12.75">
      <c r="A11" t="s">
        <v>15</v>
      </c>
      <c r="B11" s="1">
        <v>0.7</v>
      </c>
      <c r="C11" t="s">
        <v>18</v>
      </c>
      <c r="D11" t="s">
        <v>18</v>
      </c>
      <c r="G11">
        <v>1</v>
      </c>
      <c r="H11" t="str">
        <f t="shared" si="0"/>
        <v>P2-70NCSA1</v>
      </c>
      <c r="I11" t="s">
        <v>59</v>
      </c>
      <c r="J11">
        <v>1</v>
      </c>
      <c r="K11" s="24">
        <f t="shared" si="1"/>
        <v>0</v>
      </c>
      <c r="L11">
        <f t="shared" si="2"/>
        <v>0.5</v>
      </c>
      <c r="M11">
        <v>1</v>
      </c>
      <c r="N11">
        <v>1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 s="24">
        <f>0.26*G11</f>
        <v>0.26</v>
      </c>
      <c r="W11">
        <v>0.5</v>
      </c>
      <c r="Y11">
        <v>0.5</v>
      </c>
      <c r="Z11">
        <v>1</v>
      </c>
      <c r="AA11">
        <v>0</v>
      </c>
      <c r="AB11">
        <v>0.25</v>
      </c>
      <c r="AC11">
        <v>0.3</v>
      </c>
      <c r="AG11">
        <v>1</v>
      </c>
    </row>
    <row r="12" spans="1:33" ht="12.75">
      <c r="A12" t="s">
        <v>15</v>
      </c>
      <c r="B12" s="1">
        <v>0.7</v>
      </c>
      <c r="C12" t="s">
        <v>20</v>
      </c>
      <c r="D12" t="s">
        <v>19</v>
      </c>
      <c r="G12">
        <v>1</v>
      </c>
      <c r="H12" t="str">
        <f t="shared" si="0"/>
        <v>P2-70NCSch1</v>
      </c>
      <c r="I12" t="s">
        <v>60</v>
      </c>
      <c r="J12">
        <v>1</v>
      </c>
      <c r="K12" s="24">
        <f t="shared" si="1"/>
        <v>1</v>
      </c>
      <c r="L12">
        <f t="shared" si="2"/>
        <v>0.5</v>
      </c>
      <c r="M12">
        <v>1</v>
      </c>
      <c r="N12">
        <v>1</v>
      </c>
      <c r="O12">
        <v>1</v>
      </c>
      <c r="P12">
        <v>0</v>
      </c>
      <c r="Q12">
        <v>0.5</v>
      </c>
      <c r="R12">
        <v>0</v>
      </c>
      <c r="S12">
        <v>0</v>
      </c>
      <c r="T12">
        <v>0</v>
      </c>
      <c r="U12">
        <v>0</v>
      </c>
      <c r="V12" s="24">
        <v>1</v>
      </c>
      <c r="W12">
        <v>1</v>
      </c>
      <c r="Y12">
        <v>1</v>
      </c>
      <c r="Z12">
        <v>1</v>
      </c>
      <c r="AA12">
        <v>1</v>
      </c>
      <c r="AB12">
        <v>1</v>
      </c>
      <c r="AC12">
        <v>1</v>
      </c>
      <c r="AE12">
        <v>1</v>
      </c>
      <c r="AF12">
        <v>1</v>
      </c>
      <c r="AG12">
        <v>1</v>
      </c>
    </row>
    <row r="13" spans="2:22" ht="12.75">
      <c r="B13" s="1"/>
      <c r="I13" t="s">
        <v>245</v>
      </c>
      <c r="K13" s="24"/>
      <c r="V13" s="24"/>
    </row>
    <row r="14" spans="1:33" ht="12.75">
      <c r="A14" t="s">
        <v>16</v>
      </c>
      <c r="B14" s="1">
        <v>0.7</v>
      </c>
      <c r="C14" t="s">
        <v>18</v>
      </c>
      <c r="D14" t="s">
        <v>18</v>
      </c>
      <c r="G14">
        <v>1</v>
      </c>
      <c r="H14" t="str">
        <f>CONCATENATE("P",RIGHT(A14,1),"-",LEFT(B14*100,2),IF(C14="Childcare","Ch","NC"),IF(D14="School","Sch","SA"),G14)</f>
        <v>P3-70NCSA1</v>
      </c>
      <c r="I14" t="s">
        <v>66</v>
      </c>
      <c r="J14">
        <v>1</v>
      </c>
      <c r="K14" s="24">
        <f>IF(D14="School",1,0)</f>
        <v>0</v>
      </c>
      <c r="L14">
        <f>IF(C14="Childcare",0.5,0)</f>
        <v>0</v>
      </c>
      <c r="M14">
        <v>0.6</v>
      </c>
      <c r="N14">
        <f>G14</f>
        <v>1</v>
      </c>
      <c r="O14">
        <f>G14</f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 s="24">
        <f>0.26*G14</f>
        <v>0.26</v>
      </c>
      <c r="W14">
        <f>0.5*G14</f>
        <v>0.5</v>
      </c>
      <c r="Y14">
        <f>0.5*G14</f>
        <v>0.5</v>
      </c>
      <c r="Z14">
        <f>0.25*G14</f>
        <v>0.25</v>
      </c>
      <c r="AA14">
        <v>0</v>
      </c>
      <c r="AB14">
        <f>0.25*G14</f>
        <v>0.25</v>
      </c>
      <c r="AC14">
        <v>0.3</v>
      </c>
      <c r="AG14">
        <v>1</v>
      </c>
    </row>
    <row r="15" spans="1:33" ht="12.75">
      <c r="A15" t="s">
        <v>16</v>
      </c>
      <c r="B15" s="1">
        <v>0.7</v>
      </c>
      <c r="C15" t="s">
        <v>18</v>
      </c>
      <c r="D15" t="s">
        <v>18</v>
      </c>
      <c r="G15">
        <v>2</v>
      </c>
      <c r="H15" t="str">
        <f>CONCATENATE("P",RIGHT(A15,1),"-",LEFT(B15*100,2),IF(C15="Childcare","Ch","NC"),IF(D15="School","Sch","SA"),G15)</f>
        <v>P3-70NCSA2</v>
      </c>
      <c r="I15" t="s">
        <v>67</v>
      </c>
      <c r="J15">
        <v>1</v>
      </c>
      <c r="K15" s="24">
        <f>IF(D15="School",1,0)</f>
        <v>0</v>
      </c>
      <c r="L15">
        <f>IF(C15="Childcare",0.5,0)</f>
        <v>0</v>
      </c>
      <c r="M15">
        <f>G15*0.6</f>
        <v>1.2</v>
      </c>
      <c r="N15">
        <f>G15</f>
        <v>2</v>
      </c>
      <c r="O15">
        <f>G15</f>
        <v>2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 s="24">
        <f>0.26*G15</f>
        <v>0.52</v>
      </c>
      <c r="W15">
        <f>0.5*G15</f>
        <v>1</v>
      </c>
      <c r="Y15">
        <f>0.5*G15</f>
        <v>1</v>
      </c>
      <c r="Z15">
        <f>0.25*G15</f>
        <v>0.5</v>
      </c>
      <c r="AA15">
        <v>0</v>
      </c>
      <c r="AB15">
        <f>0.25*G15</f>
        <v>0.5</v>
      </c>
      <c r="AC15">
        <f>0.3*G15</f>
        <v>0.6</v>
      </c>
      <c r="AG15">
        <v>2</v>
      </c>
    </row>
    <row r="16" spans="1:33" ht="12.75">
      <c r="A16" t="s">
        <v>16</v>
      </c>
      <c r="B16" s="1">
        <v>0.7</v>
      </c>
      <c r="C16" t="s">
        <v>18</v>
      </c>
      <c r="D16" t="s">
        <v>18</v>
      </c>
      <c r="G16">
        <v>4</v>
      </c>
      <c r="H16" t="str">
        <f>CONCATENATE("P",RIGHT(A16,1),"-",LEFT(B16*100,2),IF(C16="Childcare","Ch","NC"),IF(D16="School","Sch","SA"),G16)</f>
        <v>P3-70NCSA4</v>
      </c>
      <c r="I16" t="s">
        <v>68</v>
      </c>
      <c r="J16">
        <v>2</v>
      </c>
      <c r="K16" s="24">
        <f>IF(D16="School",1,0)</f>
        <v>0</v>
      </c>
      <c r="L16">
        <f>IF(C16="Childcare",0.5,0)</f>
        <v>0</v>
      </c>
      <c r="M16">
        <f>G16*0.6</f>
        <v>2.4</v>
      </c>
      <c r="N16">
        <f>G16</f>
        <v>4</v>
      </c>
      <c r="O16">
        <f>G16</f>
        <v>4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 s="24">
        <f>0.26*G16</f>
        <v>1.04</v>
      </c>
      <c r="W16">
        <f>0.5*G16</f>
        <v>2</v>
      </c>
      <c r="Y16">
        <f>0.5*G16</f>
        <v>2</v>
      </c>
      <c r="Z16">
        <f>0.25*G16</f>
        <v>1</v>
      </c>
      <c r="AA16">
        <v>0</v>
      </c>
      <c r="AB16">
        <f>0.25*G16</f>
        <v>1</v>
      </c>
      <c r="AC16">
        <f>0.3*G16</f>
        <v>1.2</v>
      </c>
      <c r="AG16">
        <v>4</v>
      </c>
    </row>
    <row r="17" spans="2:23" ht="12.75">
      <c r="B17" s="1"/>
      <c r="V17" s="24"/>
      <c r="W17" s="36">
        <v>0.011</v>
      </c>
    </row>
    <row r="18" spans="1:34" s="31" customFormat="1" ht="12.75">
      <c r="A18" s="34" t="s">
        <v>134</v>
      </c>
      <c r="B18" s="33"/>
      <c r="C18" s="33"/>
      <c r="D18" s="33"/>
      <c r="E18" s="33"/>
      <c r="F18" s="33"/>
      <c r="G18" s="33"/>
      <c r="H18" s="33"/>
      <c r="I18" s="33"/>
      <c r="J18" s="33">
        <v>57486</v>
      </c>
      <c r="K18" s="33">
        <v>5090</v>
      </c>
      <c r="L18" s="33">
        <v>55011</v>
      </c>
      <c r="M18" s="33">
        <v>25427</v>
      </c>
      <c r="N18" s="33"/>
      <c r="O18" s="33"/>
      <c r="P18" s="33">
        <v>53825</v>
      </c>
      <c r="Q18" s="33">
        <v>21841</v>
      </c>
      <c r="R18" s="33">
        <v>47607</v>
      </c>
      <c r="S18" s="33">
        <v>25427</v>
      </c>
      <c r="T18" s="33">
        <v>25427</v>
      </c>
      <c r="U18" s="33">
        <v>20401</v>
      </c>
      <c r="V18" s="33"/>
      <c r="W18" s="33">
        <v>4072</v>
      </c>
      <c r="X18" s="33">
        <v>814.4</v>
      </c>
      <c r="Y18" s="33">
        <v>2036</v>
      </c>
      <c r="Z18" s="33">
        <v>2036</v>
      </c>
      <c r="AA18" s="33">
        <v>2036</v>
      </c>
      <c r="AB18" s="33">
        <v>23414</v>
      </c>
      <c r="AC18" s="33">
        <v>3054</v>
      </c>
      <c r="AD18" s="32">
        <v>38.46</v>
      </c>
      <c r="AE18" s="135">
        <v>824.58</v>
      </c>
      <c r="AF18" s="135">
        <v>1247.05</v>
      </c>
      <c r="AG18" s="135">
        <v>2036</v>
      </c>
      <c r="AH18" s="135"/>
    </row>
    <row r="19" spans="1:34" s="2" customFormat="1" ht="12" customHeight="1">
      <c r="A19" s="2" t="s">
        <v>129</v>
      </c>
      <c r="W19" s="2" t="s">
        <v>100</v>
      </c>
      <c r="X19" s="2" t="s">
        <v>101</v>
      </c>
      <c r="Y19" s="2" t="s">
        <v>103</v>
      </c>
      <c r="Z19" s="2" t="s">
        <v>131</v>
      </c>
      <c r="AA19" s="2" t="s">
        <v>132</v>
      </c>
      <c r="AB19" s="2" t="s">
        <v>106</v>
      </c>
      <c r="AC19" s="2" t="s">
        <v>107</v>
      </c>
      <c r="AD19" s="2" t="s">
        <v>133</v>
      </c>
      <c r="AE19" s="2" t="s">
        <v>70</v>
      </c>
      <c r="AF19" s="2" t="s">
        <v>109</v>
      </c>
      <c r="AG19" s="2" t="s">
        <v>111</v>
      </c>
      <c r="AH19" s="2" t="s">
        <v>135</v>
      </c>
    </row>
    <row r="20" spans="1:33" s="2" customFormat="1" ht="12.75">
      <c r="A20" s="30" t="s">
        <v>130</v>
      </c>
      <c r="B20" s="30"/>
      <c r="C20" s="30"/>
      <c r="D20" s="30"/>
      <c r="E20" s="30"/>
      <c r="F20" s="30"/>
      <c r="G20" s="30"/>
      <c r="H20" s="30"/>
      <c r="I20" s="30"/>
      <c r="J20" s="37">
        <f>'Staff Rates'!H12</f>
        <v>57486</v>
      </c>
      <c r="K20" s="37">
        <f>'Staff Rates'!H15</f>
        <v>5196.889999999999</v>
      </c>
      <c r="L20" s="37">
        <f>'Staff Rates'!H16</f>
        <v>49252.28</v>
      </c>
      <c r="M20" s="37">
        <f>'Staff Rates'!H19</f>
        <v>25427</v>
      </c>
      <c r="N20" s="37">
        <f>'Staff Rates'!H17</f>
        <v>29508</v>
      </c>
      <c r="O20" s="37">
        <f>'Staff Rates'!H18</f>
        <v>29508</v>
      </c>
      <c r="P20" s="37">
        <f>'Staff Rates'!H14</f>
        <v>53825</v>
      </c>
      <c r="Q20" s="37">
        <f>'Staff Rates'!H23</f>
        <v>21841</v>
      </c>
      <c r="R20" s="37">
        <f>'Staff Rates'!H13</f>
        <v>47607</v>
      </c>
      <c r="S20" s="37">
        <f>'Staff Rates'!H21</f>
        <v>25427</v>
      </c>
      <c r="T20" s="37">
        <f>'Staff Rates'!H20</f>
        <v>25427</v>
      </c>
      <c r="U20" s="37">
        <f>'Staff Rates'!H22</f>
        <v>20401</v>
      </c>
      <c r="V20" s="30"/>
      <c r="W20" s="37">
        <f>W18*(1+$W$17)</f>
        <v>4116.7919999999995</v>
      </c>
      <c r="X20" s="37">
        <f aca="true" t="shared" si="3" ref="X20:AG20">X18*(1+$W$17)</f>
        <v>823.3583999999998</v>
      </c>
      <c r="Y20" s="37">
        <f t="shared" si="3"/>
        <v>2058.3959999999997</v>
      </c>
      <c r="Z20" s="37">
        <f t="shared" si="3"/>
        <v>2058.3959999999997</v>
      </c>
      <c r="AA20" s="37">
        <f t="shared" si="3"/>
        <v>2058.3959999999997</v>
      </c>
      <c r="AB20" s="37">
        <f t="shared" si="3"/>
        <v>23671.553999999996</v>
      </c>
      <c r="AC20" s="37">
        <f t="shared" si="3"/>
        <v>3087.5939999999996</v>
      </c>
      <c r="AD20" s="38">
        <f>26.39*1.5</f>
        <v>39.585</v>
      </c>
      <c r="AE20" s="37">
        <f t="shared" si="3"/>
        <v>833.6503799999999</v>
      </c>
      <c r="AF20" s="37">
        <f t="shared" si="3"/>
        <v>1260.7675499999998</v>
      </c>
      <c r="AG20" s="37">
        <f t="shared" si="3"/>
        <v>2058.3959999999997</v>
      </c>
    </row>
    <row r="21" spans="1:34" ht="12.75">
      <c r="A21" t="str">
        <f aca="true" t="shared" si="4" ref="A21:A28">A5</f>
        <v>Phase2</v>
      </c>
      <c r="B21" s="27">
        <f aca="true" t="shared" si="5" ref="B21:I21">B5</f>
        <v>0.3</v>
      </c>
      <c r="C21" t="str">
        <f t="shared" si="5"/>
        <v>Childcare</v>
      </c>
      <c r="D21" t="str">
        <f t="shared" si="5"/>
        <v>N</v>
      </c>
      <c r="G21">
        <f t="shared" si="5"/>
        <v>1</v>
      </c>
      <c r="H21" t="str">
        <f t="shared" si="5"/>
        <v>P2-30ChSA1</v>
      </c>
      <c r="I21" t="str">
        <f t="shared" si="5"/>
        <v>2A</v>
      </c>
      <c r="J21" s="35">
        <f aca="true" t="shared" si="6" ref="J21:J28">J5*J$20</f>
        <v>57486</v>
      </c>
      <c r="K21" s="35">
        <f aca="true" t="shared" si="7" ref="K21:U32">K5*K$20</f>
        <v>0</v>
      </c>
      <c r="L21" s="35">
        <f t="shared" si="7"/>
        <v>49252.28</v>
      </c>
      <c r="M21" s="35">
        <f t="shared" si="7"/>
        <v>25427</v>
      </c>
      <c r="N21" s="35">
        <f t="shared" si="7"/>
        <v>29508</v>
      </c>
      <c r="O21" s="35">
        <f t="shared" si="7"/>
        <v>59016</v>
      </c>
      <c r="P21" s="35">
        <f t="shared" si="7"/>
        <v>26912.5</v>
      </c>
      <c r="Q21" s="35">
        <f t="shared" si="7"/>
        <v>21841</v>
      </c>
      <c r="R21" s="35">
        <f t="shared" si="7"/>
        <v>47607</v>
      </c>
      <c r="S21" s="35">
        <f t="shared" si="7"/>
        <v>25427</v>
      </c>
      <c r="T21" s="35">
        <f t="shared" si="7"/>
        <v>12713.5</v>
      </c>
      <c r="U21" s="35">
        <f t="shared" si="7"/>
        <v>20401</v>
      </c>
      <c r="V21" s="35"/>
      <c r="W21" s="35">
        <f>W5*W$20</f>
        <v>5145.99</v>
      </c>
      <c r="X21" s="35">
        <f aca="true" t="shared" si="8" ref="X21:X28">$V5*X$20</f>
        <v>864.5263199999998</v>
      </c>
      <c r="Y21" s="35">
        <f>Y5*Y$20</f>
        <v>3087.5939999999996</v>
      </c>
      <c r="Z21" s="35">
        <f>Z5*Z$20</f>
        <v>2058.3959999999997</v>
      </c>
      <c r="AA21" s="35">
        <f>AA5*AA$20</f>
        <v>2058.3959999999997</v>
      </c>
      <c r="AB21" s="35">
        <f>AB5*AB$20</f>
        <v>27222.287099999994</v>
      </c>
      <c r="AC21" s="35">
        <f>AC5*AC$20</f>
        <v>5248.909799999999</v>
      </c>
      <c r="AD21" s="35"/>
      <c r="AE21" s="35">
        <f>AE$20*AE5</f>
        <v>1417.205646</v>
      </c>
      <c r="AF21" s="35">
        <f>AF$20*AF5</f>
        <v>1260.7675499999998</v>
      </c>
      <c r="AG21" s="35">
        <f>AG$20*AG5</f>
        <v>2058.3959999999997</v>
      </c>
      <c r="AH21" s="35">
        <f>SUM(J21:AG21)</f>
        <v>426013.74841600005</v>
      </c>
    </row>
    <row r="22" spans="1:34" ht="12.75">
      <c r="A22" t="str">
        <f t="shared" si="4"/>
        <v>Phase2</v>
      </c>
      <c r="B22" s="27">
        <f aca="true" t="shared" si="9" ref="B22:D28">B6</f>
        <v>0.3</v>
      </c>
      <c r="C22" t="str">
        <f t="shared" si="9"/>
        <v>Childcare</v>
      </c>
      <c r="D22" t="str">
        <f t="shared" si="9"/>
        <v>School</v>
      </c>
      <c r="G22">
        <f aca="true" t="shared" si="10" ref="G22:I28">G6</f>
        <v>1</v>
      </c>
      <c r="H22" t="str">
        <f t="shared" si="10"/>
        <v>P2-30ChSch1</v>
      </c>
      <c r="I22" t="str">
        <f t="shared" si="10"/>
        <v>2B</v>
      </c>
      <c r="J22" s="35">
        <f t="shared" si="6"/>
        <v>57486</v>
      </c>
      <c r="K22" s="35">
        <f aca="true" t="shared" si="11" ref="K22:U22">K6*K$20</f>
        <v>5196.889999999999</v>
      </c>
      <c r="L22" s="35">
        <f t="shared" si="11"/>
        <v>49252.28</v>
      </c>
      <c r="M22" s="35">
        <f t="shared" si="11"/>
        <v>25427</v>
      </c>
      <c r="N22" s="35">
        <f t="shared" si="11"/>
        <v>29508</v>
      </c>
      <c r="O22" s="35">
        <f t="shared" si="11"/>
        <v>59016</v>
      </c>
      <c r="P22" s="35">
        <f t="shared" si="11"/>
        <v>26912.5</v>
      </c>
      <c r="Q22" s="35">
        <f t="shared" si="11"/>
        <v>10920.5</v>
      </c>
      <c r="R22" s="35">
        <f t="shared" si="11"/>
        <v>47607</v>
      </c>
      <c r="S22" s="35">
        <f t="shared" si="11"/>
        <v>0</v>
      </c>
      <c r="T22" s="35">
        <f t="shared" si="11"/>
        <v>12713.5</v>
      </c>
      <c r="U22" s="35">
        <f t="shared" si="11"/>
        <v>20401</v>
      </c>
      <c r="V22" s="35"/>
      <c r="W22" s="35">
        <f aca="true" t="shared" si="12" ref="W22:W32">W6*W$20</f>
        <v>4116.7919999999995</v>
      </c>
      <c r="X22" s="35">
        <f t="shared" si="8"/>
        <v>823.3583999999998</v>
      </c>
      <c r="Y22" s="35">
        <f aca="true" t="shared" si="13" ref="Y22:Z32">Y6*Y$20</f>
        <v>2058.3959999999997</v>
      </c>
      <c r="Z22" s="35">
        <f t="shared" si="13"/>
        <v>2058.3959999999997</v>
      </c>
      <c r="AA22" s="35">
        <f aca="true" t="shared" si="14" ref="AA22:AC28">AA6*AA$20</f>
        <v>2058.3959999999997</v>
      </c>
      <c r="AB22" s="35">
        <f t="shared" si="14"/>
        <v>23671.553999999996</v>
      </c>
      <c r="AC22" s="35">
        <f t="shared" si="14"/>
        <v>3087.5939999999996</v>
      </c>
      <c r="AD22" s="35"/>
      <c r="AE22" s="35">
        <f aca="true" t="shared" si="15" ref="AE22:AG32">AE$20*AE6</f>
        <v>1417.205646</v>
      </c>
      <c r="AF22" s="35">
        <f t="shared" si="15"/>
        <v>1260.7675499999998</v>
      </c>
      <c r="AG22" s="35">
        <f t="shared" si="15"/>
        <v>2058.3959999999997</v>
      </c>
      <c r="AH22" s="35">
        <f aca="true" t="shared" si="16" ref="AH22:AH31">SUM(J22:AG22)</f>
        <v>387051.525596</v>
      </c>
    </row>
    <row r="23" spans="1:34" ht="12.75">
      <c r="A23" t="str">
        <f t="shared" si="4"/>
        <v>Phase2</v>
      </c>
      <c r="B23" s="27">
        <f t="shared" si="9"/>
        <v>0.3</v>
      </c>
      <c r="C23" t="str">
        <f t="shared" si="9"/>
        <v>N</v>
      </c>
      <c r="D23" t="str">
        <f t="shared" si="9"/>
        <v>N</v>
      </c>
      <c r="G23">
        <f t="shared" si="10"/>
        <v>1</v>
      </c>
      <c r="H23" t="str">
        <f t="shared" si="10"/>
        <v>P2-30NCSA1</v>
      </c>
      <c r="I23" t="str">
        <f t="shared" si="10"/>
        <v>2C</v>
      </c>
      <c r="J23" s="35">
        <f t="shared" si="6"/>
        <v>57486</v>
      </c>
      <c r="K23" s="35">
        <f t="shared" si="7"/>
        <v>0</v>
      </c>
      <c r="L23" s="35">
        <f t="shared" si="7"/>
        <v>49252.28</v>
      </c>
      <c r="M23" s="35">
        <f t="shared" si="7"/>
        <v>25427</v>
      </c>
      <c r="N23" s="35">
        <f t="shared" si="7"/>
        <v>29508</v>
      </c>
      <c r="O23" s="35">
        <f t="shared" si="7"/>
        <v>59016</v>
      </c>
      <c r="P23" s="35">
        <f t="shared" si="7"/>
        <v>0</v>
      </c>
      <c r="Q23" s="35">
        <f t="shared" si="7"/>
        <v>0</v>
      </c>
      <c r="R23" s="35">
        <f t="shared" si="7"/>
        <v>0</v>
      </c>
      <c r="S23" s="35">
        <f t="shared" si="7"/>
        <v>0</v>
      </c>
      <c r="T23" s="35">
        <f t="shared" si="7"/>
        <v>0</v>
      </c>
      <c r="U23" s="35">
        <f t="shared" si="7"/>
        <v>0</v>
      </c>
      <c r="V23" s="35"/>
      <c r="W23" s="35">
        <f t="shared" si="12"/>
        <v>4116.7919999999995</v>
      </c>
      <c r="X23" s="35">
        <f t="shared" si="8"/>
        <v>214.07318399999997</v>
      </c>
      <c r="Y23" s="35">
        <f t="shared" si="13"/>
        <v>2058.3959999999997</v>
      </c>
      <c r="Z23" s="35">
        <f t="shared" si="13"/>
        <v>2058.3959999999997</v>
      </c>
      <c r="AA23" s="35">
        <f t="shared" si="14"/>
        <v>2058.3959999999997</v>
      </c>
      <c r="AB23" s="35">
        <f t="shared" si="14"/>
        <v>5917.888499999999</v>
      </c>
      <c r="AC23" s="35">
        <f t="shared" si="14"/>
        <v>926.2781999999999</v>
      </c>
      <c r="AD23" s="35"/>
      <c r="AE23" s="35">
        <f t="shared" si="15"/>
        <v>0</v>
      </c>
      <c r="AF23" s="35">
        <f t="shared" si="15"/>
        <v>0</v>
      </c>
      <c r="AG23" s="35">
        <f t="shared" si="15"/>
        <v>2058.3959999999997</v>
      </c>
      <c r="AH23" s="35">
        <f t="shared" si="16"/>
        <v>240097.89588400003</v>
      </c>
    </row>
    <row r="24" spans="1:34" ht="12.75">
      <c r="A24" t="str">
        <f t="shared" si="4"/>
        <v>Phase2</v>
      </c>
      <c r="B24" s="27">
        <f t="shared" si="9"/>
        <v>0.3</v>
      </c>
      <c r="C24" t="str">
        <f t="shared" si="9"/>
        <v>N</v>
      </c>
      <c r="D24" t="str">
        <f t="shared" si="9"/>
        <v>School</v>
      </c>
      <c r="G24">
        <f t="shared" si="10"/>
        <v>1</v>
      </c>
      <c r="H24" t="str">
        <f t="shared" si="10"/>
        <v>P2-30NCSch1</v>
      </c>
      <c r="I24" t="str">
        <f t="shared" si="10"/>
        <v>2D</v>
      </c>
      <c r="J24" s="35">
        <f t="shared" si="6"/>
        <v>57486</v>
      </c>
      <c r="K24" s="35">
        <f t="shared" si="7"/>
        <v>5196.889999999999</v>
      </c>
      <c r="L24" s="35">
        <f t="shared" si="7"/>
        <v>49252.28</v>
      </c>
      <c r="M24" s="35">
        <f t="shared" si="7"/>
        <v>25427</v>
      </c>
      <c r="N24" s="35">
        <f t="shared" si="7"/>
        <v>29508</v>
      </c>
      <c r="O24" s="35">
        <f t="shared" si="7"/>
        <v>59016</v>
      </c>
      <c r="P24" s="35">
        <f t="shared" si="7"/>
        <v>0</v>
      </c>
      <c r="Q24" s="35">
        <f t="shared" si="7"/>
        <v>10920.5</v>
      </c>
      <c r="R24" s="35">
        <f t="shared" si="7"/>
        <v>0</v>
      </c>
      <c r="S24" s="35">
        <f t="shared" si="7"/>
        <v>0</v>
      </c>
      <c r="T24" s="35">
        <f t="shared" si="7"/>
        <v>0</v>
      </c>
      <c r="U24" s="35">
        <f t="shared" si="7"/>
        <v>0</v>
      </c>
      <c r="V24" s="35"/>
      <c r="W24" s="35">
        <f t="shared" si="12"/>
        <v>4116.7919999999995</v>
      </c>
      <c r="X24" s="35">
        <f t="shared" si="8"/>
        <v>823.3583999999998</v>
      </c>
      <c r="Y24" s="35">
        <f t="shared" si="13"/>
        <v>2058.3959999999997</v>
      </c>
      <c r="Z24" s="35">
        <f t="shared" si="13"/>
        <v>2058.3959999999997</v>
      </c>
      <c r="AA24" s="35">
        <f t="shared" si="14"/>
        <v>2058.3959999999997</v>
      </c>
      <c r="AB24" s="35">
        <f t="shared" si="14"/>
        <v>21304.398599999997</v>
      </c>
      <c r="AC24" s="35">
        <f t="shared" si="14"/>
        <v>3087.5939999999996</v>
      </c>
      <c r="AD24" s="35"/>
      <c r="AE24" s="35">
        <f t="shared" si="15"/>
        <v>833.6503799999999</v>
      </c>
      <c r="AF24" s="35">
        <f t="shared" si="15"/>
        <v>0</v>
      </c>
      <c r="AG24" s="35">
        <f t="shared" si="15"/>
        <v>2058.3959999999997</v>
      </c>
      <c r="AH24" s="35">
        <f t="shared" si="16"/>
        <v>275206.04738</v>
      </c>
    </row>
    <row r="25" spans="1:34" ht="12.75">
      <c r="A25" t="str">
        <f t="shared" si="4"/>
        <v>Phase2</v>
      </c>
      <c r="B25" s="27">
        <f t="shared" si="9"/>
        <v>0.7</v>
      </c>
      <c r="C25" t="str">
        <f t="shared" si="9"/>
        <v>Childcare</v>
      </c>
      <c r="D25" t="str">
        <f t="shared" si="9"/>
        <v>N</v>
      </c>
      <c r="G25">
        <f t="shared" si="10"/>
        <v>1</v>
      </c>
      <c r="H25" t="str">
        <f t="shared" si="10"/>
        <v>P2-70ChSA1</v>
      </c>
      <c r="I25" t="str">
        <f t="shared" si="10"/>
        <v>2E</v>
      </c>
      <c r="J25" s="35">
        <f t="shared" si="6"/>
        <v>57486</v>
      </c>
      <c r="K25" s="35">
        <f t="shared" si="7"/>
        <v>0</v>
      </c>
      <c r="L25" s="35">
        <f t="shared" si="7"/>
        <v>49252.28</v>
      </c>
      <c r="M25" s="35">
        <f t="shared" si="7"/>
        <v>25427</v>
      </c>
      <c r="N25" s="35">
        <f t="shared" si="7"/>
        <v>29508</v>
      </c>
      <c r="O25" s="35">
        <f t="shared" si="7"/>
        <v>29508</v>
      </c>
      <c r="P25" s="35">
        <f t="shared" si="7"/>
        <v>26912.5</v>
      </c>
      <c r="Q25" s="35">
        <f t="shared" si="7"/>
        <v>10920.5</v>
      </c>
      <c r="R25" s="35">
        <f t="shared" si="7"/>
        <v>47607</v>
      </c>
      <c r="S25" s="35">
        <f t="shared" si="7"/>
        <v>0</v>
      </c>
      <c r="T25" s="35">
        <f t="shared" si="7"/>
        <v>12713.5</v>
      </c>
      <c r="U25" s="35">
        <f t="shared" si="7"/>
        <v>20401</v>
      </c>
      <c r="V25" s="35"/>
      <c r="W25" s="35">
        <f t="shared" si="12"/>
        <v>4116.7919999999995</v>
      </c>
      <c r="X25" s="35">
        <f t="shared" si="8"/>
        <v>823.3583999999998</v>
      </c>
      <c r="Y25" s="35">
        <f t="shared" si="13"/>
        <v>2058.3959999999997</v>
      </c>
      <c r="Z25" s="35">
        <f t="shared" si="13"/>
        <v>2058.3959999999997</v>
      </c>
      <c r="AA25" s="35">
        <f t="shared" si="14"/>
        <v>2058.3959999999997</v>
      </c>
      <c r="AB25" s="35">
        <f t="shared" si="14"/>
        <v>23671.553999999996</v>
      </c>
      <c r="AC25" s="35">
        <f t="shared" si="14"/>
        <v>3087.5939999999996</v>
      </c>
      <c r="AD25" s="35"/>
      <c r="AE25" s="35">
        <f t="shared" si="15"/>
        <v>1417.205646</v>
      </c>
      <c r="AF25" s="35">
        <f t="shared" si="15"/>
        <v>1260.7675499999998</v>
      </c>
      <c r="AG25" s="35">
        <f t="shared" si="15"/>
        <v>2058.3959999999997</v>
      </c>
      <c r="AH25" s="35">
        <f t="shared" si="16"/>
        <v>352346.63559600007</v>
      </c>
    </row>
    <row r="26" spans="1:34" ht="12.75">
      <c r="A26" t="str">
        <f t="shared" si="4"/>
        <v>Phase2</v>
      </c>
      <c r="B26" s="27">
        <f t="shared" si="9"/>
        <v>0.7</v>
      </c>
      <c r="C26" t="str">
        <f t="shared" si="9"/>
        <v>Childcare</v>
      </c>
      <c r="D26" t="str">
        <f t="shared" si="9"/>
        <v>School</v>
      </c>
      <c r="G26">
        <f t="shared" si="10"/>
        <v>1</v>
      </c>
      <c r="H26" t="str">
        <f t="shared" si="10"/>
        <v>P2-70ChSch1</v>
      </c>
      <c r="I26" t="str">
        <f t="shared" si="10"/>
        <v>2F</v>
      </c>
      <c r="J26" s="35">
        <f t="shared" si="6"/>
        <v>57486</v>
      </c>
      <c r="K26" s="35">
        <f t="shared" si="7"/>
        <v>5196.889999999999</v>
      </c>
      <c r="L26" s="35">
        <f t="shared" si="7"/>
        <v>49252.28</v>
      </c>
      <c r="M26" s="35">
        <f t="shared" si="7"/>
        <v>25427</v>
      </c>
      <c r="N26" s="35">
        <f t="shared" si="7"/>
        <v>29508</v>
      </c>
      <c r="O26" s="35">
        <f t="shared" si="7"/>
        <v>29508</v>
      </c>
      <c r="P26" s="35">
        <f t="shared" si="7"/>
        <v>26912.5</v>
      </c>
      <c r="Q26" s="35">
        <f t="shared" si="7"/>
        <v>10920.5</v>
      </c>
      <c r="R26" s="35">
        <f t="shared" si="7"/>
        <v>47607</v>
      </c>
      <c r="S26" s="35">
        <f t="shared" si="7"/>
        <v>0</v>
      </c>
      <c r="T26" s="35">
        <f t="shared" si="7"/>
        <v>12713.5</v>
      </c>
      <c r="U26" s="35">
        <f t="shared" si="7"/>
        <v>20401</v>
      </c>
      <c r="V26" s="35"/>
      <c r="W26" s="35">
        <f t="shared" si="12"/>
        <v>4116.7919999999995</v>
      </c>
      <c r="X26" s="35">
        <f t="shared" si="8"/>
        <v>823.3583999999998</v>
      </c>
      <c r="Y26" s="35">
        <f t="shared" si="13"/>
        <v>2058.3959999999997</v>
      </c>
      <c r="Z26" s="35">
        <f t="shared" si="13"/>
        <v>2058.3959999999997</v>
      </c>
      <c r="AA26" s="35">
        <f t="shared" si="14"/>
        <v>2058.3959999999997</v>
      </c>
      <c r="AB26" s="35">
        <f t="shared" si="14"/>
        <v>23671.553999999996</v>
      </c>
      <c r="AC26" s="35">
        <f t="shared" si="14"/>
        <v>3087.5939999999996</v>
      </c>
      <c r="AD26" s="35"/>
      <c r="AE26" s="35">
        <f t="shared" si="15"/>
        <v>1417.205646</v>
      </c>
      <c r="AF26" s="35">
        <f t="shared" si="15"/>
        <v>1260.7675499999998</v>
      </c>
      <c r="AG26" s="35">
        <f t="shared" si="15"/>
        <v>2058.3959999999997</v>
      </c>
      <c r="AH26" s="35">
        <f t="shared" si="16"/>
        <v>357543.525596</v>
      </c>
    </row>
    <row r="27" spans="1:34" ht="12.75">
      <c r="A27" t="str">
        <f t="shared" si="4"/>
        <v>Phase2</v>
      </c>
      <c r="B27" s="27">
        <f t="shared" si="9"/>
        <v>0.7</v>
      </c>
      <c r="C27" t="str">
        <f t="shared" si="9"/>
        <v>N</v>
      </c>
      <c r="D27" t="str">
        <f t="shared" si="9"/>
        <v>N</v>
      </c>
      <c r="G27">
        <f t="shared" si="10"/>
        <v>1</v>
      </c>
      <c r="H27" t="str">
        <f t="shared" si="10"/>
        <v>P2-70NCSA1</v>
      </c>
      <c r="I27" t="str">
        <f t="shared" si="10"/>
        <v>2G</v>
      </c>
      <c r="J27" s="35">
        <f t="shared" si="6"/>
        <v>57486</v>
      </c>
      <c r="K27" s="35">
        <f t="shared" si="7"/>
        <v>0</v>
      </c>
      <c r="L27" s="35">
        <f t="shared" si="7"/>
        <v>24626.14</v>
      </c>
      <c r="M27" s="35">
        <f t="shared" si="7"/>
        <v>25427</v>
      </c>
      <c r="N27" s="35">
        <f t="shared" si="7"/>
        <v>29508</v>
      </c>
      <c r="O27" s="35">
        <f t="shared" si="7"/>
        <v>29508</v>
      </c>
      <c r="P27" s="35">
        <f t="shared" si="7"/>
        <v>0</v>
      </c>
      <c r="Q27" s="35">
        <f t="shared" si="7"/>
        <v>0</v>
      </c>
      <c r="R27" s="35">
        <f t="shared" si="7"/>
        <v>0</v>
      </c>
      <c r="S27" s="35">
        <f t="shared" si="7"/>
        <v>0</v>
      </c>
      <c r="T27" s="35">
        <f t="shared" si="7"/>
        <v>0</v>
      </c>
      <c r="U27" s="35">
        <f t="shared" si="7"/>
        <v>0</v>
      </c>
      <c r="V27" s="35"/>
      <c r="W27" s="35">
        <f t="shared" si="12"/>
        <v>2058.3959999999997</v>
      </c>
      <c r="X27" s="35">
        <f t="shared" si="8"/>
        <v>214.07318399999997</v>
      </c>
      <c r="Y27" s="35">
        <f t="shared" si="13"/>
        <v>1029.1979999999999</v>
      </c>
      <c r="Z27" s="35">
        <f t="shared" si="13"/>
        <v>2058.3959999999997</v>
      </c>
      <c r="AA27" s="35">
        <f t="shared" si="14"/>
        <v>0</v>
      </c>
      <c r="AB27" s="35">
        <f t="shared" si="14"/>
        <v>5917.888499999999</v>
      </c>
      <c r="AC27" s="35">
        <f t="shared" si="14"/>
        <v>926.2781999999999</v>
      </c>
      <c r="AD27" s="35"/>
      <c r="AE27" s="35">
        <f t="shared" si="15"/>
        <v>0</v>
      </c>
      <c r="AF27" s="35">
        <f t="shared" si="15"/>
        <v>0</v>
      </c>
      <c r="AG27" s="35">
        <f t="shared" si="15"/>
        <v>2058.3959999999997</v>
      </c>
      <c r="AH27" s="35">
        <f t="shared" si="16"/>
        <v>180817.76588400005</v>
      </c>
    </row>
    <row r="28" spans="1:34" ht="12.75">
      <c r="A28" t="str">
        <f t="shared" si="4"/>
        <v>Phase2</v>
      </c>
      <c r="B28" s="27">
        <f t="shared" si="9"/>
        <v>0.7</v>
      </c>
      <c r="C28" t="str">
        <f t="shared" si="9"/>
        <v>N </v>
      </c>
      <c r="D28" t="str">
        <f t="shared" si="9"/>
        <v>School</v>
      </c>
      <c r="G28">
        <f t="shared" si="10"/>
        <v>1</v>
      </c>
      <c r="H28" t="str">
        <f t="shared" si="10"/>
        <v>P2-70NCSch1</v>
      </c>
      <c r="I28" t="str">
        <f t="shared" si="10"/>
        <v>2H</v>
      </c>
      <c r="J28" s="35">
        <f t="shared" si="6"/>
        <v>57486</v>
      </c>
      <c r="K28" s="35">
        <f t="shared" si="7"/>
        <v>5196.889999999999</v>
      </c>
      <c r="L28" s="35">
        <f t="shared" si="7"/>
        <v>24626.14</v>
      </c>
      <c r="M28" s="35">
        <f t="shared" si="7"/>
        <v>25427</v>
      </c>
      <c r="N28" s="35">
        <f t="shared" si="7"/>
        <v>29508</v>
      </c>
      <c r="O28" s="35">
        <f t="shared" si="7"/>
        <v>29508</v>
      </c>
      <c r="P28" s="35">
        <f t="shared" si="7"/>
        <v>0</v>
      </c>
      <c r="Q28" s="35">
        <f t="shared" si="7"/>
        <v>10920.5</v>
      </c>
      <c r="R28" s="35">
        <f t="shared" si="7"/>
        <v>0</v>
      </c>
      <c r="S28" s="35">
        <f t="shared" si="7"/>
        <v>0</v>
      </c>
      <c r="T28" s="35">
        <f t="shared" si="7"/>
        <v>0</v>
      </c>
      <c r="U28" s="35">
        <f t="shared" si="7"/>
        <v>0</v>
      </c>
      <c r="V28" s="35"/>
      <c r="W28" s="35">
        <f t="shared" si="12"/>
        <v>4116.7919999999995</v>
      </c>
      <c r="X28" s="35">
        <f t="shared" si="8"/>
        <v>823.3583999999998</v>
      </c>
      <c r="Y28" s="35">
        <f t="shared" si="13"/>
        <v>2058.3959999999997</v>
      </c>
      <c r="Z28" s="35">
        <f t="shared" si="13"/>
        <v>2058.3959999999997</v>
      </c>
      <c r="AA28" s="35">
        <f t="shared" si="14"/>
        <v>2058.3959999999997</v>
      </c>
      <c r="AB28" s="35">
        <f t="shared" si="14"/>
        <v>23671.553999999996</v>
      </c>
      <c r="AC28" s="35">
        <f t="shared" si="14"/>
        <v>3087.5939999999996</v>
      </c>
      <c r="AD28" s="35"/>
      <c r="AE28" s="35">
        <f t="shared" si="15"/>
        <v>833.6503799999999</v>
      </c>
      <c r="AF28" s="35">
        <f t="shared" si="15"/>
        <v>1260.7675499999998</v>
      </c>
      <c r="AG28" s="35">
        <f t="shared" si="15"/>
        <v>2058.3959999999997</v>
      </c>
      <c r="AH28" s="35">
        <f t="shared" si="16"/>
        <v>224699.83033000003</v>
      </c>
    </row>
    <row r="29" spans="2:34" ht="12.75">
      <c r="B29" s="27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>
        <f t="shared" si="15"/>
        <v>0</v>
      </c>
      <c r="AF29" s="35">
        <f t="shared" si="15"/>
        <v>0</v>
      </c>
      <c r="AG29" s="35">
        <f t="shared" si="15"/>
        <v>0</v>
      </c>
      <c r="AH29" s="35">
        <f t="shared" si="16"/>
        <v>0</v>
      </c>
    </row>
    <row r="30" spans="1:34" ht="12.75">
      <c r="A30" t="str">
        <f aca="true" t="shared" si="17" ref="A30:D32">A14</f>
        <v>Phase3</v>
      </c>
      <c r="B30" s="27">
        <f t="shared" si="17"/>
        <v>0.7</v>
      </c>
      <c r="C30" t="str">
        <f t="shared" si="17"/>
        <v>N</v>
      </c>
      <c r="D30" t="str">
        <f t="shared" si="17"/>
        <v>N</v>
      </c>
      <c r="G30">
        <f aca="true" t="shared" si="18" ref="G30:I32">G14</f>
        <v>1</v>
      </c>
      <c r="H30" t="str">
        <f t="shared" si="18"/>
        <v>P3-70NCSA1</v>
      </c>
      <c r="I30" t="str">
        <f t="shared" si="18"/>
        <v>3G</v>
      </c>
      <c r="J30" s="35">
        <f>J14*J$20</f>
        <v>57486</v>
      </c>
      <c r="K30" s="35">
        <f t="shared" si="7"/>
        <v>0</v>
      </c>
      <c r="L30" s="35">
        <f t="shared" si="7"/>
        <v>0</v>
      </c>
      <c r="M30" s="35">
        <f t="shared" si="7"/>
        <v>15256.199999999999</v>
      </c>
      <c r="N30" s="35">
        <f t="shared" si="7"/>
        <v>29508</v>
      </c>
      <c r="O30" s="35">
        <f t="shared" si="7"/>
        <v>29508</v>
      </c>
      <c r="P30" s="35">
        <f t="shared" si="7"/>
        <v>0</v>
      </c>
      <c r="Q30" s="35">
        <f t="shared" si="7"/>
        <v>0</v>
      </c>
      <c r="R30" s="35">
        <f t="shared" si="7"/>
        <v>0</v>
      </c>
      <c r="S30" s="35">
        <f t="shared" si="7"/>
        <v>0</v>
      </c>
      <c r="T30" s="35">
        <f t="shared" si="7"/>
        <v>0</v>
      </c>
      <c r="U30" s="35">
        <f t="shared" si="7"/>
        <v>0</v>
      </c>
      <c r="V30" s="35"/>
      <c r="W30" s="35">
        <f t="shared" si="12"/>
        <v>2058.3959999999997</v>
      </c>
      <c r="X30" s="35">
        <f>$V14*X$20</f>
        <v>214.07318399999997</v>
      </c>
      <c r="Y30" s="35">
        <f t="shared" si="13"/>
        <v>1029.1979999999999</v>
      </c>
      <c r="Z30" s="35">
        <f t="shared" si="13"/>
        <v>514.5989999999999</v>
      </c>
      <c r="AA30" s="35">
        <f aca="true" t="shared" si="19" ref="AA30:AC32">AA14*AA$20</f>
        <v>0</v>
      </c>
      <c r="AB30" s="35">
        <f t="shared" si="19"/>
        <v>5917.888499999999</v>
      </c>
      <c r="AC30" s="35">
        <f t="shared" si="19"/>
        <v>926.2781999999999</v>
      </c>
      <c r="AD30" s="35"/>
      <c r="AE30" s="35">
        <f t="shared" si="15"/>
        <v>0</v>
      </c>
      <c r="AF30" s="35">
        <f t="shared" si="15"/>
        <v>0</v>
      </c>
      <c r="AG30" s="35">
        <f t="shared" si="15"/>
        <v>2058.3959999999997</v>
      </c>
      <c r="AH30" s="35">
        <f t="shared" si="16"/>
        <v>144477.02888400003</v>
      </c>
    </row>
    <row r="31" spans="1:34" ht="12.75">
      <c r="A31" t="str">
        <f t="shared" si="17"/>
        <v>Phase3</v>
      </c>
      <c r="B31" s="27">
        <f t="shared" si="17"/>
        <v>0.7</v>
      </c>
      <c r="C31" t="str">
        <f t="shared" si="17"/>
        <v>N</v>
      </c>
      <c r="D31" t="str">
        <f t="shared" si="17"/>
        <v>N</v>
      </c>
      <c r="G31">
        <f t="shared" si="18"/>
        <v>2</v>
      </c>
      <c r="H31" t="str">
        <f t="shared" si="18"/>
        <v>P3-70NCSA2</v>
      </c>
      <c r="I31" t="str">
        <f t="shared" si="18"/>
        <v>3G2</v>
      </c>
      <c r="J31" s="35">
        <f>J15*J$20</f>
        <v>57486</v>
      </c>
      <c r="K31" s="35">
        <f t="shared" si="7"/>
        <v>0</v>
      </c>
      <c r="L31" s="35">
        <f t="shared" si="7"/>
        <v>0</v>
      </c>
      <c r="M31" s="35">
        <f t="shared" si="7"/>
        <v>30512.399999999998</v>
      </c>
      <c r="N31" s="35">
        <f t="shared" si="7"/>
        <v>59016</v>
      </c>
      <c r="O31" s="35">
        <f t="shared" si="7"/>
        <v>59016</v>
      </c>
      <c r="P31" s="35">
        <f t="shared" si="7"/>
        <v>0</v>
      </c>
      <c r="Q31" s="35">
        <f t="shared" si="7"/>
        <v>0</v>
      </c>
      <c r="R31" s="35">
        <f t="shared" si="7"/>
        <v>0</v>
      </c>
      <c r="S31" s="35">
        <f t="shared" si="7"/>
        <v>0</v>
      </c>
      <c r="T31" s="35">
        <f t="shared" si="7"/>
        <v>0</v>
      </c>
      <c r="U31" s="35">
        <f t="shared" si="7"/>
        <v>0</v>
      </c>
      <c r="V31" s="35"/>
      <c r="W31" s="35">
        <f t="shared" si="12"/>
        <v>4116.7919999999995</v>
      </c>
      <c r="X31" s="35">
        <f>$V15*X$20</f>
        <v>428.14636799999994</v>
      </c>
      <c r="Y31" s="35">
        <f t="shared" si="13"/>
        <v>2058.3959999999997</v>
      </c>
      <c r="Z31" s="35">
        <f t="shared" si="13"/>
        <v>1029.1979999999999</v>
      </c>
      <c r="AA31" s="35">
        <f t="shared" si="19"/>
        <v>0</v>
      </c>
      <c r="AB31" s="35">
        <f t="shared" si="19"/>
        <v>11835.776999999998</v>
      </c>
      <c r="AC31" s="35">
        <f t="shared" si="19"/>
        <v>1852.5563999999997</v>
      </c>
      <c r="AD31" s="35"/>
      <c r="AE31" s="35">
        <f t="shared" si="15"/>
        <v>0</v>
      </c>
      <c r="AF31" s="35">
        <f t="shared" si="15"/>
        <v>0</v>
      </c>
      <c r="AG31" s="35">
        <f t="shared" si="15"/>
        <v>4116.7919999999995</v>
      </c>
      <c r="AH31" s="35">
        <f t="shared" si="16"/>
        <v>231468.05776799997</v>
      </c>
    </row>
    <row r="32" spans="1:34" ht="12.75">
      <c r="A32" t="str">
        <f t="shared" si="17"/>
        <v>Phase3</v>
      </c>
      <c r="B32" s="27">
        <f t="shared" si="17"/>
        <v>0.7</v>
      </c>
      <c r="C32" t="str">
        <f t="shared" si="17"/>
        <v>N</v>
      </c>
      <c r="D32" t="str">
        <f t="shared" si="17"/>
        <v>N</v>
      </c>
      <c r="G32">
        <f t="shared" si="18"/>
        <v>4</v>
      </c>
      <c r="H32" t="str">
        <f t="shared" si="18"/>
        <v>P3-70NCSA4</v>
      </c>
      <c r="I32" t="str">
        <f t="shared" si="18"/>
        <v>3G4</v>
      </c>
      <c r="J32" s="35">
        <f>J16*J$20</f>
        <v>114972</v>
      </c>
      <c r="K32" s="35">
        <f t="shared" si="7"/>
        <v>0</v>
      </c>
      <c r="L32" s="35">
        <f t="shared" si="7"/>
        <v>0</v>
      </c>
      <c r="M32" s="35">
        <f t="shared" si="7"/>
        <v>61024.799999999996</v>
      </c>
      <c r="N32" s="35">
        <f t="shared" si="7"/>
        <v>118032</v>
      </c>
      <c r="O32" s="35">
        <f t="shared" si="7"/>
        <v>118032</v>
      </c>
      <c r="P32" s="35">
        <f t="shared" si="7"/>
        <v>0</v>
      </c>
      <c r="Q32" s="35">
        <f t="shared" si="7"/>
        <v>0</v>
      </c>
      <c r="R32" s="35">
        <f t="shared" si="7"/>
        <v>0</v>
      </c>
      <c r="S32" s="35">
        <f t="shared" si="7"/>
        <v>0</v>
      </c>
      <c r="T32" s="35">
        <f t="shared" si="7"/>
        <v>0</v>
      </c>
      <c r="U32" s="35">
        <f t="shared" si="7"/>
        <v>0</v>
      </c>
      <c r="V32" s="35"/>
      <c r="W32" s="35">
        <f t="shared" si="12"/>
        <v>8233.583999999999</v>
      </c>
      <c r="X32" s="35">
        <f>$V16*X$20</f>
        <v>856.2927359999999</v>
      </c>
      <c r="Y32" s="35">
        <f t="shared" si="13"/>
        <v>4116.7919999999995</v>
      </c>
      <c r="Z32" s="35">
        <f t="shared" si="13"/>
        <v>2058.3959999999997</v>
      </c>
      <c r="AA32" s="35">
        <f t="shared" si="19"/>
        <v>0</v>
      </c>
      <c r="AB32" s="35">
        <f t="shared" si="19"/>
        <v>23671.553999999996</v>
      </c>
      <c r="AC32" s="35">
        <f t="shared" si="19"/>
        <v>3705.1127999999994</v>
      </c>
      <c r="AD32" s="35"/>
      <c r="AE32" s="35">
        <f t="shared" si="15"/>
        <v>0</v>
      </c>
      <c r="AF32" s="35">
        <f t="shared" si="15"/>
        <v>0</v>
      </c>
      <c r="AG32" s="35">
        <f t="shared" si="15"/>
        <v>8233.583999999999</v>
      </c>
      <c r="AH32" s="35">
        <f>SUM(J32:AG32)</f>
        <v>462936.11553599994</v>
      </c>
    </row>
    <row r="38" spans="32:36" ht="12.75">
      <c r="AF38" s="136"/>
      <c r="AG38" s="136"/>
      <c r="AH38" s="136"/>
      <c r="AI38" s="136"/>
      <c r="AJ38" s="136"/>
    </row>
    <row r="39" spans="32:36" ht="12.75">
      <c r="AF39" s="137"/>
      <c r="AG39" s="137"/>
      <c r="AH39" s="137"/>
      <c r="AI39" s="137"/>
      <c r="AJ39" s="137"/>
    </row>
    <row r="40" spans="1:36" ht="12.75">
      <c r="A40" s="7" t="s">
        <v>69</v>
      </c>
      <c r="B40" s="7" t="s">
        <v>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  <c r="AF40" s="137"/>
      <c r="AG40" s="137"/>
      <c r="AH40" s="137"/>
      <c r="AI40" s="137"/>
      <c r="AJ40" s="137"/>
    </row>
    <row r="41" spans="1:36" ht="12.75">
      <c r="A41" s="7" t="s">
        <v>5</v>
      </c>
      <c r="B41" s="4" t="s">
        <v>21</v>
      </c>
      <c r="C41" s="10" t="s">
        <v>22</v>
      </c>
      <c r="D41" s="10" t="s">
        <v>23</v>
      </c>
      <c r="E41" s="10" t="s">
        <v>24</v>
      </c>
      <c r="F41" s="10" t="s">
        <v>57</v>
      </c>
      <c r="G41" s="10" t="s">
        <v>58</v>
      </c>
      <c r="H41" s="10" t="s">
        <v>59</v>
      </c>
      <c r="I41" s="10" t="s">
        <v>60</v>
      </c>
      <c r="J41" s="10" t="s">
        <v>66</v>
      </c>
      <c r="K41" s="10" t="s">
        <v>67</v>
      </c>
      <c r="L41" s="10" t="s">
        <v>68</v>
      </c>
      <c r="M41" s="11" t="s">
        <v>40</v>
      </c>
      <c r="AF41" s="137"/>
      <c r="AG41" s="137"/>
      <c r="AH41" s="137"/>
      <c r="AI41" s="137"/>
      <c r="AJ41" s="137"/>
    </row>
    <row r="42" spans="1:36" ht="12.75">
      <c r="A42" s="4" t="s">
        <v>49</v>
      </c>
      <c r="B42" s="12"/>
      <c r="C42" s="13">
        <v>1</v>
      </c>
      <c r="D42" s="13"/>
      <c r="E42" s="13"/>
      <c r="F42" s="13"/>
      <c r="G42" s="13"/>
      <c r="H42" s="13"/>
      <c r="I42" s="13"/>
      <c r="J42" s="13"/>
      <c r="K42" s="13"/>
      <c r="L42" s="13"/>
      <c r="M42" s="14">
        <v>1</v>
      </c>
      <c r="AF42" s="137"/>
      <c r="AG42" s="137"/>
      <c r="AH42" s="137"/>
      <c r="AI42" s="137"/>
      <c r="AJ42" s="137"/>
    </row>
    <row r="43" spans="1:36" ht="12.75">
      <c r="A43" s="8" t="s">
        <v>50</v>
      </c>
      <c r="B43" s="15"/>
      <c r="C43" s="16"/>
      <c r="D43" s="16"/>
      <c r="E43" s="16"/>
      <c r="F43" s="16"/>
      <c r="G43" s="16"/>
      <c r="H43" s="16">
        <v>1</v>
      </c>
      <c r="I43" s="16"/>
      <c r="J43" s="16"/>
      <c r="K43" s="16"/>
      <c r="L43" s="16"/>
      <c r="M43" s="17">
        <v>1</v>
      </c>
      <c r="AF43" s="137"/>
      <c r="AG43" s="137"/>
      <c r="AH43" s="137"/>
      <c r="AI43" s="137"/>
      <c r="AJ43" s="137"/>
    </row>
    <row r="44" spans="1:36" ht="12.75">
      <c r="A44" s="8" t="s">
        <v>51</v>
      </c>
      <c r="B44" s="15">
        <v>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>
        <v>1</v>
      </c>
      <c r="AF44" s="137"/>
      <c r="AG44" s="137"/>
      <c r="AH44" s="137"/>
      <c r="AI44" s="137"/>
      <c r="AJ44" s="137"/>
    </row>
    <row r="45" spans="1:36" ht="12.75">
      <c r="A45" s="8" t="s">
        <v>52</v>
      </c>
      <c r="B45" s="15"/>
      <c r="C45" s="16"/>
      <c r="D45" s="16"/>
      <c r="E45" s="16"/>
      <c r="F45" s="16"/>
      <c r="G45" s="16"/>
      <c r="H45" s="16"/>
      <c r="I45" s="16">
        <v>1</v>
      </c>
      <c r="J45" s="16"/>
      <c r="K45" s="16"/>
      <c r="L45" s="16"/>
      <c r="M45" s="17">
        <v>1</v>
      </c>
      <c r="AF45" s="137"/>
      <c r="AG45" s="137"/>
      <c r="AH45" s="137"/>
      <c r="AI45" s="137"/>
      <c r="AJ45" s="137"/>
    </row>
    <row r="46" spans="1:36" ht="15.75">
      <c r="A46" s="8" t="s">
        <v>53</v>
      </c>
      <c r="B46" s="15"/>
      <c r="C46" s="16"/>
      <c r="D46" s="16"/>
      <c r="E46" s="16"/>
      <c r="F46" s="16"/>
      <c r="G46" s="16"/>
      <c r="H46" s="16"/>
      <c r="I46" s="16"/>
      <c r="J46" s="16">
        <v>1</v>
      </c>
      <c r="K46" s="16"/>
      <c r="L46" s="16"/>
      <c r="M46" s="17">
        <v>1</v>
      </c>
      <c r="AF46" s="138"/>
      <c r="AG46" s="138"/>
      <c r="AH46" s="138"/>
      <c r="AI46" s="138"/>
      <c r="AJ46" s="138"/>
    </row>
    <row r="47" spans="1:36" ht="15.75">
      <c r="A47" s="8" t="s">
        <v>54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>
        <v>1</v>
      </c>
      <c r="M47" s="17">
        <v>1</v>
      </c>
      <c r="AF47" s="138"/>
      <c r="AG47" s="138"/>
      <c r="AH47" s="138"/>
      <c r="AI47" s="138"/>
      <c r="AJ47" s="138"/>
    </row>
    <row r="48" spans="1:13" ht="12.75">
      <c r="A48" s="8" t="s">
        <v>61</v>
      </c>
      <c r="B48" s="15"/>
      <c r="C48" s="16"/>
      <c r="D48" s="16"/>
      <c r="E48" s="16"/>
      <c r="F48" s="16">
        <v>1</v>
      </c>
      <c r="G48" s="16"/>
      <c r="H48" s="16"/>
      <c r="I48" s="16"/>
      <c r="J48" s="16"/>
      <c r="K48" s="16"/>
      <c r="L48" s="16"/>
      <c r="M48" s="17">
        <v>1</v>
      </c>
    </row>
    <row r="49" spans="1:13" ht="12.75">
      <c r="A49" s="8" t="s">
        <v>62</v>
      </c>
      <c r="B49" s="15"/>
      <c r="C49" s="16"/>
      <c r="D49" s="16"/>
      <c r="E49" s="16"/>
      <c r="F49" s="16"/>
      <c r="G49" s="16">
        <v>1</v>
      </c>
      <c r="H49" s="16"/>
      <c r="I49" s="16"/>
      <c r="J49" s="16"/>
      <c r="K49" s="16"/>
      <c r="L49" s="16"/>
      <c r="M49" s="17">
        <v>1</v>
      </c>
    </row>
    <row r="50" spans="1:13" ht="12.75">
      <c r="A50" s="8" t="s">
        <v>63</v>
      </c>
      <c r="B50" s="15"/>
      <c r="C50" s="16"/>
      <c r="D50" s="16"/>
      <c r="E50" s="16">
        <v>1</v>
      </c>
      <c r="F50" s="16"/>
      <c r="G50" s="16"/>
      <c r="H50" s="16"/>
      <c r="I50" s="16"/>
      <c r="J50" s="16"/>
      <c r="K50" s="16"/>
      <c r="L50" s="16"/>
      <c r="M50" s="17">
        <v>1</v>
      </c>
    </row>
    <row r="51" spans="1:13" ht="12.75">
      <c r="A51" s="8" t="s">
        <v>64</v>
      </c>
      <c r="B51" s="15"/>
      <c r="C51" s="16"/>
      <c r="D51" s="16">
        <v>1</v>
      </c>
      <c r="E51" s="16"/>
      <c r="F51" s="16"/>
      <c r="G51" s="16"/>
      <c r="H51" s="16"/>
      <c r="I51" s="16"/>
      <c r="J51" s="16"/>
      <c r="K51" s="16"/>
      <c r="L51" s="16"/>
      <c r="M51" s="17">
        <v>1</v>
      </c>
    </row>
    <row r="52" spans="1:13" ht="12.75">
      <c r="A52" s="8" t="s">
        <v>65</v>
      </c>
      <c r="B52" s="15"/>
      <c r="C52" s="16"/>
      <c r="D52" s="16"/>
      <c r="E52" s="16"/>
      <c r="F52" s="16"/>
      <c r="G52" s="16"/>
      <c r="H52" s="16"/>
      <c r="I52" s="16"/>
      <c r="J52" s="16"/>
      <c r="K52" s="16">
        <v>1</v>
      </c>
      <c r="L52" s="16"/>
      <c r="M52" s="17">
        <v>1</v>
      </c>
    </row>
    <row r="53" spans="1:13" ht="12.75">
      <c r="A53" s="9" t="s">
        <v>40</v>
      </c>
      <c r="B53" s="18">
        <v>1</v>
      </c>
      <c r="C53" s="19">
        <v>1</v>
      </c>
      <c r="D53" s="19">
        <v>1</v>
      </c>
      <c r="E53" s="19">
        <v>1</v>
      </c>
      <c r="F53" s="19">
        <v>1</v>
      </c>
      <c r="G53" s="19">
        <v>1</v>
      </c>
      <c r="H53" s="19">
        <v>1</v>
      </c>
      <c r="I53" s="19">
        <v>1</v>
      </c>
      <c r="J53" s="19">
        <v>1</v>
      </c>
      <c r="K53" s="19">
        <v>1</v>
      </c>
      <c r="L53" s="19">
        <v>1</v>
      </c>
      <c r="M53" s="20">
        <v>11</v>
      </c>
    </row>
    <row r="58" spans="1:35" ht="48">
      <c r="A58" s="118" t="s">
        <v>4</v>
      </c>
      <c r="B58" s="118" t="s">
        <v>93</v>
      </c>
      <c r="C58" s="118" t="s">
        <v>17</v>
      </c>
      <c r="D58" s="118" t="s">
        <v>10</v>
      </c>
      <c r="E58" s="118" t="s">
        <v>82</v>
      </c>
      <c r="F58" s="118" t="s">
        <v>11</v>
      </c>
      <c r="G58" s="118" t="s">
        <v>94</v>
      </c>
      <c r="H58" s="118" t="s">
        <v>95</v>
      </c>
      <c r="I58" s="118" t="s">
        <v>96</v>
      </c>
      <c r="J58" s="118" t="s">
        <v>12</v>
      </c>
      <c r="K58" s="118" t="s">
        <v>83</v>
      </c>
      <c r="L58" s="118" t="s">
        <v>84</v>
      </c>
      <c r="M58" s="118" t="s">
        <v>87</v>
      </c>
      <c r="N58" s="118" t="s">
        <v>97</v>
      </c>
      <c r="O58" s="118" t="s">
        <v>98</v>
      </c>
      <c r="P58" s="118"/>
      <c r="Q58" s="118" t="s">
        <v>99</v>
      </c>
      <c r="R58" s="118"/>
      <c r="S58" s="118"/>
      <c r="T58" s="118"/>
      <c r="U58" s="119" t="s">
        <v>100</v>
      </c>
      <c r="V58" s="119" t="s">
        <v>101</v>
      </c>
      <c r="W58" s="119" t="s">
        <v>102</v>
      </c>
      <c r="X58" s="119" t="s">
        <v>103</v>
      </c>
      <c r="Y58" s="119" t="s">
        <v>104</v>
      </c>
      <c r="Z58" s="119" t="s">
        <v>105</v>
      </c>
      <c r="AA58" s="119" t="s">
        <v>106</v>
      </c>
      <c r="AB58" s="119" t="s">
        <v>107</v>
      </c>
      <c r="AC58" s="119" t="s">
        <v>108</v>
      </c>
      <c r="AD58" s="120" t="s">
        <v>109</v>
      </c>
      <c r="AE58" s="120" t="s">
        <v>110</v>
      </c>
      <c r="AF58" s="120" t="s">
        <v>111</v>
      </c>
      <c r="AG58" s="120" t="s">
        <v>97</v>
      </c>
      <c r="AH58" s="120" t="s">
        <v>98</v>
      </c>
      <c r="AI58" s="118"/>
    </row>
    <row r="59" spans="1:35" ht="12.75">
      <c r="A59" s="140" t="s">
        <v>112</v>
      </c>
      <c r="B59" s="90" t="s">
        <v>113</v>
      </c>
      <c r="C59" s="141">
        <v>0.3</v>
      </c>
      <c r="D59" s="90">
        <v>1</v>
      </c>
      <c r="E59" s="90">
        <v>1</v>
      </c>
      <c r="F59" s="90">
        <v>0.5</v>
      </c>
      <c r="G59" s="90">
        <v>0.5</v>
      </c>
      <c r="H59" s="90">
        <v>0.5</v>
      </c>
      <c r="I59" s="90">
        <v>1</v>
      </c>
      <c r="J59" s="90">
        <v>1</v>
      </c>
      <c r="K59" s="90">
        <v>1</v>
      </c>
      <c r="L59" s="90">
        <v>1</v>
      </c>
      <c r="M59" s="142">
        <f>ROUND(AH68,2)</f>
        <v>0</v>
      </c>
      <c r="N59" s="90"/>
      <c r="O59" s="90"/>
      <c r="P59" s="90">
        <f aca="true" t="shared" si="20" ref="P59:P65">P68</f>
        <v>0</v>
      </c>
      <c r="Q59" s="90"/>
      <c r="R59" s="90"/>
      <c r="S59" s="90"/>
      <c r="T59" s="90"/>
      <c r="U59" s="90">
        <v>1.25</v>
      </c>
      <c r="V59" s="90">
        <v>1</v>
      </c>
      <c r="W59" s="90">
        <v>0</v>
      </c>
      <c r="X59" s="90">
        <v>1.5</v>
      </c>
      <c r="Y59" s="90">
        <v>1</v>
      </c>
      <c r="Z59" s="90">
        <v>1</v>
      </c>
      <c r="AA59" s="90">
        <v>1.15</v>
      </c>
      <c r="AB59" s="90">
        <v>1.7</v>
      </c>
      <c r="AC59" s="90"/>
      <c r="AD59" s="90">
        <v>1</v>
      </c>
      <c r="AE59" s="90">
        <v>1.7</v>
      </c>
      <c r="AF59" s="90">
        <v>1</v>
      </c>
      <c r="AG59" s="90"/>
      <c r="AH59" s="90"/>
      <c r="AI59" s="90"/>
    </row>
    <row r="60" spans="1:35" ht="12.75">
      <c r="A60" s="140" t="s">
        <v>114</v>
      </c>
      <c r="B60" s="90" t="s">
        <v>115</v>
      </c>
      <c r="C60" s="90"/>
      <c r="D60" s="90">
        <v>1</v>
      </c>
      <c r="E60" s="90">
        <v>1</v>
      </c>
      <c r="F60" s="90">
        <v>0.25</v>
      </c>
      <c r="G60" s="90">
        <v>0.5</v>
      </c>
      <c r="H60" s="90">
        <v>0.5</v>
      </c>
      <c r="I60" s="90">
        <v>1</v>
      </c>
      <c r="J60" s="90">
        <v>0.5</v>
      </c>
      <c r="K60" s="90">
        <v>0</v>
      </c>
      <c r="L60" s="90">
        <v>1</v>
      </c>
      <c r="M60" s="142">
        <f aca="true" t="shared" si="21" ref="M60:M65">ROUND(AH69,2)</f>
        <v>0</v>
      </c>
      <c r="N60" s="90"/>
      <c r="O60" s="90"/>
      <c r="P60" s="90">
        <f t="shared" si="20"/>
        <v>0</v>
      </c>
      <c r="Q60" s="90"/>
      <c r="R60" s="90"/>
      <c r="S60" s="90"/>
      <c r="T60" s="90"/>
      <c r="U60" s="90">
        <v>1</v>
      </c>
      <c r="V60" s="90">
        <v>1</v>
      </c>
      <c r="W60" s="90">
        <v>1</v>
      </c>
      <c r="X60" s="90">
        <v>1</v>
      </c>
      <c r="Y60" s="90">
        <v>1</v>
      </c>
      <c r="Z60" s="90">
        <v>1</v>
      </c>
      <c r="AA60" s="90">
        <v>1</v>
      </c>
      <c r="AB60" s="90">
        <v>1</v>
      </c>
      <c r="AC60" s="90"/>
      <c r="AD60" s="90">
        <v>1</v>
      </c>
      <c r="AE60" s="90">
        <v>1.7</v>
      </c>
      <c r="AF60" s="90">
        <v>1</v>
      </c>
      <c r="AG60" s="90"/>
      <c r="AH60" s="90"/>
      <c r="AI60" s="90"/>
    </row>
    <row r="61" spans="1:35" ht="12.75">
      <c r="A61" s="140" t="s">
        <v>116</v>
      </c>
      <c r="B61" s="90" t="s">
        <v>117</v>
      </c>
      <c r="C61" s="141">
        <v>0.3</v>
      </c>
      <c r="D61" s="90">
        <v>1</v>
      </c>
      <c r="E61" s="90">
        <v>0</v>
      </c>
      <c r="F61" s="90">
        <v>0.25</v>
      </c>
      <c r="G61" s="90">
        <v>0</v>
      </c>
      <c r="H61" s="90">
        <v>0</v>
      </c>
      <c r="I61" s="90">
        <v>1</v>
      </c>
      <c r="J61" s="90">
        <v>0.5</v>
      </c>
      <c r="K61" s="90">
        <v>0</v>
      </c>
      <c r="L61" s="90">
        <v>0</v>
      </c>
      <c r="M61" s="142">
        <f t="shared" si="21"/>
        <v>0</v>
      </c>
      <c r="N61" s="90"/>
      <c r="O61" s="90"/>
      <c r="P61" s="90">
        <f t="shared" si="20"/>
        <v>0</v>
      </c>
      <c r="Q61" s="90"/>
      <c r="R61" s="90"/>
      <c r="S61" s="90"/>
      <c r="T61" s="90"/>
      <c r="U61" s="90">
        <v>1</v>
      </c>
      <c r="V61" s="90">
        <v>1</v>
      </c>
      <c r="W61" s="90">
        <v>1</v>
      </c>
      <c r="X61" s="90">
        <v>1</v>
      </c>
      <c r="Y61" s="90">
        <v>1</v>
      </c>
      <c r="Z61" s="90">
        <v>1</v>
      </c>
      <c r="AA61" s="90">
        <v>1</v>
      </c>
      <c r="AB61" s="90">
        <v>1</v>
      </c>
      <c r="AC61" s="90"/>
      <c r="AD61" s="90">
        <v>1</v>
      </c>
      <c r="AE61" s="90">
        <v>1</v>
      </c>
      <c r="AF61" s="90">
        <v>1</v>
      </c>
      <c r="AG61" s="90"/>
      <c r="AH61" s="90"/>
      <c r="AI61" s="90"/>
    </row>
    <row r="62" spans="1:35" ht="12.75">
      <c r="A62" s="140" t="s">
        <v>118</v>
      </c>
      <c r="B62" s="90" t="s">
        <v>117</v>
      </c>
      <c r="C62" s="141">
        <v>0.7</v>
      </c>
      <c r="D62" s="90">
        <v>1</v>
      </c>
      <c r="E62" s="90">
        <v>0</v>
      </c>
      <c r="F62" s="90">
        <v>0.25</v>
      </c>
      <c r="G62" s="90">
        <v>0</v>
      </c>
      <c r="H62" s="90">
        <v>0</v>
      </c>
      <c r="I62" s="90">
        <v>1</v>
      </c>
      <c r="J62" s="90">
        <v>0.5</v>
      </c>
      <c r="K62" s="90">
        <v>0</v>
      </c>
      <c r="L62" s="90">
        <v>0</v>
      </c>
      <c r="M62" s="142">
        <f t="shared" si="21"/>
        <v>0</v>
      </c>
      <c r="N62" s="90"/>
      <c r="O62" s="90"/>
      <c r="P62" s="90">
        <f t="shared" si="20"/>
        <v>0</v>
      </c>
      <c r="Q62" s="90"/>
      <c r="R62" s="90"/>
      <c r="S62" s="90"/>
      <c r="T62" s="90"/>
      <c r="U62" s="90">
        <v>1</v>
      </c>
      <c r="V62" s="90">
        <v>1</v>
      </c>
      <c r="W62" s="90">
        <v>1</v>
      </c>
      <c r="X62" s="90">
        <v>1</v>
      </c>
      <c r="Y62" s="90">
        <v>1</v>
      </c>
      <c r="Z62" s="90">
        <v>1</v>
      </c>
      <c r="AA62" s="90">
        <v>1</v>
      </c>
      <c r="AB62" s="90">
        <v>1</v>
      </c>
      <c r="AC62" s="90"/>
      <c r="AD62" s="90">
        <v>1</v>
      </c>
      <c r="AE62" s="90">
        <v>1</v>
      </c>
      <c r="AF62" s="90">
        <v>1</v>
      </c>
      <c r="AG62" s="90"/>
      <c r="AH62" s="90"/>
      <c r="AI62" s="90"/>
    </row>
    <row r="63" spans="1:35" ht="12.75">
      <c r="A63" s="140" t="s">
        <v>119</v>
      </c>
      <c r="B63" s="90" t="s">
        <v>120</v>
      </c>
      <c r="C63" s="90"/>
      <c r="D63" s="90">
        <v>1</v>
      </c>
      <c r="E63" s="90">
        <v>0</v>
      </c>
      <c r="F63" s="90">
        <v>0.25</v>
      </c>
      <c r="G63" s="90">
        <v>0</v>
      </c>
      <c r="H63" s="90">
        <v>0</v>
      </c>
      <c r="I63" s="90">
        <v>1</v>
      </c>
      <c r="J63" s="90">
        <v>0.5</v>
      </c>
      <c r="K63" s="90">
        <v>0</v>
      </c>
      <c r="L63" s="90">
        <v>0</v>
      </c>
      <c r="M63" s="142">
        <f t="shared" si="21"/>
        <v>0</v>
      </c>
      <c r="N63" s="90"/>
      <c r="O63" s="90"/>
      <c r="P63" s="90">
        <f t="shared" si="20"/>
        <v>0</v>
      </c>
      <c r="Q63" s="90"/>
      <c r="R63" s="90"/>
      <c r="S63" s="90"/>
      <c r="T63" s="90"/>
      <c r="U63" s="90">
        <v>1</v>
      </c>
      <c r="V63" s="90">
        <v>1</v>
      </c>
      <c r="W63" s="90">
        <v>1</v>
      </c>
      <c r="X63" s="90">
        <v>1</v>
      </c>
      <c r="Y63" s="90">
        <v>1</v>
      </c>
      <c r="Z63" s="90">
        <v>1</v>
      </c>
      <c r="AA63" s="90">
        <v>0.9</v>
      </c>
      <c r="AB63" s="90">
        <v>1</v>
      </c>
      <c r="AC63" s="90"/>
      <c r="AD63" s="90">
        <v>0</v>
      </c>
      <c r="AE63" s="90">
        <v>1</v>
      </c>
      <c r="AF63" s="90">
        <v>1</v>
      </c>
      <c r="AG63" s="90"/>
      <c r="AH63" s="90"/>
      <c r="AI63" s="90"/>
    </row>
    <row r="64" spans="1:35" ht="12.75">
      <c r="A64" s="140" t="s">
        <v>121</v>
      </c>
      <c r="B64" s="90" t="s">
        <v>122</v>
      </c>
      <c r="C64" s="90"/>
      <c r="D64" s="90">
        <v>1</v>
      </c>
      <c r="E64" s="90">
        <v>0</v>
      </c>
      <c r="F64" s="90">
        <v>0.25</v>
      </c>
      <c r="G64" s="90">
        <v>0</v>
      </c>
      <c r="H64" s="90">
        <v>0</v>
      </c>
      <c r="I64" s="90">
        <v>1</v>
      </c>
      <c r="J64" s="90">
        <v>0</v>
      </c>
      <c r="K64" s="90">
        <v>0</v>
      </c>
      <c r="L64" s="90">
        <v>0</v>
      </c>
      <c r="M64" s="142">
        <f t="shared" si="21"/>
        <v>0</v>
      </c>
      <c r="N64" s="90"/>
      <c r="O64" s="90"/>
      <c r="P64" s="90">
        <f t="shared" si="20"/>
        <v>0</v>
      </c>
      <c r="Q64" s="90"/>
      <c r="R64" s="90"/>
      <c r="S64" s="90"/>
      <c r="T64" s="90"/>
      <c r="U64" s="90">
        <v>1</v>
      </c>
      <c r="V64" s="90">
        <v>1</v>
      </c>
      <c r="W64" s="90">
        <v>1</v>
      </c>
      <c r="X64" s="90">
        <v>1</v>
      </c>
      <c r="Y64" s="90">
        <v>1</v>
      </c>
      <c r="Z64" s="90">
        <v>1</v>
      </c>
      <c r="AA64" s="90">
        <v>0.9</v>
      </c>
      <c r="AB64" s="90">
        <v>1</v>
      </c>
      <c r="AC64" s="90"/>
      <c r="AD64" s="90">
        <v>0</v>
      </c>
      <c r="AE64" s="90">
        <v>0</v>
      </c>
      <c r="AF64" s="90">
        <v>1</v>
      </c>
      <c r="AG64" s="90"/>
      <c r="AH64" s="90"/>
      <c r="AI64" s="90"/>
    </row>
    <row r="65" spans="1:35" ht="12.75">
      <c r="A65" s="140" t="s">
        <v>123</v>
      </c>
      <c r="B65" s="90" t="s">
        <v>124</v>
      </c>
      <c r="C65" s="141">
        <v>0.7</v>
      </c>
      <c r="D65" s="90">
        <v>1</v>
      </c>
      <c r="E65" s="90">
        <v>0</v>
      </c>
      <c r="F65" s="90">
        <v>0</v>
      </c>
      <c r="G65" s="90">
        <v>0</v>
      </c>
      <c r="H65" s="90">
        <v>0</v>
      </c>
      <c r="I65" s="90">
        <v>1</v>
      </c>
      <c r="J65" s="90">
        <v>0</v>
      </c>
      <c r="K65" s="90">
        <v>0</v>
      </c>
      <c r="L65" s="90">
        <v>0</v>
      </c>
      <c r="M65" s="142">
        <f t="shared" si="21"/>
        <v>0</v>
      </c>
      <c r="N65" s="90"/>
      <c r="O65" s="90"/>
      <c r="P65" s="90">
        <f t="shared" si="20"/>
        <v>0</v>
      </c>
      <c r="Q65" s="90"/>
      <c r="R65" s="90"/>
      <c r="S65" s="90"/>
      <c r="T65" s="90"/>
      <c r="U65" s="90">
        <v>0.5</v>
      </c>
      <c r="V65" s="90">
        <v>0.125</v>
      </c>
      <c r="W65" s="90">
        <v>1</v>
      </c>
      <c r="X65" s="90">
        <v>0.5</v>
      </c>
      <c r="Y65" s="90">
        <v>0.25</v>
      </c>
      <c r="Z65" s="90">
        <v>0</v>
      </c>
      <c r="AA65" s="90">
        <v>0.25</v>
      </c>
      <c r="AB65" s="90">
        <v>0.3</v>
      </c>
      <c r="AC65" s="90"/>
      <c r="AD65" s="90">
        <v>0</v>
      </c>
      <c r="AE65" s="90">
        <v>0</v>
      </c>
      <c r="AF65" s="90">
        <v>1</v>
      </c>
      <c r="AG65" s="90"/>
      <c r="AH65" s="90"/>
      <c r="AI65" s="90"/>
    </row>
    <row r="66" spans="1:35" ht="15.75">
      <c r="A66" s="90">
        <v>0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89">
        <v>4000</v>
      </c>
      <c r="V66" s="89">
        <v>800</v>
      </c>
      <c r="W66" s="89">
        <v>5000</v>
      </c>
      <c r="X66" s="89">
        <v>2000</v>
      </c>
      <c r="Y66" s="89">
        <v>2000</v>
      </c>
      <c r="Z66" s="89">
        <v>2000</v>
      </c>
      <c r="AA66" s="89">
        <v>23000</v>
      </c>
      <c r="AB66" s="89">
        <v>3000</v>
      </c>
      <c r="AC66" s="89"/>
      <c r="AD66" s="89">
        <v>1225</v>
      </c>
      <c r="AE66" s="89">
        <v>810</v>
      </c>
      <c r="AF66" s="89">
        <v>2000</v>
      </c>
      <c r="AG66" s="89"/>
      <c r="AH66" s="89"/>
      <c r="AI66" s="90"/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Barnet</dc:creator>
  <cp:keywords/>
  <dc:description/>
  <cp:lastModifiedBy>Barnet</cp:lastModifiedBy>
  <cp:lastPrinted>2010-06-02T10:03:22Z</cp:lastPrinted>
  <dcterms:created xsi:type="dcterms:W3CDTF">2010-03-15T16:17:19Z</dcterms:created>
  <dcterms:modified xsi:type="dcterms:W3CDTF">2010-06-02T10:07:55Z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