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70" yWindow="65491" windowWidth="7620" windowHeight="8520" tabRatio="906" activeTab="0"/>
  </bookViews>
  <sheets>
    <sheet name="C B Rec 2010-11" sheetId="1" r:id="rId1"/>
    <sheet name="VAT+ PS" sheetId="2" state="hidden" r:id="rId2"/>
    <sheet name="YE 10-11 VAT REC" sheetId="3" state="hidden" r:id="rId3"/>
    <sheet name="Mar11" sheetId="4" state="hidden" r:id="rId4"/>
    <sheet name="Feb11" sheetId="5" state="hidden" r:id="rId5"/>
    <sheet name="Jan11" sheetId="6" state="hidden" r:id="rId6"/>
    <sheet name="Dec10" sheetId="7" state="hidden" r:id="rId7"/>
    <sheet name="Nov10" sheetId="8" state="hidden" r:id="rId8"/>
    <sheet name="Oct10" sheetId="9" state="hidden" r:id="rId9"/>
    <sheet name="Sept10" sheetId="10" state="hidden" r:id="rId10"/>
    <sheet name="Aug10" sheetId="11" state="hidden" r:id="rId11"/>
    <sheet name="July10" sheetId="12" state="hidden" r:id="rId12"/>
    <sheet name="June10" sheetId="13" state="hidden" r:id="rId13"/>
    <sheet name="May10" sheetId="14" state="hidden" r:id="rId14"/>
    <sheet name="April10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4" hidden="1">'April10'!$A$2:$M$118</definedName>
    <definedName name="_xlnm._FilterDatabase" localSheetId="10" hidden="1">'Aug10'!$A$2:$S$118</definedName>
    <definedName name="_xlnm._FilterDatabase" localSheetId="6" hidden="1">'Dec10'!$A$2:$U$118</definedName>
    <definedName name="_xlnm._FilterDatabase" localSheetId="4" hidden="1">'Feb11'!$A$2:$U$118</definedName>
    <definedName name="_xlnm._FilterDatabase" localSheetId="5" hidden="1">'Jan11'!$A$2:$U$118</definedName>
    <definedName name="_xlnm._FilterDatabase" localSheetId="11" hidden="1">'July10'!$A$2:$M$118</definedName>
    <definedName name="_xlnm._FilterDatabase" localSheetId="12" hidden="1">'June10'!$A$2:$R$118</definedName>
    <definedName name="_xlnm._FilterDatabase" localSheetId="3" hidden="1">'Mar11'!$A$2:$L$118</definedName>
    <definedName name="_xlnm._FilterDatabase" localSheetId="13" hidden="1">'May10'!$A$2:$V$118</definedName>
    <definedName name="_xlnm._FilterDatabase" localSheetId="7" hidden="1">'Nov10'!$A$2:$M$118</definedName>
    <definedName name="_xlnm._FilterDatabase" localSheetId="8" hidden="1">'Oct10'!$A$2:$S$118</definedName>
    <definedName name="_xlnm._FilterDatabase" localSheetId="9" hidden="1">'Sept10'!$A$2:$IV$118</definedName>
    <definedName name="_xlnm._FilterDatabase" localSheetId="1" hidden="1">'VAT+ PS'!$A$2:$M$119</definedName>
    <definedName name="DAT9">'YE 10-11 VAT REC'!$I$2:$I$137</definedName>
    <definedName name="DATARANGE" localSheetId="0">'C B Rec 2010-11'!$A$1:$M$28</definedName>
    <definedName name="DATARANGE">#REF!</definedName>
    <definedName name="_xlnm.Print_Area" localSheetId="10">'Aug10'!$A$1:$M$121</definedName>
    <definedName name="_xlnm.Print_Area" localSheetId="0">'C B Rec 2010-11'!$A$1:$M$28</definedName>
    <definedName name="_xlnm.Print_Area" localSheetId="6">'Dec10'!$A$3:$L$124</definedName>
    <definedName name="_xlnm.Print_Area" localSheetId="4">'Feb11'!$A$3:$M$120</definedName>
    <definedName name="_xlnm.Print_Area" localSheetId="5">'Jan11'!$A$1:$L$120</definedName>
    <definedName name="_xlnm.Print_Area" localSheetId="11">'July10'!$A$1:$M$123</definedName>
    <definedName name="_xlnm.Print_Area" localSheetId="12">'June10'!$A$3:$D$115</definedName>
    <definedName name="_xlnm.Print_Area" localSheetId="3">'Mar11'!$A$7:$L$121</definedName>
    <definedName name="_xlnm.Print_Area" localSheetId="13">'May10'!$A$1:$I$121</definedName>
    <definedName name="_xlnm.Print_Area" localSheetId="7">'Nov10'!$A$1:$H$119</definedName>
    <definedName name="_xlnm.Print_Area" localSheetId="8">'Oct10'!$A$3:$I$122</definedName>
    <definedName name="_xlnm.Print_Area" localSheetId="9">'Sept10'!$A$3:$H$129</definedName>
    <definedName name="_xlnm.Print_Area" localSheetId="2">'YE 10-11 VAT REC'!$A$1:$G$19</definedName>
    <definedName name="_xlnm.Print_Titles" localSheetId="14">'April10'!$1:$2</definedName>
    <definedName name="_xlnm.Print_Titles" localSheetId="6">'Dec10'!$1:$2</definedName>
    <definedName name="_xlnm.Print_Titles" localSheetId="4">'Feb11'!$1:$2</definedName>
    <definedName name="_xlnm.Print_Titles" localSheetId="11">'July10'!$1:$2</definedName>
    <definedName name="_xlnm.Print_Titles" localSheetId="12">'June10'!$1:$2</definedName>
    <definedName name="_xlnm.Print_Titles" localSheetId="3">'Mar11'!$1:$2</definedName>
    <definedName name="_xlnm.Print_Titles" localSheetId="1">'VAT+ PS'!$1:$2</definedName>
  </definedNames>
  <calcPr fullCalcOnLoad="1"/>
</workbook>
</file>

<file path=xl/comments10.xml><?xml version="1.0" encoding="utf-8"?>
<comments xmlns="http://schemas.openxmlformats.org/spreadsheetml/2006/main">
  <authors>
    <author>Barnet</author>
  </authors>
  <commentList>
    <comment ref="H15" authorId="0">
      <text>
        <r>
          <rPr>
            <b/>
            <sz val="8"/>
            <rFont val="Tahoma"/>
            <family val="0"/>
          </rPr>
          <t xml:space="preserve">30.09.10. DIFF 84.00. GRAHAM on FRI 08.10.10
</t>
        </r>
      </text>
    </comment>
    <comment ref="H67" authorId="0">
      <text>
        <r>
          <rPr>
            <b/>
            <sz val="8"/>
            <rFont val="Tahoma"/>
            <family val="0"/>
          </rPr>
          <t xml:space="preserve">HOLD DIFF £ 4689.89. SENT TO SUE / DENISE.BANK REC 49857.79.AWAITING COPY. PROCESSED
</t>
        </r>
      </text>
    </comment>
    <comment ref="H90" authorId="0">
      <text>
        <r>
          <rPr>
            <b/>
            <sz val="8"/>
            <rFont val="Tahoma"/>
            <family val="0"/>
          </rPr>
          <t>recvd 22.11.10 entered period 8</t>
        </r>
      </text>
    </comment>
  </commentList>
</comments>
</file>

<file path=xl/comments11.xml><?xml version="1.0" encoding="utf-8"?>
<comments xmlns="http://schemas.openxmlformats.org/spreadsheetml/2006/main">
  <authors>
    <author>Barnet</author>
  </authors>
  <commentList>
    <comment ref="H60" authorId="0">
      <text>
        <r>
          <rPr>
            <sz val="8"/>
            <rFont val="Tahoma"/>
            <family val="0"/>
          </rPr>
          <t xml:space="preserve">31.08.10. Graham aware of 80p difference. Adj in p 6
</t>
        </r>
      </text>
    </comment>
    <comment ref="H101" authorId="0">
      <text>
        <r>
          <rPr>
            <b/>
            <sz val="8"/>
            <rFont val="Tahoma"/>
            <family val="0"/>
          </rPr>
          <t>school closed to 13.09.</t>
        </r>
      </text>
    </comment>
  </commentList>
</comments>
</file>

<file path=xl/comments12.xml><?xml version="1.0" encoding="utf-8"?>
<comments xmlns="http://schemas.openxmlformats.org/spreadsheetml/2006/main">
  <authors>
    <author>Barnet</author>
  </authors>
  <commentList>
    <comment ref="H12" authorId="0">
      <text>
        <r>
          <rPr>
            <b/>
            <sz val="8"/>
            <rFont val="Tahoma"/>
            <family val="0"/>
          </rPr>
          <t>26.07.10. AWAITING BANK REC. DENISE ADVISED</t>
        </r>
      </text>
    </comment>
    <comment ref="H45" authorId="0">
      <text>
        <r>
          <rPr>
            <sz val="8"/>
            <rFont val="Tahoma"/>
            <family val="0"/>
          </rPr>
          <t xml:space="preserve">28.07.10. email to marion re diff £ 6 . 
</t>
        </r>
      </text>
    </comment>
    <comment ref="H98" authorId="0">
      <text>
        <r>
          <rPr>
            <b/>
            <sz val="8"/>
            <rFont val="Tahoma"/>
            <family val="0"/>
          </rPr>
          <t>12.08.10. processed in august.  Period 5</t>
        </r>
      </text>
    </comment>
    <comment ref="H95" authorId="0">
      <text>
        <r>
          <rPr>
            <b/>
            <sz val="8"/>
            <rFont val="Tahoma"/>
            <family val="2"/>
          </rPr>
          <t>31.08.10. Processed IN Aug PERIOD 5</t>
        </r>
        <r>
          <rPr>
            <sz val="8"/>
            <rFont val="Tahoma"/>
            <family val="0"/>
          </rPr>
          <t xml:space="preserve">
</t>
        </r>
      </text>
    </comment>
    <comment ref="H108" authorId="0">
      <text>
        <r>
          <rPr>
            <b/>
            <sz val="8"/>
            <rFont val="Tahoma"/>
            <family val="0"/>
          </rPr>
          <t>07.09.10. processed in aug p5</t>
        </r>
      </text>
    </comment>
  </commentList>
</comments>
</file>

<file path=xl/comments13.xml><?xml version="1.0" encoding="utf-8"?>
<comments xmlns="http://schemas.openxmlformats.org/spreadsheetml/2006/main">
  <authors>
    <author>Barnet</author>
  </authors>
  <commentList>
    <comment ref="H94" authorId="0">
      <text>
        <r>
          <rPr>
            <sz val="8"/>
            <rFont val="Tahoma"/>
            <family val="0"/>
          </rPr>
          <t xml:space="preserve">01.07.10 RAMILA TO SEND IN CORRECTED BANK REC 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01.07.10 EMAIL TO ANN DUIGNAN RE DIFF 544.34
WEDNESDAY 7TH JUL
</t>
        </r>
      </text>
    </comment>
    <comment ref="H30" authorId="0">
      <text>
        <r>
          <rPr>
            <b/>
            <sz val="8"/>
            <rFont val="Tahoma"/>
            <family val="2"/>
          </rPr>
          <t>EMAIL TO ANN DOGGETT DIFF 297.00</t>
        </r>
        <r>
          <rPr>
            <sz val="8"/>
            <rFont val="Tahoma"/>
            <family val="0"/>
          </rPr>
          <t xml:space="preserve">
</t>
        </r>
      </text>
    </comment>
    <comment ref="H68" authorId="0">
      <text>
        <r>
          <rPr>
            <sz val="8"/>
            <rFont val="Tahoma"/>
            <family val="0"/>
          </rPr>
          <t xml:space="preserve">05.07.10 EMAIL TO CAROL FARLEY RE DIFF OF 55.09.
</t>
        </r>
      </text>
    </comment>
    <comment ref="H93" authorId="0">
      <text>
        <r>
          <rPr>
            <b/>
            <sz val="8"/>
            <rFont val="Tahoma"/>
            <family val="0"/>
          </rPr>
          <t>SOULLA  57P DIFF EMAIL 08.07.10</t>
        </r>
      </text>
    </comment>
    <comment ref="H77" authorId="0">
      <text>
        <r>
          <rPr>
            <sz val="8"/>
            <rFont val="Tahoma"/>
            <family val="0"/>
          </rPr>
          <t xml:space="preserve">08.07.10 RAMILA AWATING R M FINANCE. PROB  JUN &amp; JUL RTNS TOGETHER.
</t>
        </r>
      </text>
    </comment>
  </commentList>
</comments>
</file>

<file path=xl/comments14.xml><?xml version="1.0" encoding="utf-8"?>
<comments xmlns="http://schemas.openxmlformats.org/spreadsheetml/2006/main">
  <authors>
    <author>Barnet</author>
  </authors>
  <commentList>
    <comment ref="H40" authorId="0">
      <text>
        <r>
          <rPr>
            <b/>
            <sz val="8"/>
            <rFont val="Tahoma"/>
            <family val="0"/>
          </rPr>
          <t xml:space="preserve">27.05.10. diff 2352.24. allison to amend 2 EMAIL 07.06.10
</t>
        </r>
      </text>
    </comment>
    <comment ref="H48" authorId="0">
      <text>
        <r>
          <rPr>
            <sz val="8"/>
            <rFont val="Tahoma"/>
            <family val="0"/>
          </rPr>
          <t xml:space="preserve">09.06.10 CHRID TO ADJ NEXT MONTH V A T . 8236.09
</t>
        </r>
      </text>
    </comment>
    <comment ref="H38" authorId="0">
      <text>
        <r>
          <rPr>
            <b/>
            <sz val="8"/>
            <rFont val="Tahoma"/>
            <family val="0"/>
          </rPr>
          <t>v a t  to be adjusted next month</t>
        </r>
      </text>
    </comment>
    <comment ref="H99" authorId="0">
      <text>
        <r>
          <rPr>
            <b/>
            <sz val="8"/>
            <rFont val="Tahoma"/>
            <family val="0"/>
          </rPr>
          <t>15.06.10. ann jeff process. Diff 5137.77 to be corr next month</t>
        </r>
      </text>
    </comment>
  </commentList>
</comments>
</file>

<file path=xl/comments15.xml><?xml version="1.0" encoding="utf-8"?>
<comments xmlns="http://schemas.openxmlformats.org/spreadsheetml/2006/main">
  <authors>
    <author>Barnet</author>
  </authors>
  <commentList>
    <comment ref="H30" authorId="0">
      <text>
        <r>
          <rPr>
            <sz val="8"/>
            <rFont val="Tahoma"/>
            <family val="0"/>
          </rPr>
          <t xml:space="preserve">DIFF 297.00 ANN TO CHECK 10.05.2010. ANN DOGGETT TO ADJ IN MAY
</t>
        </r>
      </text>
    </comment>
    <comment ref="H29" authorId="0">
      <text>
        <r>
          <rPr>
            <b/>
            <sz val="8"/>
            <rFont val="Tahoma"/>
            <family val="0"/>
          </rPr>
          <t xml:space="preserve">NO BANK REC RECEIVED.  EMAIL TO KATHRYN/GINA 10.05.10
</t>
        </r>
      </text>
    </comment>
    <comment ref="L101" authorId="0">
      <text>
        <r>
          <rPr>
            <sz val="8"/>
            <rFont val="Tahoma"/>
            <family val="0"/>
          </rPr>
          <t xml:space="preserve">07.06.2010 APRIL POSTED IN MAY.
</t>
        </r>
      </text>
    </comment>
    <comment ref="L30" authorId="0">
      <text>
        <r>
          <rPr>
            <b/>
            <sz val="8"/>
            <rFont val="Tahoma"/>
            <family val="0"/>
          </rPr>
          <t>dikk 297.00 to be adj in june.</t>
        </r>
      </text>
    </comment>
    <comment ref="L49" authorId="0">
      <text>
        <r>
          <rPr>
            <b/>
            <sz val="8"/>
            <rFont val="Tahoma"/>
            <family val="0"/>
          </rPr>
          <t>posted in june.</t>
        </r>
      </text>
    </comment>
  </commentList>
</comments>
</file>

<file path=xl/comments3.xml><?xml version="1.0" encoding="utf-8"?>
<comments xmlns="http://schemas.openxmlformats.org/spreadsheetml/2006/main">
  <authors>
    <author>Barnet</author>
  </authors>
  <commentList>
    <comment ref="C10" authorId="0">
      <text>
        <r>
          <rPr>
            <b/>
            <sz val="8"/>
            <rFont val="Tahoma"/>
            <family val="0"/>
          </rPr>
          <t xml:space="preserve">24.11.2010. PAID DEBIT NOTE .258585  16.49. Q E BOYS
</t>
        </r>
      </text>
    </comment>
  </commentList>
</comments>
</file>

<file path=xl/comments6.xml><?xml version="1.0" encoding="utf-8"?>
<comments xmlns="http://schemas.openxmlformats.org/spreadsheetml/2006/main">
  <authors>
    <author>Barnet</author>
  </authors>
  <commentList>
    <comment ref="H20" authorId="0">
      <text>
        <r>
          <rPr>
            <b/>
            <sz val="8"/>
            <rFont val="Tahoma"/>
            <family val="0"/>
          </rPr>
          <t xml:space="preserve">25.1.2011. EMAIL TO CAROLINE RE  DIFF.134k.corr P11
</t>
        </r>
      </text>
    </comment>
    <comment ref="H31" authorId="0">
      <text>
        <r>
          <rPr>
            <b/>
            <sz val="8"/>
            <rFont val="Tahoma"/>
            <family val="0"/>
          </rPr>
          <t>diff 35.01. email to sue/ann d.  02.02.11</t>
        </r>
      </text>
    </comment>
  </commentList>
</comments>
</file>

<file path=xl/comments7.xml><?xml version="1.0" encoding="utf-8"?>
<comments xmlns="http://schemas.openxmlformats.org/spreadsheetml/2006/main">
  <authors>
    <author>Barnet</author>
  </authors>
  <commentList>
    <comment ref="H7" authorId="0">
      <text>
        <r>
          <rPr>
            <b/>
            <sz val="8"/>
            <rFont val="Tahoma"/>
            <family val="0"/>
          </rPr>
          <t>05.01.11. KIRAN. RETURN  LATE.</t>
        </r>
      </text>
    </comment>
    <comment ref="H98" authorId="0">
      <text>
        <r>
          <rPr>
            <b/>
            <sz val="8"/>
            <rFont val="Tahoma"/>
            <family val="0"/>
          </rPr>
          <t xml:space="preserve">07.01.11. REPORT WILL BE LATE.25/1
</t>
        </r>
      </text>
    </comment>
  </commentList>
</comments>
</file>

<file path=xl/comments8.xml><?xml version="1.0" encoding="utf-8"?>
<comments xmlns="http://schemas.openxmlformats.org/spreadsheetml/2006/main">
  <authors>
    <author>Barnet</author>
  </authors>
  <commentList>
    <comment ref="H31" authorId="0">
      <text>
        <r>
          <rPr>
            <sz val="8"/>
            <rFont val="Tahoma"/>
            <family val="0"/>
          </rPr>
          <t xml:space="preserve">30.11.10. EMAIL TO KAY/ ANN DUIGNAN.  RE DIFF  1.58
</t>
        </r>
      </text>
    </comment>
    <comment ref="F24" authorId="0">
      <text>
        <r>
          <rPr>
            <sz val="8"/>
            <rFont val="Tahoma"/>
            <family val="0"/>
          </rPr>
          <t xml:space="preserve">REFUND CHQ  4122.28.
01.12.10. catherine
</t>
        </r>
      </text>
    </comment>
  </commentList>
</comments>
</file>

<file path=xl/comments9.xml><?xml version="1.0" encoding="utf-8"?>
<comments xmlns="http://schemas.openxmlformats.org/spreadsheetml/2006/main">
  <authors>
    <author>Barnet</author>
  </authors>
  <commentList>
    <comment ref="H113" authorId="0">
      <text>
        <r>
          <rPr>
            <b/>
            <sz val="8"/>
            <rFont val="Tahoma"/>
            <family val="0"/>
          </rPr>
          <t xml:space="preserve">E MAIL TO LYNN. 25.10.10. DIFF £ 728.75.EM RAMILA
HOLD 04.11.10
</t>
        </r>
      </text>
    </comment>
    <comment ref="F124" authorId="0">
      <text>
        <r>
          <rPr>
            <b/>
            <sz val="8"/>
            <rFont val="Tahoma"/>
            <family val="0"/>
          </rPr>
          <t>NORTHSIDE input VAT 608.25.  HEN BARNETT. 7111.43  Period 8.</t>
        </r>
      </text>
    </comment>
    <comment ref="H100" authorId="0">
      <text>
        <r>
          <rPr>
            <b/>
            <sz val="8"/>
            <rFont val="Tahoma"/>
            <family val="0"/>
          </rPr>
          <t>sent 11.11.10. period 8.</t>
        </r>
      </text>
    </comment>
    <comment ref="F104" authorId="0">
      <text>
        <r>
          <rPr>
            <sz val="8"/>
            <rFont val="Tahoma"/>
            <family val="0"/>
          </rPr>
          <t xml:space="preserve">paid by D/N 258585. 24.11.2010.
</t>
        </r>
      </text>
    </comment>
  </commentList>
</comments>
</file>

<file path=xl/sharedStrings.xml><?xml version="1.0" encoding="utf-8"?>
<sst xmlns="http://schemas.openxmlformats.org/spreadsheetml/2006/main" count="3175" uniqueCount="424">
  <si>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</si>
  <si>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</si>
  <si>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</si>
  <si>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</si>
  <si>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</si>
  <si>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</si>
  <si>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</si>
  <si>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</si>
  <si>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</si>
  <si>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</si>
  <si>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</si>
  <si>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</si>
  <si>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VAT Claim balance B/Fwd</t>
  </si>
  <si>
    <t>Monthly VAT Claim</t>
  </si>
  <si>
    <t>Posting Summary Totals B/Fwd</t>
  </si>
  <si>
    <t>Monthly Posting Summary</t>
  </si>
  <si>
    <t>Variance / Discrepancy</t>
  </si>
  <si>
    <t>All Saints' CE School (NW2)</t>
  </si>
  <si>
    <t>All Saints' CE School (N20)</t>
  </si>
  <si>
    <t>Annunciation RC Junior School</t>
  </si>
  <si>
    <t>Annunciation RC Infant School</t>
  </si>
  <si>
    <t>Barnet Hill School</t>
  </si>
  <si>
    <t>Barnfield School</t>
  </si>
  <si>
    <t>Bell Lane School</t>
  </si>
  <si>
    <t>Blessed Dominic RC School</t>
  </si>
  <si>
    <t>Brookland Junior School</t>
  </si>
  <si>
    <t>Brookland Infant School</t>
  </si>
  <si>
    <t>Brunswick Park School</t>
  </si>
  <si>
    <t>Chalgrove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</si>
  <si>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</si>
  <si>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</si>
  <si>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</si>
  <si>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</si>
  <si>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</si>
  <si>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</si>
  <si>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</si>
  <si>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Danegrove School</t>
  </si>
  <si>
    <t>Deansbrook Junior School</t>
  </si>
  <si>
    <t>Deansbrook Infant School</t>
  </si>
  <si>
    <t>Dollis Junior School</t>
  </si>
  <si>
    <t>Dollis Infant School</t>
  </si>
  <si>
    <t>Edgware Junior School</t>
  </si>
  <si>
    <t>Edgware Infant School</t>
  </si>
  <si>
    <t>The Fairway School</t>
  </si>
  <si>
    <t>Foulds School</t>
  </si>
  <si>
    <t>Frith Manor School</t>
  </si>
  <si>
    <t>Garden Suburb Junior School</t>
  </si>
  <si>
    <t>Garden Suburb Infant School</t>
  </si>
  <si>
    <t>Goldbeaters School</t>
  </si>
  <si>
    <t>The Orion School</t>
  </si>
  <si>
    <t>Grasvenor Avenue Infant School</t>
  </si>
  <si>
    <t>Hasmonean Primary School</t>
  </si>
  <si>
    <t>Hollickwood School</t>
  </si>
  <si>
    <t>Holly Park School</t>
  </si>
  <si>
    <t>Holy Trinity CE School</t>
  </si>
  <si>
    <t>The Hyde School</t>
  </si>
  <si>
    <t>Independent Jewish Day School</t>
  </si>
  <si>
    <t>Livingstone School</t>
  </si>
  <si>
    <t xml:space="preserve">Manorside School </t>
  </si>
  <si>
    <t>Mathilda Marks Kennedy School</t>
  </si>
  <si>
    <t>Menorah Primary School</t>
  </si>
  <si>
    <t>Menorah Foundation School</t>
  </si>
  <si>
    <t>Monken Hadley CE School</t>
  </si>
  <si>
    <t>Monkfrith School</t>
  </si>
  <si>
    <t>Moss Hall Junior School</t>
  </si>
  <si>
    <t>Moss Hall Infant School</t>
  </si>
  <si>
    <t>Northside School</t>
  </si>
  <si>
    <t>Our Lady of Lourdes RC School</t>
  </si>
  <si>
    <t>Osidge School</t>
  </si>
  <si>
    <t>Parkfield School</t>
  </si>
  <si>
    <t>Queenswell Junior School</t>
  </si>
  <si>
    <t>Queenswell Infant School</t>
  </si>
  <si>
    <t>Rosh Pinah School</t>
  </si>
  <si>
    <t>Sacred Heart RC School</t>
  </si>
  <si>
    <t>St. Agnes' RC School</t>
  </si>
  <si>
    <t>St. Andrew's CE School</t>
  </si>
  <si>
    <t>St. Catherine's RC School</t>
  </si>
  <si>
    <t>St. John's CE School (N11)</t>
  </si>
  <si>
    <t>St. John's CE School (N20)</t>
  </si>
  <si>
    <t>St. Joseph's RC Junior School</t>
  </si>
  <si>
    <t>St. Joseph's RC Infant School</t>
  </si>
  <si>
    <t>St. Mary's CE School (N3)</t>
  </si>
  <si>
    <t>St. Mary's CE School (EN4)</t>
  </si>
  <si>
    <t>St Paul's CE School (N11)</t>
  </si>
  <si>
    <t>St Paul's CE School (NW7)</t>
  </si>
  <si>
    <t>St. Theresa's RC School</t>
  </si>
  <si>
    <t>St. Vincent's RC School</t>
  </si>
  <si>
    <t xml:space="preserve">Summerside School </t>
  </si>
  <si>
    <t>Sunnyfields School</t>
  </si>
  <si>
    <t>Trent CE School</t>
  </si>
  <si>
    <t>Tudor School</t>
  </si>
  <si>
    <t>Underhill Junior School</t>
  </si>
  <si>
    <t>Underhill Infant School</t>
  </si>
  <si>
    <t>Wessex Gardens School</t>
  </si>
  <si>
    <t>Whitings Hill School</t>
  </si>
  <si>
    <t>Woodridge School</t>
  </si>
  <si>
    <t>Ashmole School</t>
  </si>
  <si>
    <t>Bishop Douglass RC High</t>
  </si>
  <si>
    <t xml:space="preserve">Christ's College </t>
  </si>
  <si>
    <t>The Compton School</t>
  </si>
  <si>
    <t>Copthall School</t>
  </si>
  <si>
    <t>East Barnet School</t>
  </si>
  <si>
    <t>Finchley Catholic High School</t>
  </si>
  <si>
    <t>Friern Barnet School</t>
  </si>
  <si>
    <t>Hasmonean High School</t>
  </si>
  <si>
    <t>Hendon School</t>
  </si>
  <si>
    <t xml:space="preserve">Henrietta Barnett School </t>
  </si>
  <si>
    <t>Mill Hill High School</t>
  </si>
  <si>
    <t>Queen Elizabeth's School, Barnet</t>
  </si>
  <si>
    <t>Queen Elizabeth's Girls' School</t>
  </si>
  <si>
    <t>Ravenscroft School</t>
  </si>
  <si>
    <t>St James' Catholic High School</t>
  </si>
  <si>
    <t>St Mary's CE High School</t>
  </si>
  <si>
    <t>Whitefield School</t>
  </si>
  <si>
    <t>Mapledown School</t>
  </si>
  <si>
    <t>Northway School</t>
  </si>
  <si>
    <t>Oakleigh School</t>
  </si>
  <si>
    <t>Oak Lodge School</t>
  </si>
  <si>
    <t xml:space="preserve">Index </t>
  </si>
  <si>
    <t>No.</t>
  </si>
  <si>
    <t>Cost</t>
  </si>
  <si>
    <t>School</t>
  </si>
  <si>
    <t>VAT Claim</t>
  </si>
  <si>
    <t xml:space="preserve">Pardes House </t>
  </si>
  <si>
    <t>Beis Yaakov</t>
  </si>
  <si>
    <t>Adjusted Bank Balance</t>
  </si>
  <si>
    <t>St. Michael's Catholic Grammar School</t>
  </si>
  <si>
    <t xml:space="preserve">Total B/fwd Balances </t>
  </si>
  <si>
    <t>A+B+C-D</t>
  </si>
  <si>
    <t xml:space="preserve"> </t>
  </si>
  <si>
    <t>Broadfields Primary School</t>
  </si>
  <si>
    <t>Woodcroft Primary School</t>
  </si>
  <si>
    <t>Brookhill Nursery School</t>
  </si>
  <si>
    <t>Hampden Way Nursery School</t>
  </si>
  <si>
    <t>Moss Hall Nursery School</t>
  </si>
  <si>
    <t>St Margaret's Nursery School</t>
  </si>
  <si>
    <t>St Marys &amp; St Johns Primary (NW4)</t>
  </si>
  <si>
    <t>Centre</t>
  </si>
  <si>
    <t>Cash at Bank GL</t>
  </si>
  <si>
    <t>TOTAL</t>
  </si>
  <si>
    <t>Claremont Primary</t>
  </si>
  <si>
    <t>V A T ANALYSIS.</t>
  </si>
  <si>
    <t>MAY</t>
  </si>
  <si>
    <t>CASH BOOK</t>
  </si>
  <si>
    <t>V A T PAYMENTS</t>
  </si>
  <si>
    <t>S A P TOTALS</t>
  </si>
  <si>
    <t>DIFFERENCE</t>
  </si>
  <si>
    <t>REPAYMENTS</t>
  </si>
  <si>
    <t>Outturn Payment (Repayment)  (B)</t>
  </si>
  <si>
    <t>Cumulative VAT Claims (C)</t>
  </si>
  <si>
    <t>Cumulative Posting Summaries (D)</t>
  </si>
  <si>
    <t>PERIOD 1.</t>
  </si>
  <si>
    <t>PERIOD 2.</t>
  </si>
  <si>
    <t>PERIOD 3.</t>
  </si>
  <si>
    <t>PERIOD 4.</t>
  </si>
  <si>
    <t>PERIOD 5.</t>
  </si>
  <si>
    <t>PERIOD 6.</t>
  </si>
  <si>
    <t>PERIOD 7.</t>
  </si>
  <si>
    <t>PERIOD 8.</t>
  </si>
  <si>
    <t>PERIOD 9.</t>
  </si>
  <si>
    <t>PERIOD 10.</t>
  </si>
  <si>
    <t>PERIOD 11.</t>
  </si>
  <si>
    <t>PERIOD 12.</t>
  </si>
  <si>
    <t>G/L</t>
  </si>
  <si>
    <t>Cash at Bank b/fwd</t>
  </si>
  <si>
    <t>Posting Summary</t>
  </si>
  <si>
    <t>Adjusting VAT Claim</t>
  </si>
  <si>
    <t>Adjusting P. Summary</t>
  </si>
  <si>
    <t>Received by Email</t>
  </si>
  <si>
    <t>Document No</t>
  </si>
  <si>
    <t>Adjusting Posting Summary</t>
  </si>
  <si>
    <t xml:space="preserve">G/L </t>
  </si>
  <si>
    <t>Code</t>
  </si>
  <si>
    <t>Cash at Bank b/fwd.Payment/Repayment</t>
  </si>
  <si>
    <t>posted</t>
  </si>
  <si>
    <t>outstanding</t>
  </si>
  <si>
    <t>Akiva</t>
  </si>
  <si>
    <t>Martin Primary</t>
  </si>
  <si>
    <t>Brookhill Nursery</t>
  </si>
  <si>
    <t>Hampden Way Nursery</t>
  </si>
  <si>
    <t>Moss Hall Nursery</t>
  </si>
  <si>
    <t>St Margaret's Nursery</t>
  </si>
  <si>
    <t>Broadfields Primary</t>
  </si>
  <si>
    <t>Fairway School</t>
  </si>
  <si>
    <t>Hyde School</t>
  </si>
  <si>
    <t>Martin Primary School</t>
  </si>
  <si>
    <t>Orion School</t>
  </si>
  <si>
    <t>Pardes House School</t>
  </si>
  <si>
    <t>St. Mary's &amp; St. Johns Primary</t>
  </si>
  <si>
    <t>St. Paul's CE School (N11)</t>
  </si>
  <si>
    <t>St. Paul's CE School (NW7)</t>
  </si>
  <si>
    <t>Woodcroft Primary</t>
  </si>
  <si>
    <t>Compton School</t>
  </si>
  <si>
    <t>JCoSS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</si>
  <si>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</si>
  <si>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</si>
  <si>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</si>
  <si>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</si>
  <si>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</si>
  <si>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</si>
  <si>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</si>
  <si>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</si>
  <si>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</si>
  <si>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</si>
  <si>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</si>
  <si>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Adj VAT Claim</t>
  </si>
  <si>
    <t>DCSF No.</t>
  </si>
  <si>
    <t>CASH BOOK RECONCILIATION 2010-11</t>
  </si>
  <si>
    <t>Cash at Bank B/fwd 01.04.10 (A)</t>
  </si>
  <si>
    <t>PERIOD 1  - 2010/11</t>
  </si>
  <si>
    <t>PERIOD 2 - 2010/11</t>
  </si>
  <si>
    <t>28.04.2010</t>
  </si>
  <si>
    <t>29.04.2010</t>
  </si>
  <si>
    <t>30.04.2010</t>
  </si>
  <si>
    <t>04.05.2010</t>
  </si>
  <si>
    <t>10.05.2010</t>
  </si>
  <si>
    <t>05.05.2010</t>
  </si>
  <si>
    <t>06.05.2010</t>
  </si>
  <si>
    <t>07.05.2010</t>
  </si>
  <si>
    <t>11.05.2010</t>
  </si>
  <si>
    <t>17.05.2010</t>
  </si>
  <si>
    <t>18.05.2010</t>
  </si>
  <si>
    <t>19.05.2010</t>
  </si>
  <si>
    <t>20.05.2010</t>
  </si>
  <si>
    <t>20.02.2010</t>
  </si>
  <si>
    <t>21.05.2010</t>
  </si>
  <si>
    <t>24.05.2010</t>
  </si>
  <si>
    <t>25.05.2010</t>
  </si>
  <si>
    <t>26.05.2010</t>
  </si>
  <si>
    <t>27.05.2010</t>
  </si>
  <si>
    <t>28.05.2010</t>
  </si>
  <si>
    <t>31.05.2010</t>
  </si>
  <si>
    <t>01.06.2010</t>
  </si>
  <si>
    <t>02.06.2010</t>
  </si>
  <si>
    <t>03.06.2010</t>
  </si>
  <si>
    <t>07.06.2010</t>
  </si>
  <si>
    <t>08.06.2010</t>
  </si>
  <si>
    <t>100700980/981</t>
  </si>
  <si>
    <t>09.06.2010</t>
  </si>
  <si>
    <t>10.06.2010</t>
  </si>
  <si>
    <t>11.06.2010</t>
  </si>
  <si>
    <t>14.06.2010</t>
  </si>
  <si>
    <t>23.06.10</t>
  </si>
  <si>
    <t>TOTALS CHECK.</t>
  </si>
  <si>
    <t>24.06.10</t>
  </si>
  <si>
    <t>28.06.10</t>
  </si>
  <si>
    <t>29.06.10</t>
  </si>
  <si>
    <t>30.06.10</t>
  </si>
  <si>
    <t xml:space="preserve">Adj P S </t>
  </si>
  <si>
    <t>01.07.10</t>
  </si>
  <si>
    <t>02.07.10</t>
  </si>
  <si>
    <t>05.07.10</t>
  </si>
  <si>
    <t>PERIOD 3 - 2010/11</t>
  </si>
  <si>
    <t>PERIOD 4 - 2010/11</t>
  </si>
  <si>
    <t>PERIOD 5 - 2010/11</t>
  </si>
  <si>
    <t>PERIOD 6 - 2010/11</t>
  </si>
  <si>
    <t>PERIOD 7 - 2010/11</t>
  </si>
  <si>
    <t>PERIOD 8 - 2010/11</t>
  </si>
  <si>
    <t>PERIOD 9 - 2010/11</t>
  </si>
  <si>
    <t>PERIOD 10 - 2010/11</t>
  </si>
  <si>
    <t>PERIOD 11 - 2010/11</t>
  </si>
  <si>
    <t>PERIOD 12 - 2010/11</t>
  </si>
  <si>
    <t>100709375/100710235/COR 100710239</t>
  </si>
  <si>
    <t>06.07.10</t>
  </si>
  <si>
    <t>07.07.10</t>
  </si>
  <si>
    <t>100710693/100704087</t>
  </si>
  <si>
    <t>08.07.10</t>
  </si>
  <si>
    <t>09.07.10</t>
  </si>
  <si>
    <t>12.07.10</t>
  </si>
  <si>
    <t>16.07.10</t>
  </si>
  <si>
    <t>13.07.10</t>
  </si>
  <si>
    <t>14.07.10</t>
  </si>
  <si>
    <t>19.07.10</t>
  </si>
  <si>
    <t>15.07.10</t>
  </si>
  <si>
    <t>20.07.10</t>
  </si>
  <si>
    <t>21.07.10</t>
  </si>
  <si>
    <t>22.07.10</t>
  </si>
  <si>
    <t>100715790/100717002</t>
  </si>
  <si>
    <t>100708918/919</t>
  </si>
  <si>
    <t>100717237/100717238</t>
  </si>
  <si>
    <t>23.07.10</t>
  </si>
  <si>
    <t>26.07.10</t>
  </si>
  <si>
    <t>27.07.10</t>
  </si>
  <si>
    <t>28.07.10</t>
  </si>
  <si>
    <t>09.08.10</t>
  </si>
  <si>
    <t>10.08.10</t>
  </si>
  <si>
    <t>Paid in July</t>
  </si>
  <si>
    <t>12.08.2010</t>
  </si>
  <si>
    <t>C/FWD TO AUG</t>
  </si>
  <si>
    <t>31.08.2010</t>
  </si>
  <si>
    <t>23.08.10</t>
  </si>
  <si>
    <t>26.08.10</t>
  </si>
  <si>
    <t>01.09.10</t>
  </si>
  <si>
    <t>03.09.10</t>
  </si>
  <si>
    <t>06.09.10</t>
  </si>
  <si>
    <t>07.09.2010</t>
  </si>
  <si>
    <t>07.09.10</t>
  </si>
  <si>
    <t>08.09.10</t>
  </si>
  <si>
    <t>09.09.10</t>
  </si>
  <si>
    <t>909.09.10</t>
  </si>
  <si>
    <t>13.09.10</t>
  </si>
  <si>
    <t>17.09.10</t>
  </si>
  <si>
    <t>22.09.10</t>
  </si>
  <si>
    <t>28.09.10</t>
  </si>
  <si>
    <r>
      <t>100733960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>100732235</t>
    </r>
  </si>
  <si>
    <t>29.09.10</t>
  </si>
  <si>
    <t>30.09.10</t>
  </si>
  <si>
    <t>100735194/100733271</t>
  </si>
  <si>
    <t>01.10.10</t>
  </si>
  <si>
    <t>04.10.10</t>
  </si>
  <si>
    <t>100734344/100734341</t>
  </si>
  <si>
    <t>05.10.10</t>
  </si>
  <si>
    <t>100733907/100736347</t>
  </si>
  <si>
    <t>06.10.10</t>
  </si>
  <si>
    <t>07.10.10</t>
  </si>
  <si>
    <t>08.10.10</t>
  </si>
  <si>
    <t>11.10.10</t>
  </si>
  <si>
    <t>12.10.10</t>
  </si>
  <si>
    <t>15.10.10</t>
  </si>
  <si>
    <t>18.10.10</t>
  </si>
  <si>
    <t>19.10.10</t>
  </si>
  <si>
    <t>20.10.10</t>
  </si>
  <si>
    <t>21.10.10</t>
  </si>
  <si>
    <t>22.10.10</t>
  </si>
  <si>
    <t>28.10.10</t>
  </si>
  <si>
    <t>01.11.10</t>
  </si>
  <si>
    <t>02.11.10</t>
  </si>
  <si>
    <t>03.11.10</t>
  </si>
  <si>
    <t>04.11.10</t>
  </si>
  <si>
    <t>100747476/100740966</t>
  </si>
  <si>
    <t>05.11.10</t>
  </si>
  <si>
    <t>KIM EMAIL04.11</t>
  </si>
  <si>
    <t>08.11.10</t>
  </si>
  <si>
    <t>100748319/100748324</t>
  </si>
  <si>
    <t>100748341/100740646</t>
  </si>
  <si>
    <t>09.11.10</t>
  </si>
  <si>
    <t>12.11.10</t>
  </si>
  <si>
    <t>Period  8</t>
  </si>
  <si>
    <t>Academy</t>
  </si>
  <si>
    <t>SUM</t>
  </si>
  <si>
    <t xml:space="preserve"> TOTAL</t>
  </si>
  <si>
    <t>22.11.10</t>
  </si>
  <si>
    <t>22.11.2010</t>
  </si>
  <si>
    <t>Period 8</t>
  </si>
  <si>
    <t>100753466/100750365</t>
  </si>
  <si>
    <t xml:space="preserve">Adj P S  </t>
  </si>
  <si>
    <t>Paid in Nov period 8. Ashmole</t>
  </si>
  <si>
    <t>Paid in Sept.Period 6  M M K</t>
  </si>
  <si>
    <t>24.11.10</t>
  </si>
  <si>
    <t>100753962/100753963</t>
  </si>
  <si>
    <t>23.11.10</t>
  </si>
  <si>
    <t>25.11.10</t>
  </si>
  <si>
    <t>100755205/100752782</t>
  </si>
  <si>
    <t>26.11.10</t>
  </si>
  <si>
    <t>29.11.10</t>
  </si>
  <si>
    <t>100755920/922/923</t>
  </si>
  <si>
    <t>30.11.10</t>
  </si>
  <si>
    <t>01.12.10</t>
  </si>
  <si>
    <t>02.12.10</t>
  </si>
  <si>
    <t>100755939REV 100757718./719</t>
  </si>
  <si>
    <t>100754556/100757989</t>
  </si>
  <si>
    <t>03.12.10</t>
  </si>
  <si>
    <t>06.12.10</t>
  </si>
  <si>
    <t>100758007/100758008</t>
  </si>
  <si>
    <t>100758019/100751295</t>
  </si>
  <si>
    <t>07.12.10</t>
  </si>
  <si>
    <t>100755381/100758978</t>
  </si>
  <si>
    <t>08.12.10</t>
  </si>
  <si>
    <t>09.12.10</t>
  </si>
  <si>
    <t>10.12.10</t>
  </si>
  <si>
    <r>
      <t>Ashmole School.</t>
    </r>
    <r>
      <rPr>
        <b/>
        <sz val="12"/>
        <rFont val="Arial"/>
        <family val="2"/>
      </rPr>
      <t>ACADEMY</t>
    </r>
  </si>
  <si>
    <r>
      <t>Queen Elizabeth's School, Barnet.</t>
    </r>
    <r>
      <rPr>
        <b/>
        <sz val="12"/>
        <rFont val="Arial"/>
        <family val="2"/>
      </rPr>
      <t>ACADEMY</t>
    </r>
  </si>
  <si>
    <t>15.12.10</t>
  </si>
  <si>
    <t>Period 9</t>
  </si>
  <si>
    <t>16.12.10</t>
  </si>
  <si>
    <t>100762330/100762331</t>
  </si>
  <si>
    <t>13.12.10</t>
  </si>
  <si>
    <t>14.12.10</t>
  </si>
  <si>
    <t>100762738.741/743</t>
  </si>
  <si>
    <t>05.12.10</t>
  </si>
  <si>
    <t>17.12.10</t>
  </si>
  <si>
    <t>20.12.10</t>
  </si>
  <si>
    <t>21.12.10</t>
  </si>
  <si>
    <t>22.12.10</t>
  </si>
  <si>
    <t>Queen Elizabeth's School, Barnet.ACADEMY</t>
  </si>
  <si>
    <t>Ashmole School.ACADEMY</t>
  </si>
  <si>
    <t>04.01.11</t>
  </si>
  <si>
    <t>The Compton Academy</t>
  </si>
  <si>
    <t>Queen Elizabeth's Academy, Barnet</t>
  </si>
  <si>
    <t>Ashmole Academy</t>
  </si>
  <si>
    <t>05.01.11</t>
  </si>
  <si>
    <t>06.01.11</t>
  </si>
  <si>
    <t>100765880/884/886</t>
  </si>
  <si>
    <t>07.01.11</t>
  </si>
  <si>
    <t>10.01.11</t>
  </si>
  <si>
    <t>12.01.11</t>
  </si>
  <si>
    <t>Edgware Jewish Primary</t>
  </si>
  <si>
    <t>VAT RECONCILIATION 2010-11</t>
  </si>
  <si>
    <t>17.01.11</t>
  </si>
  <si>
    <t>18.01.11</t>
  </si>
  <si>
    <t>19.01.11</t>
  </si>
  <si>
    <t>20.01.11</t>
  </si>
  <si>
    <t>21.01.11</t>
  </si>
  <si>
    <t>24.01.11</t>
  </si>
  <si>
    <t>25.01.11</t>
  </si>
  <si>
    <t>26.01.11</t>
  </si>
  <si>
    <t>100774248/100768477</t>
  </si>
  <si>
    <t>27.01.11</t>
  </si>
  <si>
    <t>28.01.11</t>
  </si>
  <si>
    <t>31.01.11</t>
  </si>
  <si>
    <t xml:space="preserve">Adj P S. </t>
  </si>
  <si>
    <t>100775776/100774813</t>
  </si>
  <si>
    <t>01.31.11</t>
  </si>
  <si>
    <t>01.02.11</t>
  </si>
  <si>
    <t>ACADEMY</t>
  </si>
  <si>
    <t>Adj P S.</t>
  </si>
  <si>
    <t>100776505/100774224</t>
  </si>
  <si>
    <t>next month.hetty ill</t>
  </si>
  <si>
    <t>l/m  adrienne</t>
  </si>
  <si>
    <t>02.02.11</t>
  </si>
  <si>
    <t xml:space="preserve">2Adj P S. </t>
  </si>
  <si>
    <t>100773659/100776883/886</t>
  </si>
  <si>
    <t>03.02.11</t>
  </si>
  <si>
    <t>04.02.11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</si>
</sst>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£&quot;_);\(#,##0&quot;£&quot;\)"/>
    <numFmt numFmtId="165" formatCode="#,##0&quot;£&quot;_);[Red]\(#,##0&quot;£&quot;\)"/>
    <numFmt numFmtId="166" formatCode="#,##0.00&quot;£&quot;_);\(#,##0.00&quot;£&quot;\)"/>
    <numFmt numFmtId="167" formatCode="#,##0.00&quot;£&quot;_);[Red]\(#,##0.00&quot;£&quot;\)"/>
    <numFmt numFmtId="168" formatCode="_ * #,##0_)&quot;£&quot;_ ;_ * \(#,##0\)&quot;£&quot;_ ;_ * &quot;-&quot;_)&quot;£&quot;_ ;_ @_ "/>
    <numFmt numFmtId="169" formatCode="_ * #,##0_)_£_ ;_ * \(#,##0\)_£_ ;_ * &quot;-&quot;_)_£_ ;_ @_ "/>
    <numFmt numFmtId="170" formatCode="_ * #,##0.00_)&quot;£&quot;_ ;_ * \(#,##0.00\)&quot;£&quot;_ ;_ * &quot;-&quot;??_)&quot;£&quot;_ ;_ @_ "/>
    <numFmt numFmtId="171" formatCode="_ * #,##0.00_)_£_ ;_ * \(#,##0.00\)_£_ ;_ * &quot;-&quot;??_)_£_ ;_ @_ "/>
    <numFmt numFmtId="172" formatCode="_(* #,##0.00_);_(* \(#,##0.00\);_(* &quot;-&quot;??_);_(@_)"/>
    <numFmt numFmtId="173" formatCode="#,##0.0_);\(#,##0.0\)"/>
    <numFmt numFmtId="174" formatCode="#,##0_);\(#,##0\)"/>
    <numFmt numFmtId="175" formatCode="#,##0.00_);\(#,##0.00\)"/>
    <numFmt numFmtId="176" formatCode="0.000"/>
    <numFmt numFmtId="177" formatCode="0.0"/>
    <numFmt numFmtId="178" formatCode="#,##0;\(#,##0\)"/>
    <numFmt numFmtId="179" formatCode="_-* #,##0_-;\-* #,##0_-;_-* &quot;-&quot;??_-;_-@_-"/>
    <numFmt numFmtId="180" formatCode="#,##0_ ;[Red]\-#,##0\ "/>
    <numFmt numFmtId="181" formatCode="#,##0.0_ ;[Red]\-#,##0.0\ "/>
    <numFmt numFmtId="182" formatCode="#,##0.00_ ;[Red]\-#,##0.00\ "/>
    <numFmt numFmtId="183" formatCode="0.00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;[Red]0.00"/>
    <numFmt numFmtId="196" formatCode="_-* #,##0.000_-;\-* #,##0.000_-;_-* &quot;-&quot;??_-;_-@_-"/>
    <numFmt numFmtId="197" formatCode="_-* #,##0.0000_-;\-* #,##0.0000_-;_-* &quot;-&quot;??_-;_-@_-"/>
    <numFmt numFmtId="198" formatCode="0.000000000000000000"/>
    <numFmt numFmtId="199" formatCode="[$-809]dd\ mmmm\ yyyy"/>
    <numFmt numFmtId="200" formatCode="d\.m\.yy;@"/>
    <numFmt numFmtId="201" formatCode="#,##0.0;[Red]\-#,##0.0"/>
    <numFmt numFmtId="202" formatCode="d/m/yy;@"/>
    <numFmt numFmtId="203" formatCode="mmm\-yyyy"/>
    <numFmt numFmtId="204" formatCode="dd/mm/yy;@"/>
    <numFmt numFmtId="205" formatCode="_-* #,##0.0_-;\-* #,##0.0_-;_-* &quot;-&quot;??_-;_-@_-"/>
    <numFmt numFmtId="206" formatCode="_-* #,##0.00000_-;\-* #,##0.00000_-;_-* &quot;-&quot;??_-;_-@_-"/>
    <numFmt numFmtId="207" formatCode="_-* #,##0.000000_-;\-* #,##0.000000_-;_-* &quot;-&quot;??_-;_-@_-"/>
  </numFmts>
  <fonts count="22"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Tahoma"/>
      <family val="0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b/>
      <sz val="14"/>
      <color indexed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5" fontId="3" fillId="0" borderId="1" xfId="15" applyNumberFormat="1" applyFont="1" applyBorder="1" applyAlignment="1" applyProtection="1">
      <alignment/>
      <protection/>
    </xf>
    <xf numFmtId="175" fontId="3" fillId="0" borderId="2" xfId="15" applyNumberFormat="1" applyFont="1" applyBorder="1" applyAlignment="1" applyProtection="1">
      <alignment/>
      <protection/>
    </xf>
    <xf numFmtId="175" fontId="3" fillId="2" borderId="1" xfId="15" applyNumberFormat="1" applyFont="1" applyFill="1" applyBorder="1" applyAlignment="1" applyProtection="1">
      <alignment/>
      <protection/>
    </xf>
    <xf numFmtId="175" fontId="3" fillId="2" borderId="3" xfId="15" applyNumberFormat="1" applyFont="1" applyFill="1" applyBorder="1" applyAlignment="1" applyProtection="1">
      <alignment/>
      <protection/>
    </xf>
    <xf numFmtId="175" fontId="3" fillId="0" borderId="3" xfId="15" applyNumberFormat="1" applyFont="1" applyBorder="1" applyAlignment="1" applyProtection="1">
      <alignment/>
      <protection/>
    </xf>
    <xf numFmtId="175" fontId="3" fillId="0" borderId="4" xfId="15" applyNumberFormat="1" applyFont="1" applyBorder="1" applyAlignment="1" applyProtection="1">
      <alignment/>
      <protection/>
    </xf>
    <xf numFmtId="175" fontId="3" fillId="0" borderId="5" xfId="15" applyNumberFormat="1" applyFont="1" applyBorder="1" applyAlignment="1" applyProtection="1">
      <alignment/>
      <protection/>
    </xf>
    <xf numFmtId="175" fontId="3" fillId="0" borderId="6" xfId="15" applyNumberFormat="1" applyFont="1" applyBorder="1" applyAlignment="1" applyProtection="1">
      <alignment/>
      <protection/>
    </xf>
    <xf numFmtId="175" fontId="3" fillId="0" borderId="7" xfId="15" applyNumberFormat="1" applyFont="1" applyBorder="1" applyAlignment="1" applyProtection="1">
      <alignment/>
      <protection/>
    </xf>
    <xf numFmtId="175" fontId="3" fillId="0" borderId="8" xfId="15" applyNumberFormat="1" applyFont="1" applyBorder="1" applyAlignment="1" applyProtection="1">
      <alignment/>
      <protection/>
    </xf>
    <xf numFmtId="2" fontId="0" fillId="0" borderId="0" xfId="0" applyNumberFormat="1" applyAlignment="1">
      <alignment/>
    </xf>
    <xf numFmtId="175" fontId="3" fillId="0" borderId="9" xfId="15" applyNumberFormat="1" applyFont="1" applyBorder="1" applyAlignment="1" applyProtection="1">
      <alignment/>
      <protection/>
    </xf>
    <xf numFmtId="175" fontId="3" fillId="0" borderId="0" xfId="15" applyNumberFormat="1" applyFont="1" applyBorder="1" applyAlignment="1" applyProtection="1">
      <alignment/>
      <protection/>
    </xf>
    <xf numFmtId="175" fontId="3" fillId="0" borderId="10" xfId="15" applyNumberFormat="1" applyFont="1" applyBorder="1" applyAlignment="1" applyProtection="1">
      <alignment/>
      <protection/>
    </xf>
    <xf numFmtId="175" fontId="3" fillId="0" borderId="11" xfId="15" applyNumberFormat="1" applyFont="1" applyBorder="1" applyAlignment="1" applyProtection="1">
      <alignment/>
      <protection/>
    </xf>
    <xf numFmtId="175" fontId="3" fillId="0" borderId="12" xfId="15" applyNumberFormat="1" applyFont="1" applyBorder="1" applyAlignment="1" applyProtection="1">
      <alignment/>
      <protection/>
    </xf>
    <xf numFmtId="175" fontId="3" fillId="0" borderId="13" xfId="15" applyNumberFormat="1" applyFont="1" applyBorder="1" applyAlignment="1" applyProtection="1">
      <alignment/>
      <protection/>
    </xf>
    <xf numFmtId="175" fontId="3" fillId="0" borderId="14" xfId="15" applyNumberFormat="1" applyFont="1" applyBorder="1" applyAlignment="1" applyProtection="1">
      <alignment/>
      <protection/>
    </xf>
    <xf numFmtId="175" fontId="3" fillId="0" borderId="15" xfId="15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75" fontId="3" fillId="0" borderId="16" xfId="15" applyNumberFormat="1" applyFont="1" applyBorder="1" applyAlignment="1" applyProtection="1">
      <alignment/>
      <protection/>
    </xf>
    <xf numFmtId="175" fontId="3" fillId="0" borderId="17" xfId="15" applyNumberFormat="1" applyFont="1" applyBorder="1" applyAlignment="1" applyProtection="1">
      <alignment/>
      <protection/>
    </xf>
    <xf numFmtId="175" fontId="3" fillId="0" borderId="18" xfId="15" applyNumberFormat="1" applyFont="1" applyBorder="1" applyAlignment="1" applyProtection="1">
      <alignment/>
      <protection/>
    </xf>
    <xf numFmtId="175" fontId="3" fillId="0" borderId="19" xfId="15" applyNumberFormat="1" applyFont="1" applyBorder="1" applyAlignment="1" applyProtection="1">
      <alignment/>
      <protection/>
    </xf>
    <xf numFmtId="175" fontId="3" fillId="0" borderId="20" xfId="15" applyNumberFormat="1" applyFont="1" applyBorder="1" applyAlignment="1" applyProtection="1">
      <alignment/>
      <protection/>
    </xf>
    <xf numFmtId="175" fontId="3" fillId="0" borderId="21" xfId="15" applyNumberFormat="1" applyFont="1" applyBorder="1" applyAlignment="1" applyProtection="1">
      <alignment/>
      <protection/>
    </xf>
    <xf numFmtId="175" fontId="3" fillId="0" borderId="4" xfId="15" applyNumberFormat="1" applyFont="1" applyFill="1" applyBorder="1" applyAlignment="1" applyProtection="1">
      <alignment/>
      <protection/>
    </xf>
    <xf numFmtId="175" fontId="3" fillId="0" borderId="1" xfId="15" applyNumberFormat="1" applyFont="1" applyFill="1" applyBorder="1" applyAlignment="1" applyProtection="1">
      <alignment/>
      <protection/>
    </xf>
    <xf numFmtId="175" fontId="3" fillId="0" borderId="2" xfId="15" applyNumberFormat="1" applyFont="1" applyFill="1" applyBorder="1" applyAlignment="1" applyProtection="1">
      <alignment/>
      <protection/>
    </xf>
    <xf numFmtId="175" fontId="3" fillId="0" borderId="5" xfId="15" applyNumberFormat="1" applyFont="1" applyFill="1" applyBorder="1" applyAlignment="1" applyProtection="1">
      <alignment/>
      <protection/>
    </xf>
    <xf numFmtId="175" fontId="3" fillId="0" borderId="3" xfId="15" applyNumberFormat="1" applyFont="1" applyFill="1" applyBorder="1" applyAlignment="1" applyProtection="1">
      <alignment/>
      <protection/>
    </xf>
    <xf numFmtId="175" fontId="3" fillId="0" borderId="6" xfId="15" applyNumberFormat="1" applyFont="1" applyFill="1" applyBorder="1" applyAlignment="1" applyProtection="1">
      <alignment/>
      <protection/>
    </xf>
    <xf numFmtId="175" fontId="3" fillId="0" borderId="7" xfId="1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3" fontId="1" fillId="0" borderId="0" xfId="15" applyFont="1" applyFill="1" applyBorder="1" applyAlignment="1">
      <alignment/>
    </xf>
    <xf numFmtId="43" fontId="1" fillId="0" borderId="0" xfId="15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175" fontId="8" fillId="0" borderId="4" xfId="15" applyNumberFormat="1" applyFont="1" applyFill="1" applyBorder="1" applyAlignment="1" applyProtection="1">
      <alignment/>
      <protection/>
    </xf>
    <xf numFmtId="175" fontId="8" fillId="0" borderId="4" xfId="15" applyNumberFormat="1" applyFont="1" applyBorder="1" applyAlignment="1" applyProtection="1">
      <alignment/>
      <protection/>
    </xf>
    <xf numFmtId="175" fontId="8" fillId="0" borderId="16" xfId="15" applyNumberFormat="1" applyFont="1" applyBorder="1" applyAlignment="1" applyProtection="1">
      <alignment/>
      <protection/>
    </xf>
    <xf numFmtId="175" fontId="8" fillId="0" borderId="10" xfId="15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 applyProtection="1">
      <alignment/>
      <protection locked="0"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10" fillId="0" borderId="0" xfId="0" applyFont="1" applyFill="1" applyAlignment="1">
      <alignment/>
    </xf>
    <xf numFmtId="178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5" applyFont="1" applyFill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8" fillId="0" borderId="33" xfId="0" applyFont="1" applyBorder="1" applyAlignment="1" applyProtection="1">
      <alignment horizontal="left"/>
      <protection/>
    </xf>
    <xf numFmtId="0" fontId="8" fillId="0" borderId="3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75" fontId="0" fillId="0" borderId="0" xfId="0" applyNumberFormat="1" applyAlignment="1" applyProtection="1">
      <alignment/>
      <protection/>
    </xf>
    <xf numFmtId="43" fontId="0" fillId="0" borderId="0" xfId="15" applyFont="1" applyFill="1" applyBorder="1" applyAlignment="1">
      <alignment/>
    </xf>
    <xf numFmtId="2" fontId="0" fillId="0" borderId="0" xfId="0" applyNumberFormat="1" applyFill="1" applyAlignment="1" applyProtection="1">
      <alignment/>
      <protection locked="0"/>
    </xf>
    <xf numFmtId="43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43" fontId="0" fillId="0" borderId="0" xfId="15" applyFill="1" applyAlignment="1" applyProtection="1">
      <alignment/>
      <protection locked="0"/>
    </xf>
    <xf numFmtId="43" fontId="0" fillId="0" borderId="0" xfId="0" applyNumberFormat="1" applyFont="1" applyFill="1" applyAlignment="1">
      <alignment horizontal="center"/>
    </xf>
    <xf numFmtId="20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43" fontId="0" fillId="0" borderId="0" xfId="15" applyFont="1" applyFill="1" applyBorder="1" applyAlignment="1" applyProtection="1">
      <alignment/>
      <protection locked="0"/>
    </xf>
    <xf numFmtId="175" fontId="1" fillId="4" borderId="35" xfId="15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left"/>
      <protection/>
    </xf>
    <xf numFmtId="43" fontId="1" fillId="0" borderId="0" xfId="0" applyNumberFormat="1" applyFont="1" applyAlignment="1">
      <alignment/>
    </xf>
    <xf numFmtId="43" fontId="1" fillId="0" borderId="0" xfId="15" applyFont="1" applyFill="1" applyBorder="1" applyAlignment="1" applyProtection="1">
      <alignment/>
      <protection locked="0"/>
    </xf>
    <xf numFmtId="43" fontId="0" fillId="0" borderId="0" xfId="15" applyFont="1" applyFill="1" applyBorder="1" applyAlignment="1">
      <alignment horizontal="left"/>
    </xf>
    <xf numFmtId="43" fontId="0" fillId="0" borderId="0" xfId="0" applyNumberFormat="1" applyFont="1" applyAlignment="1">
      <alignment/>
    </xf>
    <xf numFmtId="43" fontId="6" fillId="0" borderId="0" xfId="15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3" fontId="12" fillId="0" borderId="0" xfId="15" applyFont="1" applyFill="1" applyBorder="1" applyAlignment="1">
      <alignment/>
    </xf>
    <xf numFmtId="43" fontId="0" fillId="0" borderId="0" xfId="15" applyFont="1" applyFill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7" xfId="0" applyBorder="1" applyAlignment="1" applyProtection="1">
      <alignment/>
      <protection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37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1" fillId="0" borderId="0" xfId="15" applyFont="1" applyFill="1" applyBorder="1" applyAlignment="1">
      <alignment horizontal="right" wrapText="1"/>
    </xf>
    <xf numFmtId="43" fontId="1" fillId="0" borderId="0" xfId="15" applyFont="1" applyFill="1" applyAlignment="1">
      <alignment/>
    </xf>
    <xf numFmtId="0" fontId="0" fillId="0" borderId="0" xfId="0" applyFont="1" applyFill="1" applyBorder="1" applyAlignment="1">
      <alignment horizontal="right"/>
    </xf>
    <xf numFmtId="43" fontId="1" fillId="0" borderId="0" xfId="15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17" fillId="0" borderId="38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/>
    </xf>
    <xf numFmtId="0" fontId="0" fillId="0" borderId="39" xfId="0" applyFill="1" applyBorder="1" applyAlignment="1">
      <alignment/>
    </xf>
    <xf numFmtId="43" fontId="14" fillId="0" borderId="0" xfId="15" applyFont="1" applyFill="1" applyBorder="1" applyAlignment="1" applyProtection="1">
      <alignment/>
      <protection locked="0"/>
    </xf>
    <xf numFmtId="43" fontId="14" fillId="0" borderId="0" xfId="15" applyFont="1" applyFill="1" applyBorder="1" applyAlignment="1">
      <alignment/>
    </xf>
    <xf numFmtId="0" fontId="14" fillId="0" borderId="0" xfId="0" applyFont="1" applyFill="1" applyBorder="1" applyAlignment="1">
      <alignment/>
    </xf>
    <xf numFmtId="43" fontId="0" fillId="0" borderId="0" xfId="15" applyFont="1" applyFill="1" applyBorder="1" applyAlignment="1" applyProtection="1">
      <alignment horizontal="right"/>
      <protection locked="0"/>
    </xf>
    <xf numFmtId="14" fontId="1" fillId="0" borderId="0" xfId="0" applyNumberFormat="1" applyFont="1" applyFill="1" applyBorder="1" applyAlignment="1">
      <alignment/>
    </xf>
    <xf numFmtId="43" fontId="1" fillId="0" borderId="0" xfId="15" applyFont="1" applyFill="1" applyBorder="1" applyAlignment="1">
      <alignment horizontal="left"/>
    </xf>
    <xf numFmtId="2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 wrapText="1"/>
    </xf>
    <xf numFmtId="43" fontId="0" fillId="3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43" fontId="11" fillId="0" borderId="0" xfId="15" applyFont="1" applyFill="1" applyBorder="1" applyAlignment="1">
      <alignment horizontal="right" wrapText="1"/>
    </xf>
    <xf numFmtId="43" fontId="0" fillId="3" borderId="0" xfId="15" applyFont="1" applyFill="1" applyBorder="1" applyAlignment="1" applyProtection="1">
      <alignment/>
      <protection locked="0"/>
    </xf>
    <xf numFmtId="0" fontId="1" fillId="3" borderId="0" xfId="0" applyFont="1" applyFill="1" applyBorder="1" applyAlignment="1">
      <alignment/>
    </xf>
    <xf numFmtId="43" fontId="1" fillId="3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3" borderId="0" xfId="15" applyFont="1" applyFill="1" applyBorder="1" applyAlignment="1">
      <alignment/>
    </xf>
    <xf numFmtId="43" fontId="11" fillId="0" borderId="40" xfId="15" applyFont="1" applyBorder="1" applyAlignment="1">
      <alignment horizontal="right"/>
    </xf>
    <xf numFmtId="179" fontId="1" fillId="0" borderId="0" xfId="0" applyNumberFormat="1" applyFont="1" applyFill="1" applyAlignment="1">
      <alignment/>
    </xf>
    <xf numFmtId="202" fontId="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" fillId="3" borderId="0" xfId="15" applyFont="1" applyFill="1" applyBorder="1" applyAlignment="1" applyProtection="1">
      <alignment/>
      <protection locked="0"/>
    </xf>
    <xf numFmtId="14" fontId="1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43" fontId="0" fillId="5" borderId="0" xfId="15" applyFont="1" applyFill="1" applyBorder="1" applyAlignment="1">
      <alignment/>
    </xf>
    <xf numFmtId="43" fontId="0" fillId="5" borderId="0" xfId="15" applyFont="1" applyFill="1" applyBorder="1" applyAlignment="1" applyProtection="1">
      <alignment/>
      <protection locked="0"/>
    </xf>
    <xf numFmtId="43" fontId="1" fillId="0" borderId="0" xfId="0" applyNumberFormat="1" applyFont="1" applyFill="1" applyBorder="1" applyAlignment="1">
      <alignment/>
    </xf>
    <xf numFmtId="43" fontId="1" fillId="5" borderId="0" xfId="15" applyFont="1" applyFill="1" applyBorder="1" applyAlignment="1">
      <alignment/>
    </xf>
    <xf numFmtId="43" fontId="1" fillId="5" borderId="0" xfId="15" applyFont="1" applyFill="1" applyBorder="1" applyAlignment="1" applyProtection="1">
      <alignment/>
      <protection locked="0"/>
    </xf>
    <xf numFmtId="0" fontId="15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43" fontId="1" fillId="3" borderId="0" xfId="15" applyFont="1" applyFill="1" applyBorder="1" applyAlignment="1">
      <alignment/>
    </xf>
    <xf numFmtId="0" fontId="15" fillId="3" borderId="0" xfId="0" applyFont="1" applyFill="1" applyBorder="1" applyAlignment="1">
      <alignment/>
    </xf>
    <xf numFmtId="43" fontId="0" fillId="0" borderId="0" xfId="15" applyFont="1" applyAlignment="1">
      <alignment/>
    </xf>
    <xf numFmtId="43" fontId="1" fillId="5" borderId="37" xfId="15" applyFont="1" applyFill="1" applyBorder="1" applyAlignment="1">
      <alignment/>
    </xf>
    <xf numFmtId="43" fontId="1" fillId="5" borderId="41" xfId="15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0" borderId="39" xfId="0" applyBorder="1" applyAlignment="1">
      <alignment/>
    </xf>
    <xf numFmtId="43" fontId="1" fillId="0" borderId="42" xfId="15" applyFont="1" applyFill="1" applyBorder="1" applyAlignment="1">
      <alignment/>
    </xf>
    <xf numFmtId="43" fontId="0" fillId="0" borderId="42" xfId="15" applyFont="1" applyFill="1" applyBorder="1" applyAlignment="1">
      <alignment/>
    </xf>
    <xf numFmtId="43" fontId="0" fillId="0" borderId="42" xfId="15" applyFont="1" applyFill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175" fontId="20" fillId="0" borderId="1" xfId="15" applyNumberFormat="1" applyFont="1" applyBorder="1" applyAlignment="1" applyProtection="1">
      <alignment/>
      <protection/>
    </xf>
    <xf numFmtId="175" fontId="20" fillId="0" borderId="43" xfId="15" applyNumberFormat="1" applyFont="1" applyBorder="1" applyAlignment="1" applyProtection="1">
      <alignment/>
      <protection/>
    </xf>
    <xf numFmtId="175" fontId="20" fillId="0" borderId="2" xfId="15" applyNumberFormat="1" applyFont="1" applyBorder="1" applyAlignment="1" applyProtection="1">
      <alignment/>
      <protection/>
    </xf>
    <xf numFmtId="175" fontId="20" fillId="0" borderId="44" xfId="15" applyNumberFormat="1" applyFont="1" applyBorder="1" applyAlignment="1" applyProtection="1">
      <alignment/>
      <protection/>
    </xf>
    <xf numFmtId="175" fontId="20" fillId="0" borderId="3" xfId="15" applyNumberFormat="1" applyFont="1" applyBorder="1" applyAlignment="1" applyProtection="1">
      <alignment/>
      <protection/>
    </xf>
    <xf numFmtId="175" fontId="19" fillId="0" borderId="4" xfId="15" applyNumberFormat="1" applyFont="1" applyBorder="1" applyAlignment="1" applyProtection="1">
      <alignment/>
      <protection/>
    </xf>
    <xf numFmtId="175" fontId="20" fillId="0" borderId="5" xfId="15" applyNumberFormat="1" applyFont="1" applyBorder="1" applyAlignment="1" applyProtection="1">
      <alignment/>
      <protection/>
    </xf>
    <xf numFmtId="175" fontId="20" fillId="0" borderId="45" xfId="15" applyNumberFormat="1" applyFont="1" applyBorder="1" applyAlignment="1" applyProtection="1">
      <alignment/>
      <protection/>
    </xf>
    <xf numFmtId="175" fontId="20" fillId="0" borderId="46" xfId="15" applyNumberFormat="1" applyFont="1" applyBorder="1" applyAlignment="1" applyProtection="1">
      <alignment/>
      <protection/>
    </xf>
    <xf numFmtId="175" fontId="20" fillId="0" borderId="6" xfId="15" applyNumberFormat="1" applyFont="1" applyBorder="1" applyAlignment="1" applyProtection="1">
      <alignment/>
      <protection/>
    </xf>
    <xf numFmtId="175" fontId="20" fillId="0" borderId="47" xfId="15" applyNumberFormat="1" applyFont="1" applyBorder="1" applyAlignment="1" applyProtection="1">
      <alignment/>
      <protection/>
    </xf>
    <xf numFmtId="175" fontId="19" fillId="0" borderId="43" xfId="15" applyNumberFormat="1" applyFont="1" applyBorder="1" applyAlignment="1" applyProtection="1">
      <alignment/>
      <protection/>
    </xf>
    <xf numFmtId="175" fontId="20" fillId="0" borderId="7" xfId="15" applyNumberFormat="1" applyFont="1" applyBorder="1" applyAlignment="1" applyProtection="1">
      <alignment/>
      <protection/>
    </xf>
    <xf numFmtId="175" fontId="20" fillId="0" borderId="4" xfId="15" applyNumberFormat="1" applyFont="1" applyBorder="1" applyAlignment="1" applyProtection="1">
      <alignment/>
      <protection/>
    </xf>
    <xf numFmtId="175" fontId="19" fillId="4" borderId="35" xfId="15" applyNumberFormat="1" applyFont="1" applyFill="1" applyBorder="1" applyAlignment="1" applyProtection="1">
      <alignment/>
      <protection/>
    </xf>
    <xf numFmtId="175" fontId="19" fillId="4" borderId="48" xfId="15" applyNumberFormat="1" applyFont="1" applyFill="1" applyBorder="1" applyAlignment="1" applyProtection="1">
      <alignment/>
      <protection/>
    </xf>
    <xf numFmtId="175" fontId="20" fillId="0" borderId="8" xfId="15" applyNumberFormat="1" applyFont="1" applyBorder="1" applyAlignment="1" applyProtection="1">
      <alignment/>
      <protection/>
    </xf>
    <xf numFmtId="175" fontId="20" fillId="0" borderId="49" xfId="15" applyNumberFormat="1" applyFont="1" applyBorder="1" applyAlignment="1" applyProtection="1">
      <alignment/>
      <protection/>
    </xf>
    <xf numFmtId="0" fontId="1" fillId="4" borderId="25" xfId="0" applyFont="1" applyFill="1" applyBorder="1" applyAlignment="1" applyProtection="1">
      <alignment horizontal="center"/>
      <protection/>
    </xf>
    <xf numFmtId="0" fontId="1" fillId="4" borderId="20" xfId="0" applyFont="1" applyFill="1" applyBorder="1" applyAlignment="1" applyProtection="1">
      <alignment horizontal="center"/>
      <protection/>
    </xf>
    <xf numFmtId="0" fontId="1" fillId="4" borderId="50" xfId="0" applyFont="1" applyFill="1" applyBorder="1" applyAlignment="1" applyProtection="1">
      <alignment horizontal="center"/>
      <protection/>
    </xf>
    <xf numFmtId="0" fontId="19" fillId="4" borderId="25" xfId="0" applyFont="1" applyFill="1" applyBorder="1" applyAlignment="1" applyProtection="1">
      <alignment horizontal="center"/>
      <protection/>
    </xf>
    <xf numFmtId="0" fontId="19" fillId="4" borderId="47" xfId="0" applyFont="1" applyFill="1" applyBorder="1" applyAlignment="1" applyProtection="1">
      <alignment horizontal="center"/>
      <protection/>
    </xf>
    <xf numFmtId="175" fontId="20" fillId="6" borderId="3" xfId="15" applyNumberFormat="1" applyFont="1" applyFill="1" applyBorder="1" applyAlignment="1" applyProtection="1">
      <alignment/>
      <protection locked="0"/>
    </xf>
    <xf numFmtId="175" fontId="20" fillId="6" borderId="46" xfId="15" applyNumberFormat="1" applyFont="1" applyFill="1" applyBorder="1" applyAlignment="1" applyProtection="1">
      <alignment/>
      <protection locked="0"/>
    </xf>
    <xf numFmtId="175" fontId="20" fillId="6" borderId="4" xfId="15" applyNumberFormat="1" applyFont="1" applyFill="1" applyBorder="1" applyAlignment="1" applyProtection="1">
      <alignment/>
      <protection locked="0"/>
    </xf>
    <xf numFmtId="175" fontId="20" fillId="6" borderId="43" xfId="15" applyNumberFormat="1" applyFont="1" applyFill="1" applyBorder="1" applyAlignment="1" applyProtection="1">
      <alignment/>
      <protection locked="0"/>
    </xf>
    <xf numFmtId="0" fontId="0" fillId="3" borderId="37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color rgb="FFFF0000"/>
      </font>
      <border/>
    </dxf>
    <dxf>
      <font>
        <b/>
        <i val="0"/>
        <strike val="0"/>
        <color rgb="FFFF00FF"/>
      </font>
      <fill>
        <patternFill>
          <bgColor rgb="FF00FF00"/>
        </patternFill>
      </fill>
      <border/>
    </dxf>
    <dxf>
      <fill>
        <patternFill>
          <bgColor rgb="FF9999FF"/>
        </patternFill>
      </fill>
      <border/>
    </dxf>
    <dxf>
      <font>
        <b/>
        <i val="0"/>
        <strike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b2prnv1\Accountancy\Schools%20accountancy\CASH%20BOOK%20RECONCILIATIONS\2009-10\Cash%20Book%20Rec\CASH%20BOOK%20REC%2009-10\Cash%20Book%20Reconciliations%202009-10%20DCS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11.11.2010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09.12.2010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12.01.201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b2prnv1\Accountancy\Schools%20accountancy\CASH%20BOOK%20RECONCILIATIONS\VAT\VAT%202010-11\V%20A%20T%2010-11%20Schools%20Payment%20Schedu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b2prnv1\Accountancy\Schools%20accountancy\CASH%20BOOK%20RECONCILIATIONS\2010-11\Outturn%20statements%2009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16.06.201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14.07.2010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CASH%20BOOK%20RECONCILIATIONS\VAT\VAT%202010-11\V%20A%20T%2010-11%20Schools%20Payment%20Schedul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09.08.2010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10.09.201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%20A%20Bank%20&amp;%20S%20A%20P%20Reconciliations%2013.10.201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 09-10 VAT REC"/>
      <sheetName val="Template"/>
      <sheetName val="Mar10"/>
      <sheetName val="Feb10"/>
      <sheetName val="Jan10"/>
      <sheetName val="Dec09"/>
      <sheetName val="Nov09"/>
      <sheetName val="Oct09"/>
      <sheetName val="Sept09"/>
      <sheetName val="Aug09"/>
      <sheetName val="July09"/>
      <sheetName val="June09"/>
      <sheetName val="May09"/>
      <sheetName val="April09"/>
    </sheetNames>
    <sheetDataSet>
      <sheetData sheetId="2">
        <row r="3">
          <cell r="C3">
            <v>938585</v>
          </cell>
          <cell r="D3" t="str">
            <v>Akiva</v>
          </cell>
          <cell r="F3">
            <v>3491.66</v>
          </cell>
          <cell r="G3">
            <v>41264.29</v>
          </cell>
          <cell r="H3">
            <v>84403.87</v>
          </cell>
          <cell r="J3" t="str">
            <v>Adj P S.P 13</v>
          </cell>
          <cell r="K3">
            <v>84403.87</v>
          </cell>
        </row>
        <row r="4">
          <cell r="C4">
            <v>938350</v>
          </cell>
          <cell r="D4" t="str">
            <v>All Saints' CE School (N20)</v>
          </cell>
          <cell r="F4">
            <v>3199.58</v>
          </cell>
          <cell r="G4">
            <v>29541.34</v>
          </cell>
          <cell r="H4">
            <v>74710.89</v>
          </cell>
          <cell r="K4">
            <v>74710.89</v>
          </cell>
        </row>
        <row r="5">
          <cell r="C5">
            <v>938282</v>
          </cell>
          <cell r="D5" t="str">
            <v>All Saints' CE School (NW2)</v>
          </cell>
          <cell r="F5">
            <v>6197.01</v>
          </cell>
          <cell r="G5">
            <v>44711.35</v>
          </cell>
          <cell r="H5">
            <v>72921.51</v>
          </cell>
          <cell r="K5">
            <v>72921.51000000008</v>
          </cell>
        </row>
        <row r="6">
          <cell r="C6">
            <v>938355</v>
          </cell>
          <cell r="D6" t="str">
            <v>Annunciation RC Infant School</v>
          </cell>
          <cell r="F6">
            <v>1286.34</v>
          </cell>
          <cell r="G6">
            <v>-2705.99</v>
          </cell>
          <cell r="H6">
            <v>156208.93</v>
          </cell>
          <cell r="K6">
            <v>156208.93</v>
          </cell>
        </row>
        <row r="7">
          <cell r="C7">
            <v>938415</v>
          </cell>
          <cell r="D7" t="str">
            <v>Annunciation RC Junior School</v>
          </cell>
          <cell r="F7">
            <v>11191.99</v>
          </cell>
          <cell r="G7">
            <v>83973.75</v>
          </cell>
          <cell r="H7">
            <v>42891.45</v>
          </cell>
          <cell r="J7" t="str">
            <v>Adj P S.</v>
          </cell>
          <cell r="K7">
            <v>42891.44999999986</v>
          </cell>
        </row>
        <row r="8">
          <cell r="C8">
            <v>938230</v>
          </cell>
          <cell r="D8" t="str">
            <v>Barnet Hill School</v>
          </cell>
          <cell r="F8">
            <v>0</v>
          </cell>
          <cell r="G8">
            <v>0</v>
          </cell>
          <cell r="H8">
            <v>0</v>
          </cell>
          <cell r="K8">
            <v>2.1827872842550278E-10</v>
          </cell>
        </row>
        <row r="9">
          <cell r="C9">
            <v>938025</v>
          </cell>
          <cell r="D9" t="str">
            <v>Barnfield School</v>
          </cell>
          <cell r="F9">
            <v>7794.1</v>
          </cell>
          <cell r="G9">
            <v>-29429.23</v>
          </cell>
          <cell r="H9">
            <v>204099.02</v>
          </cell>
          <cell r="K9">
            <v>204099.02</v>
          </cell>
        </row>
        <row r="10">
          <cell r="C10">
            <v>938280</v>
          </cell>
          <cell r="D10" t="str">
            <v>Beis Yaakov</v>
          </cell>
          <cell r="F10">
            <v>4156.06</v>
          </cell>
          <cell r="G10">
            <v>-10096.8</v>
          </cell>
          <cell r="H10">
            <v>19729.91</v>
          </cell>
          <cell r="K10">
            <v>19729.91</v>
          </cell>
        </row>
        <row r="11">
          <cell r="C11">
            <v>938030</v>
          </cell>
          <cell r="D11" t="str">
            <v>Bell Lane School</v>
          </cell>
          <cell r="F11">
            <v>3013.09</v>
          </cell>
          <cell r="G11">
            <v>-33251.08</v>
          </cell>
          <cell r="H11">
            <v>370869.62</v>
          </cell>
          <cell r="J11" t="str">
            <v>Adj P S.</v>
          </cell>
          <cell r="K11">
            <v>370869.62</v>
          </cell>
        </row>
        <row r="12">
          <cell r="C12">
            <v>938400</v>
          </cell>
          <cell r="D12" t="str">
            <v>Blessed Dominic RC School</v>
          </cell>
          <cell r="F12">
            <v>1564.17</v>
          </cell>
          <cell r="G12">
            <v>-8946.51</v>
          </cell>
          <cell r="H12">
            <v>88854.63</v>
          </cell>
          <cell r="K12">
            <v>88854.63000000012</v>
          </cell>
        </row>
        <row r="13">
          <cell r="C13">
            <v>938435</v>
          </cell>
          <cell r="D13" t="str">
            <v>Broadfields Primary School</v>
          </cell>
          <cell r="F13">
            <v>9318.75</v>
          </cell>
          <cell r="G13">
            <v>-1172.8</v>
          </cell>
          <cell r="H13">
            <v>320558.25</v>
          </cell>
          <cell r="J13" t="str">
            <v>Adj P S.P 13</v>
          </cell>
          <cell r="K13">
            <v>320558.25</v>
          </cell>
        </row>
        <row r="14">
          <cell r="C14">
            <v>938040</v>
          </cell>
          <cell r="D14" t="str">
            <v>Brookland Infant School</v>
          </cell>
          <cell r="F14">
            <v>10084.4</v>
          </cell>
          <cell r="G14">
            <v>54242.31</v>
          </cell>
          <cell r="H14">
            <v>173617.3</v>
          </cell>
          <cell r="K14">
            <v>173617.3</v>
          </cell>
        </row>
        <row r="15">
          <cell r="C15">
            <v>938035</v>
          </cell>
          <cell r="D15" t="str">
            <v>Brookland Junior School</v>
          </cell>
          <cell r="F15">
            <v>6410.11</v>
          </cell>
          <cell r="G15">
            <v>11715.42</v>
          </cell>
          <cell r="H15">
            <v>225010.69</v>
          </cell>
          <cell r="K15">
            <v>225010.69</v>
          </cell>
        </row>
        <row r="16">
          <cell r="C16">
            <v>938045</v>
          </cell>
          <cell r="D16" t="str">
            <v>Brunswick Park School</v>
          </cell>
          <cell r="F16">
            <v>8679.060000000001</v>
          </cell>
          <cell r="G16">
            <v>8103.77</v>
          </cell>
          <cell r="H16">
            <v>154542.06</v>
          </cell>
          <cell r="K16">
            <v>154542.06</v>
          </cell>
        </row>
        <row r="17">
          <cell r="C17">
            <v>938235</v>
          </cell>
          <cell r="D17" t="str">
            <v>Chalgrove School</v>
          </cell>
          <cell r="F17">
            <v>1597.39</v>
          </cell>
          <cell r="G17">
            <v>-17033.36</v>
          </cell>
          <cell r="H17">
            <v>215121</v>
          </cell>
          <cell r="K17">
            <v>215121</v>
          </cell>
        </row>
        <row r="18">
          <cell r="C18">
            <v>938050</v>
          </cell>
          <cell r="D18" t="str">
            <v>Childs Hill School</v>
          </cell>
          <cell r="F18">
            <v>6750.11</v>
          </cell>
          <cell r="G18">
            <v>-36572.95</v>
          </cell>
          <cell r="H18">
            <v>229879.26</v>
          </cell>
          <cell r="J18" t="str">
            <v>Adj P S.</v>
          </cell>
          <cell r="K18">
            <v>229879.26</v>
          </cell>
        </row>
        <row r="19">
          <cell r="C19">
            <v>938285</v>
          </cell>
          <cell r="D19" t="str">
            <v>Christ Church CE School</v>
          </cell>
          <cell r="F19">
            <v>476.83</v>
          </cell>
          <cell r="G19">
            <v>1383.44</v>
          </cell>
          <cell r="H19">
            <v>109352.93</v>
          </cell>
          <cell r="K19">
            <v>109352.93</v>
          </cell>
        </row>
        <row r="20">
          <cell r="C20">
            <v>938055</v>
          </cell>
          <cell r="D20" t="str">
            <v>Church Hill School</v>
          </cell>
          <cell r="F20">
            <v>3936.2000000000003</v>
          </cell>
          <cell r="G20">
            <v>34155.64</v>
          </cell>
          <cell r="H20">
            <v>142747.69</v>
          </cell>
          <cell r="J20" t="str">
            <v>Adj P S.</v>
          </cell>
          <cell r="K20">
            <v>142747.69</v>
          </cell>
        </row>
        <row r="21">
          <cell r="C21">
            <v>938438</v>
          </cell>
          <cell r="D21" t="str">
            <v>Claremont Primary</v>
          </cell>
          <cell r="F21">
            <v>6993.5</v>
          </cell>
          <cell r="G21">
            <v>-18470.16</v>
          </cell>
          <cell r="H21">
            <v>127100.57</v>
          </cell>
          <cell r="K21">
            <v>127100.57</v>
          </cell>
        </row>
        <row r="22">
          <cell r="C22">
            <v>938070</v>
          </cell>
          <cell r="D22" t="str">
            <v>Colindale School</v>
          </cell>
          <cell r="F22">
            <v>6101.25</v>
          </cell>
          <cell r="G22">
            <v>-20862.57</v>
          </cell>
          <cell r="H22">
            <v>520309.84</v>
          </cell>
          <cell r="K22">
            <v>520309.84</v>
          </cell>
        </row>
        <row r="23">
          <cell r="C23">
            <v>938075</v>
          </cell>
          <cell r="D23" t="str">
            <v>Coppetts Wood School</v>
          </cell>
          <cell r="F23">
            <v>43590.270000000004</v>
          </cell>
          <cell r="G23">
            <v>159136.44</v>
          </cell>
          <cell r="H23">
            <v>187332.16</v>
          </cell>
          <cell r="K23">
            <v>187332.16</v>
          </cell>
        </row>
        <row r="24">
          <cell r="C24">
            <v>938080</v>
          </cell>
          <cell r="D24" t="str">
            <v>Courtland School</v>
          </cell>
          <cell r="F24">
            <v>6896.14</v>
          </cell>
          <cell r="G24">
            <v>41854.73</v>
          </cell>
          <cell r="H24">
            <v>168938.34</v>
          </cell>
          <cell r="J24" t="str">
            <v>Adj P S.P 13</v>
          </cell>
          <cell r="K24">
            <v>168938.34</v>
          </cell>
        </row>
        <row r="25">
          <cell r="C25">
            <v>938085</v>
          </cell>
          <cell r="D25" t="str">
            <v>Cromer Road School</v>
          </cell>
          <cell r="F25">
            <v>4270.18</v>
          </cell>
          <cell r="G25">
            <v>-21467.81</v>
          </cell>
          <cell r="H25">
            <v>213300.56</v>
          </cell>
          <cell r="K25">
            <v>213300.56</v>
          </cell>
        </row>
        <row r="26">
          <cell r="C26">
            <v>938255</v>
          </cell>
          <cell r="D26" t="str">
            <v>Danegrove School</v>
          </cell>
          <cell r="F26">
            <v>10335.15</v>
          </cell>
          <cell r="G26">
            <v>94105.94</v>
          </cell>
          <cell r="H26">
            <v>111604.37</v>
          </cell>
          <cell r="K26">
            <v>111604.37</v>
          </cell>
        </row>
        <row r="27">
          <cell r="C27">
            <v>938095</v>
          </cell>
          <cell r="D27" t="str">
            <v>Deansbrook Infant School</v>
          </cell>
          <cell r="F27">
            <v>7034.13</v>
          </cell>
          <cell r="G27">
            <v>13135.39</v>
          </cell>
          <cell r="H27">
            <v>155818.58</v>
          </cell>
          <cell r="K27">
            <v>155818.58</v>
          </cell>
        </row>
        <row r="28">
          <cell r="C28">
            <v>938090</v>
          </cell>
          <cell r="D28" t="str">
            <v>Deansbrook Junior School</v>
          </cell>
          <cell r="F28">
            <v>4214.39</v>
          </cell>
          <cell r="G28">
            <v>-105944.06</v>
          </cell>
          <cell r="H28">
            <v>330950.19</v>
          </cell>
          <cell r="J28" t="str">
            <v>Adj P S.</v>
          </cell>
          <cell r="K28">
            <v>330950.19</v>
          </cell>
        </row>
        <row r="29">
          <cell r="C29">
            <v>938100</v>
          </cell>
          <cell r="D29" t="str">
            <v>Dollis Infant School</v>
          </cell>
          <cell r="F29">
            <v>4813.93</v>
          </cell>
          <cell r="G29">
            <v>43002.51</v>
          </cell>
          <cell r="H29">
            <v>119094.51</v>
          </cell>
          <cell r="K29">
            <v>119094.51</v>
          </cell>
        </row>
        <row r="30">
          <cell r="C30">
            <v>938490</v>
          </cell>
          <cell r="D30" t="str">
            <v>Dollis Junior School</v>
          </cell>
          <cell r="F30">
            <v>7875.28</v>
          </cell>
          <cell r="G30">
            <v>-28688.17</v>
          </cell>
          <cell r="H30">
            <v>138811.79</v>
          </cell>
          <cell r="J30" t="str">
            <v>Adj P S.P 13</v>
          </cell>
          <cell r="K30">
            <v>138811.79</v>
          </cell>
        </row>
        <row r="31">
          <cell r="C31">
            <v>938110</v>
          </cell>
          <cell r="D31" t="str">
            <v>Edgware Infant School</v>
          </cell>
          <cell r="F31">
            <v>2214.41</v>
          </cell>
          <cell r="G31">
            <v>-46936.04</v>
          </cell>
          <cell r="H31">
            <v>244351.4</v>
          </cell>
          <cell r="K31">
            <v>244351.4</v>
          </cell>
        </row>
        <row r="32">
          <cell r="C32">
            <v>938105</v>
          </cell>
          <cell r="D32" t="str">
            <v>Edgware Junior School</v>
          </cell>
          <cell r="F32">
            <v>4924.57</v>
          </cell>
          <cell r="G32">
            <v>-28659.61</v>
          </cell>
          <cell r="H32">
            <v>265997.59</v>
          </cell>
          <cell r="J32" t="str">
            <v>Adj P S.P 13</v>
          </cell>
          <cell r="K32">
            <v>265997.59</v>
          </cell>
        </row>
        <row r="33">
          <cell r="C33">
            <v>938115</v>
          </cell>
          <cell r="D33" t="str">
            <v>The Fairway School</v>
          </cell>
          <cell r="F33">
            <v>1059.48</v>
          </cell>
          <cell r="G33">
            <v>45862</v>
          </cell>
          <cell r="H33">
            <v>194753.95</v>
          </cell>
          <cell r="J33">
            <v>-4729.9</v>
          </cell>
          <cell r="K33">
            <v>194753.95</v>
          </cell>
        </row>
        <row r="34">
          <cell r="C34">
            <v>938120</v>
          </cell>
          <cell r="D34" t="str">
            <v>Foulds School</v>
          </cell>
          <cell r="F34">
            <v>5497.86</v>
          </cell>
          <cell r="G34">
            <v>15882.05</v>
          </cell>
          <cell r="H34">
            <v>175353.47</v>
          </cell>
          <cell r="K34">
            <v>175353.47</v>
          </cell>
        </row>
        <row r="35">
          <cell r="C35">
            <v>938125</v>
          </cell>
          <cell r="D35" t="str">
            <v>Frith Manor School</v>
          </cell>
          <cell r="F35">
            <v>5608.61</v>
          </cell>
          <cell r="G35">
            <v>-36315.25</v>
          </cell>
          <cell r="H35">
            <v>334493.04</v>
          </cell>
          <cell r="J35" t="str">
            <v>2 Adj P S.</v>
          </cell>
          <cell r="K35">
            <v>334493.04</v>
          </cell>
        </row>
        <row r="36">
          <cell r="C36">
            <v>938135</v>
          </cell>
          <cell r="D36" t="str">
            <v>Garden Suburb Infant School</v>
          </cell>
          <cell r="F36">
            <v>3614.11</v>
          </cell>
          <cell r="G36">
            <v>20895.24</v>
          </cell>
          <cell r="H36">
            <v>147392.47</v>
          </cell>
          <cell r="K36">
            <v>147392.47</v>
          </cell>
        </row>
        <row r="37">
          <cell r="C37">
            <v>938130</v>
          </cell>
          <cell r="D37" t="str">
            <v>Garden Suburb Junior School</v>
          </cell>
          <cell r="F37">
            <v>6931.88</v>
          </cell>
          <cell r="G37">
            <v>42903.76</v>
          </cell>
          <cell r="H37">
            <v>163698.3</v>
          </cell>
          <cell r="K37">
            <v>163698.3</v>
          </cell>
        </row>
        <row r="38">
          <cell r="C38">
            <v>938140</v>
          </cell>
          <cell r="D38" t="str">
            <v>Goldbeaters School</v>
          </cell>
          <cell r="F38">
            <v>1214.89</v>
          </cell>
          <cell r="G38">
            <v>-19141.68</v>
          </cell>
          <cell r="H38">
            <v>71274.83</v>
          </cell>
          <cell r="J38" t="str">
            <v>Adj P S.P 13</v>
          </cell>
          <cell r="K38">
            <v>71274.82999999986</v>
          </cell>
        </row>
        <row r="39">
          <cell r="C39">
            <v>938145</v>
          </cell>
          <cell r="D39" t="str">
            <v>Grasvenor Avenue Infant School</v>
          </cell>
          <cell r="F39">
            <v>1780.19</v>
          </cell>
          <cell r="G39">
            <v>960.58</v>
          </cell>
          <cell r="H39">
            <v>78266.12</v>
          </cell>
          <cell r="J39" t="str">
            <v>2 Adj P S.</v>
          </cell>
          <cell r="K39">
            <v>78266.12</v>
          </cell>
        </row>
        <row r="40">
          <cell r="C40">
            <v>938425</v>
          </cell>
          <cell r="D40" t="str">
            <v>Hasmonean Primary School</v>
          </cell>
          <cell r="F40">
            <v>1645.1</v>
          </cell>
          <cell r="G40">
            <v>-24124.17</v>
          </cell>
          <cell r="H40">
            <v>40007.79</v>
          </cell>
          <cell r="K40">
            <v>40007.79</v>
          </cell>
        </row>
        <row r="41">
          <cell r="C41">
            <v>938150</v>
          </cell>
          <cell r="D41" t="str">
            <v>Hollickwood School</v>
          </cell>
          <cell r="F41">
            <v>1067.95</v>
          </cell>
          <cell r="G41">
            <v>-39161.01</v>
          </cell>
          <cell r="H41">
            <v>214444.45</v>
          </cell>
          <cell r="J41" t="str">
            <v>2 Adj P S.</v>
          </cell>
          <cell r="K41">
            <v>214444.45</v>
          </cell>
        </row>
        <row r="42">
          <cell r="C42">
            <v>938155</v>
          </cell>
          <cell r="D42" t="str">
            <v>Holly Park School</v>
          </cell>
          <cell r="F42">
            <v>3716.18</v>
          </cell>
          <cell r="G42">
            <v>-27495.86</v>
          </cell>
          <cell r="H42">
            <v>101547.72</v>
          </cell>
          <cell r="J42" t="str">
            <v>Adj P S.</v>
          </cell>
          <cell r="K42">
            <v>101547.72</v>
          </cell>
        </row>
        <row r="43">
          <cell r="C43">
            <v>938290</v>
          </cell>
          <cell r="D43" t="str">
            <v>Holy Trinity CE School</v>
          </cell>
          <cell r="F43">
            <v>2458.8</v>
          </cell>
          <cell r="G43">
            <v>12981.89</v>
          </cell>
          <cell r="H43">
            <v>62423.99</v>
          </cell>
          <cell r="K43">
            <v>62423.98999999995</v>
          </cell>
        </row>
        <row r="44">
          <cell r="C44">
            <v>938260</v>
          </cell>
          <cell r="D44" t="str">
            <v>The Hyde School</v>
          </cell>
          <cell r="F44">
            <v>16328.48</v>
          </cell>
          <cell r="G44">
            <v>52817.98</v>
          </cell>
          <cell r="H44">
            <v>239664.26</v>
          </cell>
          <cell r="J44" t="str">
            <v>Adj P S.P 13</v>
          </cell>
          <cell r="K44">
            <v>239664.26</v>
          </cell>
        </row>
        <row r="45">
          <cell r="C45">
            <v>938420</v>
          </cell>
          <cell r="D45" t="str">
            <v>Independent Jewish Day School</v>
          </cell>
          <cell r="F45">
            <v>2197.27</v>
          </cell>
          <cell r="G45">
            <v>14661.67</v>
          </cell>
          <cell r="H45">
            <v>2166.54</v>
          </cell>
          <cell r="J45" t="str">
            <v>Adj P S.</v>
          </cell>
          <cell r="K45">
            <v>2166.5400000000186</v>
          </cell>
        </row>
        <row r="46">
          <cell r="C46">
            <v>938160</v>
          </cell>
          <cell r="D46" t="str">
            <v>Livingstone School</v>
          </cell>
          <cell r="F46">
            <v>2136.0299999999997</v>
          </cell>
          <cell r="G46">
            <v>-89728.83</v>
          </cell>
          <cell r="H46">
            <v>285433.56</v>
          </cell>
          <cell r="J46" t="str">
            <v>Adj P S.P 13</v>
          </cell>
          <cell r="K46">
            <v>285433.56</v>
          </cell>
        </row>
        <row r="47">
          <cell r="C47">
            <v>938165</v>
          </cell>
          <cell r="D47" t="str">
            <v>Manorside School </v>
          </cell>
          <cell r="F47">
            <v>10258.59</v>
          </cell>
          <cell r="G47">
            <v>33350.75</v>
          </cell>
          <cell r="H47">
            <v>172813.38</v>
          </cell>
          <cell r="J47" t="str">
            <v>Adj P S.P 13</v>
          </cell>
          <cell r="K47">
            <v>172813.38</v>
          </cell>
        </row>
        <row r="48">
          <cell r="C48">
            <v>938580</v>
          </cell>
          <cell r="D48" t="str">
            <v>Martin Primary</v>
          </cell>
          <cell r="F48">
            <v>3870.42</v>
          </cell>
          <cell r="G48">
            <v>-19987.9</v>
          </cell>
          <cell r="H48">
            <v>336629.38</v>
          </cell>
          <cell r="J48" t="str">
            <v>Adj P S.P 13</v>
          </cell>
          <cell r="K48">
            <v>336629.38</v>
          </cell>
        </row>
        <row r="49">
          <cell r="C49">
            <v>938550</v>
          </cell>
          <cell r="D49" t="str">
            <v>Mathilda Marks Kennedy School</v>
          </cell>
          <cell r="F49">
            <v>2569.69</v>
          </cell>
          <cell r="G49">
            <v>3414.3</v>
          </cell>
          <cell r="H49">
            <v>112685.07</v>
          </cell>
          <cell r="K49">
            <v>112685.07</v>
          </cell>
        </row>
        <row r="50">
          <cell r="C50">
            <v>938555</v>
          </cell>
          <cell r="D50" t="str">
            <v>Menorah Foundation School</v>
          </cell>
          <cell r="F50">
            <v>3082.93</v>
          </cell>
          <cell r="G50">
            <v>-2865.29</v>
          </cell>
          <cell r="H50">
            <v>10649.77</v>
          </cell>
          <cell r="J50" t="str">
            <v>Adj P S.</v>
          </cell>
          <cell r="K50">
            <v>10649.77</v>
          </cell>
        </row>
        <row r="51">
          <cell r="C51">
            <v>938410</v>
          </cell>
          <cell r="D51" t="str">
            <v>Menorah Primary School</v>
          </cell>
          <cell r="F51">
            <v>1588.32</v>
          </cell>
          <cell r="G51">
            <v>9154.74</v>
          </cell>
          <cell r="H51">
            <v>105456.35</v>
          </cell>
          <cell r="K51">
            <v>105456.35</v>
          </cell>
        </row>
        <row r="52">
          <cell r="C52">
            <v>938295</v>
          </cell>
          <cell r="D52" t="str">
            <v>Monken Hadley CE School</v>
          </cell>
          <cell r="F52">
            <v>1040.8</v>
          </cell>
          <cell r="G52">
            <v>9541.09</v>
          </cell>
          <cell r="H52">
            <v>50403.01</v>
          </cell>
          <cell r="K52">
            <v>50403.01</v>
          </cell>
        </row>
        <row r="53">
          <cell r="C53">
            <v>938180</v>
          </cell>
          <cell r="D53" t="str">
            <v>Monkfrith School</v>
          </cell>
          <cell r="F53">
            <v>1865.61</v>
          </cell>
          <cell r="G53">
            <v>78983.77</v>
          </cell>
          <cell r="H53">
            <v>119370.43</v>
          </cell>
          <cell r="K53">
            <v>119370.43</v>
          </cell>
        </row>
        <row r="54">
          <cell r="C54">
            <v>938190</v>
          </cell>
          <cell r="D54" t="str">
            <v>Moss Hall Infant School</v>
          </cell>
          <cell r="F54">
            <v>5391.03</v>
          </cell>
          <cell r="G54">
            <v>-35484.56</v>
          </cell>
          <cell r="H54">
            <v>130349.24</v>
          </cell>
          <cell r="J54" t="str">
            <v>Adj P S.P 13</v>
          </cell>
          <cell r="K54">
            <v>130349.24</v>
          </cell>
        </row>
        <row r="55">
          <cell r="C55">
            <v>938185</v>
          </cell>
          <cell r="D55" t="str">
            <v>Moss Hall Junior School</v>
          </cell>
          <cell r="F55">
            <v>8918.97</v>
          </cell>
          <cell r="G55">
            <v>40611.21</v>
          </cell>
          <cell r="H55">
            <v>163962.31</v>
          </cell>
          <cell r="J55" t="str">
            <v>2 Adj P S.</v>
          </cell>
          <cell r="K55">
            <v>163962.31</v>
          </cell>
        </row>
        <row r="56">
          <cell r="C56">
            <v>938195</v>
          </cell>
          <cell r="D56" t="str">
            <v>Northside School</v>
          </cell>
          <cell r="F56">
            <v>6973.23</v>
          </cell>
          <cell r="G56">
            <v>-4412.85</v>
          </cell>
          <cell r="H56">
            <v>225450.97</v>
          </cell>
          <cell r="K56">
            <v>225450.97</v>
          </cell>
        </row>
        <row r="57">
          <cell r="C57">
            <v>938270</v>
          </cell>
          <cell r="D57" t="str">
            <v>The Orion School</v>
          </cell>
          <cell r="F57">
            <v>8336.03</v>
          </cell>
          <cell r="G57">
            <v>-39740.45</v>
          </cell>
          <cell r="H57">
            <v>135671.84</v>
          </cell>
          <cell r="K57">
            <v>135671.84</v>
          </cell>
        </row>
        <row r="58">
          <cell r="C58">
            <v>938495</v>
          </cell>
          <cell r="D58" t="str">
            <v>Osidge School</v>
          </cell>
          <cell r="F58">
            <v>5399.76</v>
          </cell>
          <cell r="G58">
            <v>-24555.74</v>
          </cell>
          <cell r="H58">
            <v>127375.02</v>
          </cell>
          <cell r="J58">
            <v>0.4</v>
          </cell>
          <cell r="K58">
            <v>127375.02</v>
          </cell>
        </row>
        <row r="59">
          <cell r="C59">
            <v>938360</v>
          </cell>
          <cell r="D59" t="str">
            <v>Our Lady of Lourdes RC School</v>
          </cell>
          <cell r="F59">
            <v>1685.13</v>
          </cell>
          <cell r="G59">
            <v>8774.68</v>
          </cell>
          <cell r="H59">
            <v>91477.51</v>
          </cell>
          <cell r="K59">
            <v>91477.51</v>
          </cell>
        </row>
        <row r="60">
          <cell r="C60">
            <v>938275</v>
          </cell>
          <cell r="D60" t="str">
            <v>Pardes House </v>
          </cell>
          <cell r="F60">
            <v>1748.39</v>
          </cell>
          <cell r="G60">
            <v>-5535.62</v>
          </cell>
          <cell r="H60">
            <v>27125.06</v>
          </cell>
          <cell r="K60">
            <v>27125.06</v>
          </cell>
        </row>
        <row r="61">
          <cell r="C61">
            <v>938020</v>
          </cell>
          <cell r="D61" t="str">
            <v>Parkfield School</v>
          </cell>
          <cell r="F61">
            <v>19213.09</v>
          </cell>
          <cell r="G61">
            <v>-5188.44</v>
          </cell>
          <cell r="H61">
            <v>47776.2</v>
          </cell>
          <cell r="K61">
            <v>47776.200000000055</v>
          </cell>
        </row>
        <row r="62">
          <cell r="C62">
            <v>938245</v>
          </cell>
          <cell r="D62" t="str">
            <v>Queenswell Infant School</v>
          </cell>
          <cell r="F62">
            <v>2011.02</v>
          </cell>
          <cell r="G62">
            <v>-10637.41</v>
          </cell>
          <cell r="H62">
            <v>114866.99</v>
          </cell>
          <cell r="K62">
            <v>114866.99</v>
          </cell>
        </row>
        <row r="63">
          <cell r="C63">
            <v>938250</v>
          </cell>
          <cell r="D63" t="str">
            <v>Queenswell Junior School</v>
          </cell>
          <cell r="F63">
            <v>2026.75</v>
          </cell>
          <cell r="G63">
            <v>-22628.54</v>
          </cell>
          <cell r="H63">
            <v>137171.91</v>
          </cell>
          <cell r="J63" t="str">
            <v>Adj P S.</v>
          </cell>
          <cell r="K63">
            <v>137171.91</v>
          </cell>
        </row>
        <row r="64">
          <cell r="C64">
            <v>938405</v>
          </cell>
          <cell r="D64" t="str">
            <v>Rosh Pinah School</v>
          </cell>
          <cell r="F64">
            <v>2140.42</v>
          </cell>
          <cell r="G64">
            <v>-16004.75</v>
          </cell>
          <cell r="H64">
            <v>241915.64</v>
          </cell>
          <cell r="K64">
            <v>241915.64</v>
          </cell>
        </row>
        <row r="65">
          <cell r="C65">
            <v>938395</v>
          </cell>
          <cell r="D65" t="str">
            <v>Sacred Heart RC School</v>
          </cell>
          <cell r="F65">
            <v>3688.17</v>
          </cell>
          <cell r="G65">
            <v>22344.15</v>
          </cell>
          <cell r="H65">
            <v>117699.24</v>
          </cell>
          <cell r="K65">
            <v>117699.24</v>
          </cell>
        </row>
        <row r="66">
          <cell r="C66">
            <v>938365</v>
          </cell>
          <cell r="D66" t="str">
            <v>St. Agnes' RC School</v>
          </cell>
          <cell r="F66">
            <v>3109.58</v>
          </cell>
          <cell r="G66">
            <v>3121.01</v>
          </cell>
          <cell r="H66">
            <v>112422.51</v>
          </cell>
          <cell r="J66" t="str">
            <v>Adj P S.P 13</v>
          </cell>
          <cell r="K66">
            <v>112422.51</v>
          </cell>
        </row>
        <row r="67">
          <cell r="C67">
            <v>938340</v>
          </cell>
          <cell r="D67" t="str">
            <v>St. Andrew's CE School</v>
          </cell>
          <cell r="F67">
            <v>3772.7599999999998</v>
          </cell>
          <cell r="G67">
            <v>14676.91</v>
          </cell>
          <cell r="H67">
            <v>7278.110000000001</v>
          </cell>
          <cell r="J67" t="str">
            <v>Adj P S.P 13</v>
          </cell>
          <cell r="K67">
            <v>7278.110000000042</v>
          </cell>
        </row>
        <row r="68">
          <cell r="C68">
            <v>938370</v>
          </cell>
          <cell r="D68" t="str">
            <v>St. Catherine's RC School</v>
          </cell>
          <cell r="F68">
            <v>2086.37</v>
          </cell>
          <cell r="G68">
            <v>-10880.36</v>
          </cell>
          <cell r="H68">
            <v>151265.11</v>
          </cell>
          <cell r="J68" t="str">
            <v>Adj P S.</v>
          </cell>
          <cell r="K68">
            <v>151265.11</v>
          </cell>
        </row>
        <row r="69">
          <cell r="C69">
            <v>938300</v>
          </cell>
          <cell r="D69" t="str">
            <v>St. John's CE School (N11)</v>
          </cell>
          <cell r="F69">
            <v>2877.1</v>
          </cell>
          <cell r="G69">
            <v>9937.31</v>
          </cell>
          <cell r="H69">
            <v>97278.12</v>
          </cell>
          <cell r="J69" t="str">
            <v>Adj P S.P 13</v>
          </cell>
          <cell r="K69">
            <v>97278.12</v>
          </cell>
        </row>
        <row r="70">
          <cell r="C70">
            <v>938310</v>
          </cell>
          <cell r="D70" t="str">
            <v>St. John's CE School (N20)</v>
          </cell>
          <cell r="F70">
            <v>1288.74</v>
          </cell>
          <cell r="G70">
            <v>471.03</v>
          </cell>
          <cell r="H70">
            <v>148724.47</v>
          </cell>
          <cell r="K70">
            <v>148724.47</v>
          </cell>
        </row>
        <row r="71">
          <cell r="C71">
            <v>938385</v>
          </cell>
          <cell r="D71" t="str">
            <v>St. Joseph's RC Infant School</v>
          </cell>
          <cell r="F71">
            <v>1542.6100000000001</v>
          </cell>
          <cell r="G71">
            <v>-10051.1</v>
          </cell>
          <cell r="H71">
            <v>16419.67</v>
          </cell>
          <cell r="I71">
            <v>11.78</v>
          </cell>
          <cell r="J71" t="str">
            <v>Adj P S.P 13</v>
          </cell>
          <cell r="K71">
            <v>16419.67</v>
          </cell>
        </row>
        <row r="72">
          <cell r="C72">
            <v>938390</v>
          </cell>
          <cell r="D72" t="str">
            <v>St. Joseph's RC Junior School</v>
          </cell>
          <cell r="F72">
            <v>1074.03</v>
          </cell>
          <cell r="G72">
            <v>93.92</v>
          </cell>
          <cell r="H72">
            <v>118972.67</v>
          </cell>
          <cell r="K72">
            <v>118972.67</v>
          </cell>
        </row>
        <row r="73">
          <cell r="C73">
            <v>938325</v>
          </cell>
          <cell r="D73" t="str">
            <v>St. Mary's CE School (EN4)</v>
          </cell>
          <cell r="F73">
            <v>1358.15</v>
          </cell>
          <cell r="G73">
            <v>-5080.41</v>
          </cell>
          <cell r="H73">
            <v>132735.08</v>
          </cell>
          <cell r="K73">
            <v>132735.08</v>
          </cell>
        </row>
        <row r="74">
          <cell r="C74">
            <v>938320</v>
          </cell>
          <cell r="D74" t="str">
            <v>St. Mary's CE School (N3)</v>
          </cell>
          <cell r="F74">
            <v>3251.86</v>
          </cell>
          <cell r="G74">
            <v>-17066.64</v>
          </cell>
          <cell r="H74">
            <v>119660.58</v>
          </cell>
          <cell r="K74">
            <v>119660.58</v>
          </cell>
        </row>
        <row r="75">
          <cell r="C75">
            <v>938437</v>
          </cell>
          <cell r="D75" t="str">
            <v>St Marys &amp; St Johns Primary (NW4)</v>
          </cell>
          <cell r="F75">
            <v>7867.88</v>
          </cell>
          <cell r="G75">
            <v>5228.25</v>
          </cell>
          <cell r="H75">
            <v>116825.54</v>
          </cell>
          <cell r="K75">
            <v>116825.54</v>
          </cell>
        </row>
        <row r="76">
          <cell r="C76">
            <v>938330</v>
          </cell>
          <cell r="D76" t="str">
            <v>St Paul's CE School (N11)</v>
          </cell>
          <cell r="F76">
            <v>2435.49</v>
          </cell>
          <cell r="G76">
            <v>13023.84</v>
          </cell>
          <cell r="H76">
            <v>83075.51</v>
          </cell>
          <cell r="K76">
            <v>83075.51</v>
          </cell>
        </row>
        <row r="77">
          <cell r="C77">
            <v>938335</v>
          </cell>
          <cell r="D77" t="str">
            <v>St Paul's CE School (NW7)</v>
          </cell>
          <cell r="F77">
            <v>2842.44</v>
          </cell>
          <cell r="G77">
            <v>20434.26</v>
          </cell>
          <cell r="H77">
            <v>81337.34</v>
          </cell>
          <cell r="K77">
            <v>81337.33999999994</v>
          </cell>
        </row>
        <row r="78">
          <cell r="C78">
            <v>938380</v>
          </cell>
          <cell r="D78" t="str">
            <v>St. Theresa's RC School</v>
          </cell>
          <cell r="F78">
            <v>1631.31</v>
          </cell>
          <cell r="G78">
            <v>4037.48</v>
          </cell>
          <cell r="H78">
            <v>67113.07</v>
          </cell>
          <cell r="I78">
            <v>-41.94</v>
          </cell>
          <cell r="J78" t="str">
            <v>Adj P S.P 13</v>
          </cell>
          <cell r="K78">
            <v>67113.07000000008</v>
          </cell>
        </row>
        <row r="79">
          <cell r="C79">
            <v>938375</v>
          </cell>
          <cell r="D79" t="str">
            <v>St. Vincent's RC School</v>
          </cell>
          <cell r="F79">
            <v>1561.59</v>
          </cell>
          <cell r="G79">
            <v>-10916.63</v>
          </cell>
          <cell r="H79">
            <v>97920.07</v>
          </cell>
          <cell r="K79">
            <v>97920.07000000008</v>
          </cell>
        </row>
        <row r="80">
          <cell r="C80">
            <v>938200</v>
          </cell>
          <cell r="D80" t="str">
            <v>Summerside School </v>
          </cell>
          <cell r="F80">
            <v>5935.320000000001</v>
          </cell>
          <cell r="G80">
            <v>4276.7</v>
          </cell>
          <cell r="H80">
            <v>385304.02</v>
          </cell>
          <cell r="K80">
            <v>385304.02</v>
          </cell>
        </row>
        <row r="81">
          <cell r="C81">
            <v>938240</v>
          </cell>
          <cell r="D81" t="str">
            <v>Sunnyfields School</v>
          </cell>
          <cell r="F81">
            <v>2229.5</v>
          </cell>
          <cell r="G81">
            <v>-8290.51</v>
          </cell>
          <cell r="H81">
            <v>127793.31</v>
          </cell>
          <cell r="K81">
            <v>127793.31</v>
          </cell>
        </row>
        <row r="82">
          <cell r="C82">
            <v>938345</v>
          </cell>
          <cell r="D82" t="str">
            <v>Trent CE School</v>
          </cell>
          <cell r="F82">
            <v>1998.92</v>
          </cell>
          <cell r="G82">
            <v>5852.61</v>
          </cell>
          <cell r="H82">
            <v>47060.69</v>
          </cell>
          <cell r="K82">
            <v>47060.68999999993</v>
          </cell>
        </row>
        <row r="83">
          <cell r="C83">
            <v>938210</v>
          </cell>
          <cell r="D83" t="str">
            <v>Tudor School</v>
          </cell>
          <cell r="F83">
            <v>4467.45</v>
          </cell>
          <cell r="G83">
            <v>151.69</v>
          </cell>
          <cell r="H83">
            <v>60576.11</v>
          </cell>
          <cell r="J83">
            <v>244</v>
          </cell>
          <cell r="K83">
            <v>60576.11</v>
          </cell>
        </row>
        <row r="84">
          <cell r="C84">
            <v>938220</v>
          </cell>
          <cell r="D84" t="str">
            <v>Underhill Infant School</v>
          </cell>
          <cell r="F84">
            <v>6054.74</v>
          </cell>
          <cell r="G84">
            <v>2323.79</v>
          </cell>
          <cell r="H84">
            <v>47164.14</v>
          </cell>
          <cell r="J84" t="str">
            <v>2Adj P S.P 13</v>
          </cell>
          <cell r="K84">
            <v>47164.1399999998</v>
          </cell>
        </row>
        <row r="85">
          <cell r="C85">
            <v>938215</v>
          </cell>
          <cell r="D85" t="str">
            <v>Underhill Junior School</v>
          </cell>
          <cell r="F85">
            <v>2892.93</v>
          </cell>
          <cell r="G85">
            <v>-21772.13</v>
          </cell>
          <cell r="H85">
            <v>189450.3</v>
          </cell>
          <cell r="K85">
            <v>189450.3</v>
          </cell>
        </row>
        <row r="86">
          <cell r="C86">
            <v>938265</v>
          </cell>
          <cell r="D86" t="str">
            <v>Wessex Gardens School</v>
          </cell>
          <cell r="F86">
            <v>6505.5199999999995</v>
          </cell>
          <cell r="G86">
            <v>-8445.58</v>
          </cell>
          <cell r="H86">
            <v>230567.94</v>
          </cell>
          <cell r="J86" t="str">
            <v>Adj P S.P 13</v>
          </cell>
          <cell r="K86">
            <v>230567.94</v>
          </cell>
        </row>
        <row r="87">
          <cell r="C87">
            <v>938225</v>
          </cell>
          <cell r="D87" t="str">
            <v>Whitings Hill School</v>
          </cell>
          <cell r="F87">
            <v>8327.59</v>
          </cell>
          <cell r="G87">
            <v>-80954.19</v>
          </cell>
          <cell r="H87">
            <v>326484.07</v>
          </cell>
          <cell r="K87">
            <v>326484.07</v>
          </cell>
        </row>
        <row r="88">
          <cell r="C88">
            <v>938430</v>
          </cell>
          <cell r="D88" t="str">
            <v>Woodcroft Primary School</v>
          </cell>
          <cell r="F88">
            <v>6958.400000000001</v>
          </cell>
          <cell r="G88">
            <v>-41226.86</v>
          </cell>
          <cell r="H88">
            <v>220755.19</v>
          </cell>
          <cell r="K88">
            <v>220755.19</v>
          </cell>
        </row>
        <row r="89">
          <cell r="C89">
            <v>938205</v>
          </cell>
          <cell r="D89" t="str">
            <v>Woodridge School</v>
          </cell>
          <cell r="F89">
            <v>3731.53</v>
          </cell>
          <cell r="G89">
            <v>3723.11</v>
          </cell>
          <cell r="H89">
            <v>155771.47</v>
          </cell>
          <cell r="K89">
            <v>155771.47</v>
          </cell>
        </row>
        <row r="90">
          <cell r="C90">
            <v>938530</v>
          </cell>
          <cell r="D90" t="str">
            <v>Ashmole School</v>
          </cell>
          <cell r="F90">
            <v>14541.42</v>
          </cell>
          <cell r="G90">
            <v>324802.75</v>
          </cell>
          <cell r="H90">
            <v>103022.78</v>
          </cell>
          <cell r="J90" t="str">
            <v>Adj P S.P 13</v>
          </cell>
          <cell r="K90">
            <v>103022.78</v>
          </cell>
        </row>
        <row r="91">
          <cell r="C91">
            <v>938540</v>
          </cell>
          <cell r="D91" t="str">
            <v>Bishop Douglass RC High</v>
          </cell>
          <cell r="F91">
            <v>8232.84</v>
          </cell>
          <cell r="G91">
            <v>-405549.64</v>
          </cell>
          <cell r="H91">
            <v>633648.68</v>
          </cell>
          <cell r="K91">
            <v>633648.68</v>
          </cell>
        </row>
        <row r="92">
          <cell r="C92">
            <v>938465</v>
          </cell>
          <cell r="D92" t="str">
            <v>Christ's College </v>
          </cell>
          <cell r="F92">
            <v>17365.95</v>
          </cell>
          <cell r="G92">
            <v>-7287.83</v>
          </cell>
          <cell r="H92">
            <v>491256.21</v>
          </cell>
          <cell r="J92" t="str">
            <v>2Adj P S.P 13</v>
          </cell>
          <cell r="K92">
            <v>491256.21</v>
          </cell>
        </row>
        <row r="93">
          <cell r="C93">
            <v>938475</v>
          </cell>
          <cell r="D93" t="str">
            <v>The Compton School</v>
          </cell>
          <cell r="F93">
            <v>13054.880000000001</v>
          </cell>
          <cell r="G93">
            <v>-96171.64</v>
          </cell>
          <cell r="H93">
            <v>948021.44</v>
          </cell>
          <cell r="K93">
            <v>948021.44</v>
          </cell>
        </row>
        <row r="94">
          <cell r="C94">
            <v>938460</v>
          </cell>
          <cell r="D94" t="str">
            <v>Copthall School</v>
          </cell>
          <cell r="F94">
            <v>51921.53</v>
          </cell>
          <cell r="G94">
            <v>254974.18</v>
          </cell>
          <cell r="H94">
            <v>720342.79</v>
          </cell>
          <cell r="J94" t="str">
            <v>Adj P S.P 13</v>
          </cell>
          <cell r="K94">
            <v>720342.7899999991</v>
          </cell>
        </row>
        <row r="95">
          <cell r="C95">
            <v>938470</v>
          </cell>
          <cell r="D95" t="str">
            <v>East Barnet School</v>
          </cell>
          <cell r="F95">
            <v>20261.75</v>
          </cell>
          <cell r="G95">
            <v>276044.94</v>
          </cell>
          <cell r="H95">
            <v>605949.59</v>
          </cell>
          <cell r="K95">
            <v>605949.5900000005</v>
          </cell>
        </row>
        <row r="96">
          <cell r="C96">
            <v>938525</v>
          </cell>
          <cell r="D96" t="str">
            <v>Finchley Catholic High School</v>
          </cell>
          <cell r="F96">
            <v>27646.82</v>
          </cell>
          <cell r="G96">
            <v>310046.13</v>
          </cell>
          <cell r="H96">
            <v>281361.12</v>
          </cell>
          <cell r="K96">
            <v>281361.12</v>
          </cell>
        </row>
        <row r="97">
          <cell r="C97">
            <v>938440</v>
          </cell>
          <cell r="D97" t="str">
            <v>Friern Barnet School</v>
          </cell>
          <cell r="F97">
            <v>7422.3099999999995</v>
          </cell>
          <cell r="G97">
            <v>65555.37</v>
          </cell>
          <cell r="H97">
            <v>27338.17</v>
          </cell>
          <cell r="K97">
            <v>27338.170000000075</v>
          </cell>
        </row>
        <row r="98">
          <cell r="C98">
            <v>938545</v>
          </cell>
          <cell r="D98" t="str">
            <v>Hasmonean High School</v>
          </cell>
          <cell r="F98">
            <v>14842.03</v>
          </cell>
          <cell r="G98">
            <v>-234795.86</v>
          </cell>
          <cell r="H98">
            <v>252383.8</v>
          </cell>
          <cell r="K98">
            <v>252383.8</v>
          </cell>
        </row>
        <row r="99">
          <cell r="C99">
            <v>938500</v>
          </cell>
          <cell r="D99" t="str">
            <v>Hendon School</v>
          </cell>
          <cell r="F99">
            <v>17988.51</v>
          </cell>
          <cell r="G99">
            <v>112882.41</v>
          </cell>
          <cell r="H99">
            <v>250142.45</v>
          </cell>
          <cell r="J99" t="str">
            <v>Adj P S.</v>
          </cell>
          <cell r="K99">
            <v>250142.45</v>
          </cell>
        </row>
        <row r="100">
          <cell r="C100">
            <v>938485</v>
          </cell>
          <cell r="D100" t="str">
            <v>Henrietta Barnett School </v>
          </cell>
          <cell r="F100">
            <v>11219.75</v>
          </cell>
          <cell r="G100">
            <v>80216.39</v>
          </cell>
          <cell r="H100">
            <v>64428.89</v>
          </cell>
          <cell r="K100">
            <v>64428.89000000009</v>
          </cell>
        </row>
        <row r="101">
          <cell r="C101">
            <v>938548</v>
          </cell>
          <cell r="D101" t="str">
            <v>JCoSS</v>
          </cell>
          <cell r="F101">
            <v>4852.46</v>
          </cell>
          <cell r="G101">
            <v>57531.92</v>
          </cell>
          <cell r="H101">
            <v>4938.83</v>
          </cell>
          <cell r="K101">
            <v>4938.83</v>
          </cell>
        </row>
        <row r="102">
          <cell r="C102">
            <v>938510</v>
          </cell>
          <cell r="D102" t="str">
            <v>Mill Hill High School</v>
          </cell>
          <cell r="F102">
            <v>74882.21</v>
          </cell>
          <cell r="G102">
            <v>370642.77</v>
          </cell>
          <cell r="H102">
            <v>851099.75</v>
          </cell>
          <cell r="K102">
            <v>851099.75</v>
          </cell>
        </row>
        <row r="103">
          <cell r="C103">
            <v>938455</v>
          </cell>
          <cell r="D103" t="str">
            <v>Queen Elizabeth's Girls' School</v>
          </cell>
          <cell r="F103">
            <v>31355.07</v>
          </cell>
          <cell r="G103">
            <v>23256.92</v>
          </cell>
          <cell r="H103">
            <v>774154.19</v>
          </cell>
          <cell r="J103" t="str">
            <v>Adj P S.</v>
          </cell>
          <cell r="K103">
            <v>774154.19</v>
          </cell>
        </row>
        <row r="104">
          <cell r="C104">
            <v>938505</v>
          </cell>
          <cell r="D104" t="str">
            <v>Queen Elizabeth's School, Barnet</v>
          </cell>
          <cell r="F104">
            <v>18955.22</v>
          </cell>
          <cell r="G104">
            <v>59155.77</v>
          </cell>
          <cell r="H104">
            <v>176785.7</v>
          </cell>
          <cell r="J104" t="str">
            <v>Adj P S.P 13</v>
          </cell>
          <cell r="K104">
            <v>176785.7</v>
          </cell>
        </row>
        <row r="105">
          <cell r="C105">
            <v>938445</v>
          </cell>
          <cell r="D105" t="str">
            <v>Ravenscroft School</v>
          </cell>
          <cell r="F105">
            <v>35527.46</v>
          </cell>
          <cell r="G105">
            <v>7245.77</v>
          </cell>
          <cell r="H105">
            <v>923950.54</v>
          </cell>
          <cell r="J105" t="str">
            <v>Adj P S.P 13</v>
          </cell>
          <cell r="K105">
            <v>923950.54</v>
          </cell>
        </row>
        <row r="106">
          <cell r="C106">
            <v>938535</v>
          </cell>
          <cell r="D106" t="str">
            <v>St James' Catholic High School</v>
          </cell>
          <cell r="F106">
            <v>12933.480000000001</v>
          </cell>
          <cell r="G106">
            <v>68153.09</v>
          </cell>
          <cell r="H106">
            <v>270914.07</v>
          </cell>
          <cell r="K106">
            <v>270914.07</v>
          </cell>
        </row>
        <row r="107">
          <cell r="C107">
            <v>938515</v>
          </cell>
          <cell r="D107" t="str">
            <v>St Mary's CE High School</v>
          </cell>
          <cell r="F107">
            <v>9442.9</v>
          </cell>
          <cell r="G107">
            <v>9717.79</v>
          </cell>
          <cell r="H107">
            <v>578839.41</v>
          </cell>
          <cell r="J107" t="str">
            <v>Adj P S.P 13</v>
          </cell>
          <cell r="K107">
            <v>578839.41</v>
          </cell>
        </row>
        <row r="108">
          <cell r="C108">
            <v>938520</v>
          </cell>
          <cell r="D108" t="str">
            <v>St. Michael's Catholic Grammar School</v>
          </cell>
          <cell r="F108">
            <v>4773.26</v>
          </cell>
          <cell r="G108">
            <v>68251.33</v>
          </cell>
          <cell r="H108">
            <v>76448.53</v>
          </cell>
          <cell r="K108">
            <v>76448.53000000012</v>
          </cell>
        </row>
        <row r="109">
          <cell r="C109">
            <v>938450</v>
          </cell>
          <cell r="D109" t="str">
            <v>Whitefield School</v>
          </cell>
          <cell r="F109">
            <v>13657.43</v>
          </cell>
          <cell r="G109">
            <v>-237762.98</v>
          </cell>
          <cell r="H109">
            <v>808840.31</v>
          </cell>
          <cell r="K109">
            <v>808840.31</v>
          </cell>
        </row>
        <row r="110">
          <cell r="C110">
            <v>938575</v>
          </cell>
          <cell r="D110" t="str">
            <v>Mapledown School</v>
          </cell>
          <cell r="F110">
            <v>2512.34</v>
          </cell>
          <cell r="G110">
            <v>-65007.91</v>
          </cell>
          <cell r="H110">
            <v>484969.78</v>
          </cell>
          <cell r="J110" t="str">
            <v>Adj P S.P 13</v>
          </cell>
          <cell r="K110">
            <v>484969.78</v>
          </cell>
        </row>
        <row r="111">
          <cell r="C111">
            <v>938565</v>
          </cell>
          <cell r="D111" t="str">
            <v>Northway School</v>
          </cell>
          <cell r="F111">
            <v>2035.25</v>
          </cell>
          <cell r="G111">
            <v>-4154.04</v>
          </cell>
          <cell r="H111">
            <v>200765.18</v>
          </cell>
          <cell r="K111">
            <v>200765.18</v>
          </cell>
        </row>
        <row r="112">
          <cell r="C112">
            <v>938570</v>
          </cell>
          <cell r="D112" t="str">
            <v>Oakleigh School</v>
          </cell>
          <cell r="F112">
            <v>4011.9100000000003</v>
          </cell>
          <cell r="G112">
            <v>-68099.52</v>
          </cell>
          <cell r="H112">
            <v>410728.2</v>
          </cell>
          <cell r="K112">
            <v>410728.2</v>
          </cell>
        </row>
        <row r="113">
          <cell r="C113">
            <v>938560</v>
          </cell>
          <cell r="D113" t="str">
            <v>Oak Lodge School</v>
          </cell>
          <cell r="F113">
            <v>25002.65</v>
          </cell>
          <cell r="G113">
            <v>101953.41</v>
          </cell>
          <cell r="H113">
            <v>160856.61</v>
          </cell>
          <cell r="K113">
            <v>160856.61</v>
          </cell>
        </row>
        <row r="114">
          <cell r="C114">
            <v>938000</v>
          </cell>
          <cell r="D114" t="str">
            <v>Brookhill Nursery School</v>
          </cell>
          <cell r="F114">
            <v>3254.4</v>
          </cell>
          <cell r="G114">
            <v>14792.04</v>
          </cell>
          <cell r="H114">
            <v>190620.59</v>
          </cell>
          <cell r="J114" t="str">
            <v>2 Adj P S.</v>
          </cell>
          <cell r="K114">
            <v>190620.59</v>
          </cell>
        </row>
        <row r="115">
          <cell r="C115">
            <v>938005</v>
          </cell>
          <cell r="D115" t="str">
            <v>Hampden Way Nursery School</v>
          </cell>
          <cell r="F115">
            <v>1311.69</v>
          </cell>
          <cell r="G115">
            <v>-8760.58</v>
          </cell>
          <cell r="H115">
            <v>166733.3</v>
          </cell>
          <cell r="J115" t="str">
            <v>Adj P S.</v>
          </cell>
          <cell r="K115">
            <v>166733.3</v>
          </cell>
        </row>
        <row r="116">
          <cell r="C116">
            <v>938010</v>
          </cell>
          <cell r="D116" t="str">
            <v>Moss Hall Nursery School</v>
          </cell>
          <cell r="F116">
            <v>3216.61</v>
          </cell>
          <cell r="G116">
            <v>4566.81</v>
          </cell>
          <cell r="H116">
            <v>226651.76</v>
          </cell>
          <cell r="J116" t="str">
            <v>Adj P S.P 13</v>
          </cell>
          <cell r="K116">
            <v>226651.76</v>
          </cell>
        </row>
        <row r="117">
          <cell r="C117">
            <v>938015</v>
          </cell>
          <cell r="D117" t="str">
            <v>St Margaret's Nursery School</v>
          </cell>
          <cell r="F117">
            <v>1531.15</v>
          </cell>
          <cell r="G117">
            <v>-2076.94</v>
          </cell>
          <cell r="H117">
            <v>153639.13</v>
          </cell>
          <cell r="K117">
            <v>153639.13</v>
          </cell>
        </row>
        <row r="118">
          <cell r="D118" t="str">
            <v>TOTAL</v>
          </cell>
          <cell r="E118">
            <v>0</v>
          </cell>
          <cell r="F118">
            <v>884988.3800000001</v>
          </cell>
          <cell r="G118">
            <v>1193011.0400000003</v>
          </cell>
          <cell r="H118">
            <v>23829685.609999996</v>
          </cell>
          <cell r="I118">
            <v>-30.159999999999997</v>
          </cell>
          <cell r="J118">
            <v>-4485.5</v>
          </cell>
          <cell r="K118">
            <v>23829685.609999996</v>
          </cell>
        </row>
        <row r="120">
          <cell r="C120">
            <v>115</v>
          </cell>
          <cell r="D120">
            <v>0</v>
          </cell>
          <cell r="E120" t="str">
            <v>outstanding</v>
          </cell>
          <cell r="F120" t="str">
            <v>outstanding</v>
          </cell>
        </row>
        <row r="121">
          <cell r="D121">
            <v>115</v>
          </cell>
          <cell r="E121" t="str">
            <v>posted</v>
          </cell>
          <cell r="F121" t="str">
            <v>posted</v>
          </cell>
          <cell r="K121">
            <v>0</v>
          </cell>
        </row>
        <row r="124">
          <cell r="J124" t="str">
            <v>PERIOD 13        FINAL MARCH ADJUSTMENTS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 A B = S A P."/>
      <sheetName val="PERIOD 7. OCT."/>
      <sheetName val="11.11.2010. S A P."/>
    </sheetNames>
    <sheetDataSet>
      <sheetData sheetId="1">
        <row r="2">
          <cell r="A2">
            <v>938000</v>
          </cell>
          <cell r="B2" t="str">
            <v>Total</v>
          </cell>
          <cell r="I2">
            <v>162126.7</v>
          </cell>
        </row>
        <row r="3">
          <cell r="A3">
            <v>938005</v>
          </cell>
          <cell r="B3" t="str">
            <v>Total</v>
          </cell>
          <cell r="I3">
            <v>176910.89</v>
          </cell>
        </row>
        <row r="4">
          <cell r="A4">
            <v>938010</v>
          </cell>
          <cell r="B4" t="str">
            <v>Total</v>
          </cell>
          <cell r="I4">
            <v>160992.62</v>
          </cell>
        </row>
        <row r="5">
          <cell r="A5">
            <v>938015</v>
          </cell>
          <cell r="B5" t="str">
            <v>Total</v>
          </cell>
          <cell r="I5">
            <v>148232.88</v>
          </cell>
        </row>
        <row r="6">
          <cell r="A6">
            <v>938020</v>
          </cell>
          <cell r="B6" t="str">
            <v>Total</v>
          </cell>
          <cell r="I6">
            <v>22031.840000000062</v>
          </cell>
        </row>
        <row r="7">
          <cell r="A7">
            <v>938025</v>
          </cell>
          <cell r="B7" t="str">
            <v>Total</v>
          </cell>
          <cell r="I7">
            <v>294262.52</v>
          </cell>
        </row>
        <row r="8">
          <cell r="A8">
            <v>938030</v>
          </cell>
          <cell r="B8" t="str">
            <v>Total</v>
          </cell>
          <cell r="I8">
            <v>292181.2</v>
          </cell>
        </row>
        <row r="9">
          <cell r="A9">
            <v>938035</v>
          </cell>
          <cell r="B9" t="str">
            <v>Total</v>
          </cell>
          <cell r="I9">
            <v>205195.79</v>
          </cell>
        </row>
        <row r="10">
          <cell r="A10">
            <v>938040</v>
          </cell>
          <cell r="B10" t="str">
            <v>Total</v>
          </cell>
          <cell r="I10">
            <v>248226.13</v>
          </cell>
        </row>
        <row r="11">
          <cell r="A11">
            <v>938045</v>
          </cell>
          <cell r="B11" t="str">
            <v>Total</v>
          </cell>
          <cell r="I11">
            <v>198490.32</v>
          </cell>
        </row>
        <row r="12">
          <cell r="A12">
            <v>938050</v>
          </cell>
          <cell r="B12" t="str">
            <v>Total</v>
          </cell>
          <cell r="I12">
            <v>446613.95</v>
          </cell>
        </row>
        <row r="13">
          <cell r="A13">
            <v>938055</v>
          </cell>
          <cell r="B13" t="str">
            <v>Total</v>
          </cell>
          <cell r="I13">
            <v>128304.98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401690.73</v>
          </cell>
        </row>
        <row r="17">
          <cell r="A17">
            <v>938075</v>
          </cell>
          <cell r="B17" t="str">
            <v>Total</v>
          </cell>
          <cell r="I17">
            <v>326217.92</v>
          </cell>
        </row>
        <row r="18">
          <cell r="A18">
            <v>938080</v>
          </cell>
          <cell r="B18" t="str">
            <v>Total</v>
          </cell>
          <cell r="I18">
            <v>91369.8800000001</v>
          </cell>
        </row>
        <row r="19">
          <cell r="A19">
            <v>938085</v>
          </cell>
          <cell r="B19" t="str">
            <v>Total</v>
          </cell>
          <cell r="I19">
            <v>150854.45</v>
          </cell>
        </row>
        <row r="20">
          <cell r="A20">
            <v>938090</v>
          </cell>
          <cell r="B20" t="str">
            <v>Total</v>
          </cell>
          <cell r="I20">
            <v>365210.84</v>
          </cell>
        </row>
        <row r="21">
          <cell r="A21">
            <v>938095</v>
          </cell>
          <cell r="B21" t="str">
            <v>Total</v>
          </cell>
          <cell r="I21">
            <v>136020.35</v>
          </cell>
        </row>
        <row r="22">
          <cell r="A22">
            <v>938100</v>
          </cell>
          <cell r="B22" t="str">
            <v>Total</v>
          </cell>
          <cell r="I22">
            <v>193358.77</v>
          </cell>
        </row>
        <row r="23">
          <cell r="A23">
            <v>938105</v>
          </cell>
          <cell r="B23" t="str">
            <v>Total</v>
          </cell>
          <cell r="I23">
            <v>244345.66</v>
          </cell>
        </row>
        <row r="24">
          <cell r="A24">
            <v>938110</v>
          </cell>
          <cell r="B24" t="str">
            <v>Total</v>
          </cell>
          <cell r="I24">
            <v>239947.23</v>
          </cell>
        </row>
        <row r="25">
          <cell r="A25">
            <v>938115</v>
          </cell>
          <cell r="B25" t="str">
            <v>Total</v>
          </cell>
          <cell r="I25">
            <v>242841.6</v>
          </cell>
        </row>
        <row r="26">
          <cell r="A26">
            <v>938120</v>
          </cell>
          <cell r="B26" t="str">
            <v>Total</v>
          </cell>
          <cell r="I26">
            <v>208378.07</v>
          </cell>
        </row>
        <row r="27">
          <cell r="A27">
            <v>938125</v>
          </cell>
          <cell r="B27" t="str">
            <v>Total</v>
          </cell>
          <cell r="I27">
            <v>325844.54</v>
          </cell>
        </row>
        <row r="28">
          <cell r="A28">
            <v>938130</v>
          </cell>
          <cell r="B28" t="str">
            <v>Total</v>
          </cell>
          <cell r="I28">
            <v>144877.67</v>
          </cell>
        </row>
        <row r="29">
          <cell r="A29">
            <v>938135</v>
          </cell>
          <cell r="B29" t="str">
            <v>Total</v>
          </cell>
          <cell r="I29">
            <v>68538.32</v>
          </cell>
        </row>
        <row r="30">
          <cell r="A30">
            <v>938140</v>
          </cell>
          <cell r="B30" t="str">
            <v>Total</v>
          </cell>
          <cell r="I30">
            <v>218667.24</v>
          </cell>
        </row>
        <row r="31">
          <cell r="A31">
            <v>938145</v>
          </cell>
          <cell r="B31" t="str">
            <v>Total</v>
          </cell>
          <cell r="I31">
            <v>114800.59</v>
          </cell>
        </row>
        <row r="32">
          <cell r="A32">
            <v>938150</v>
          </cell>
          <cell r="B32" t="str">
            <v>Total</v>
          </cell>
          <cell r="I32">
            <v>88650.68999999989</v>
          </cell>
        </row>
        <row r="33">
          <cell r="A33">
            <v>938155</v>
          </cell>
          <cell r="B33" t="str">
            <v>Total</v>
          </cell>
          <cell r="I33">
            <v>130262.41</v>
          </cell>
        </row>
        <row r="34">
          <cell r="A34">
            <v>938160</v>
          </cell>
          <cell r="B34" t="str">
            <v>Total</v>
          </cell>
          <cell r="I34">
            <v>224061.38</v>
          </cell>
        </row>
        <row r="35">
          <cell r="A35">
            <v>938165</v>
          </cell>
          <cell r="B35" t="str">
            <v>Total</v>
          </cell>
          <cell r="I35">
            <v>198077.41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4.729372449219227E-11</v>
          </cell>
        </row>
        <row r="38">
          <cell r="A38">
            <v>938180</v>
          </cell>
          <cell r="B38" t="str">
            <v>Total</v>
          </cell>
          <cell r="I38">
            <v>160413.39</v>
          </cell>
        </row>
        <row r="39">
          <cell r="A39">
            <v>938185</v>
          </cell>
          <cell r="B39" t="str">
            <v>Total</v>
          </cell>
          <cell r="I39">
            <v>188163.72</v>
          </cell>
        </row>
        <row r="40">
          <cell r="A40">
            <v>938190</v>
          </cell>
          <cell r="B40" t="str">
            <v>Total</v>
          </cell>
          <cell r="I40">
            <v>117786.62</v>
          </cell>
        </row>
        <row r="41">
          <cell r="A41">
            <v>938195</v>
          </cell>
          <cell r="B41" t="str">
            <v>Total</v>
          </cell>
          <cell r="I41">
            <v>226528.65</v>
          </cell>
        </row>
        <row r="42">
          <cell r="A42">
            <v>938200</v>
          </cell>
          <cell r="B42" t="str">
            <v>Total</v>
          </cell>
          <cell r="I42">
            <v>313272.55</v>
          </cell>
        </row>
        <row r="43">
          <cell r="A43">
            <v>938205</v>
          </cell>
          <cell r="B43" t="str">
            <v>Total</v>
          </cell>
          <cell r="I43">
            <v>191459.18</v>
          </cell>
        </row>
        <row r="44">
          <cell r="A44">
            <v>938210</v>
          </cell>
          <cell r="B44" t="str">
            <v>Total</v>
          </cell>
          <cell r="I44">
            <v>101307.18</v>
          </cell>
        </row>
        <row r="45">
          <cell r="A45">
            <v>938215</v>
          </cell>
          <cell r="B45" t="str">
            <v>Total</v>
          </cell>
          <cell r="I45">
            <v>173270.8</v>
          </cell>
        </row>
        <row r="46">
          <cell r="A46">
            <v>938220</v>
          </cell>
          <cell r="B46" t="str">
            <v>Total</v>
          </cell>
          <cell r="I46">
            <v>129176.75</v>
          </cell>
        </row>
        <row r="47">
          <cell r="A47">
            <v>938225</v>
          </cell>
          <cell r="B47" t="str">
            <v>Total</v>
          </cell>
          <cell r="I47">
            <v>409284.59</v>
          </cell>
        </row>
        <row r="48">
          <cell r="A48">
            <v>938230</v>
          </cell>
          <cell r="B48" t="str">
            <v>Total</v>
          </cell>
          <cell r="I48">
            <v>2.1827872842550278E-10</v>
          </cell>
        </row>
        <row r="49">
          <cell r="A49">
            <v>938235</v>
          </cell>
          <cell r="B49" t="str">
            <v>Total</v>
          </cell>
          <cell r="I49">
            <v>204705.65</v>
          </cell>
        </row>
        <row r="50">
          <cell r="A50">
            <v>938240</v>
          </cell>
          <cell r="B50" t="str">
            <v>Total</v>
          </cell>
          <cell r="I50">
            <v>135197.45</v>
          </cell>
        </row>
        <row r="51">
          <cell r="A51">
            <v>938245</v>
          </cell>
          <cell r="B51" t="str">
            <v>Total</v>
          </cell>
          <cell r="I51">
            <v>81497.76</v>
          </cell>
        </row>
        <row r="52">
          <cell r="A52">
            <v>938250</v>
          </cell>
          <cell r="B52" t="str">
            <v>Total</v>
          </cell>
          <cell r="I52">
            <v>260489.09</v>
          </cell>
        </row>
        <row r="53">
          <cell r="A53">
            <v>938255</v>
          </cell>
          <cell r="B53" t="str">
            <v>Total</v>
          </cell>
          <cell r="I53">
            <v>351871.09</v>
          </cell>
        </row>
        <row r="54">
          <cell r="A54">
            <v>938260</v>
          </cell>
          <cell r="B54" t="str">
            <v>Total</v>
          </cell>
          <cell r="I54">
            <v>393566.62</v>
          </cell>
        </row>
        <row r="55">
          <cell r="A55">
            <v>938265</v>
          </cell>
          <cell r="B55" t="str">
            <v>Total</v>
          </cell>
          <cell r="I55">
            <v>320857.51</v>
          </cell>
        </row>
        <row r="56">
          <cell r="A56">
            <v>938270</v>
          </cell>
          <cell r="B56" t="str">
            <v>Total</v>
          </cell>
          <cell r="I56">
            <v>161961.1</v>
          </cell>
        </row>
        <row r="57">
          <cell r="A57">
            <v>938275</v>
          </cell>
          <cell r="B57" t="str">
            <v>Total</v>
          </cell>
          <cell r="I57">
            <v>-3461.49</v>
          </cell>
        </row>
        <row r="58">
          <cell r="A58">
            <v>938280</v>
          </cell>
          <cell r="B58" t="str">
            <v>Total</v>
          </cell>
          <cell r="I58">
            <v>2634.8000000000065</v>
          </cell>
        </row>
        <row r="59">
          <cell r="A59">
            <v>938282</v>
          </cell>
          <cell r="B59" t="str">
            <v>Total</v>
          </cell>
          <cell r="I59">
            <v>97302.93000000008</v>
          </cell>
        </row>
        <row r="60">
          <cell r="A60">
            <v>938285</v>
          </cell>
          <cell r="B60" t="str">
            <v>Total</v>
          </cell>
          <cell r="I60">
            <v>128389.21</v>
          </cell>
        </row>
        <row r="61">
          <cell r="A61">
            <v>938290</v>
          </cell>
          <cell r="B61" t="str">
            <v>Total</v>
          </cell>
          <cell r="I61">
            <v>124147.07</v>
          </cell>
        </row>
        <row r="62">
          <cell r="A62">
            <v>938295</v>
          </cell>
          <cell r="B62" t="str">
            <v>Total</v>
          </cell>
          <cell r="I62">
            <v>60078.98</v>
          </cell>
        </row>
        <row r="63">
          <cell r="A63">
            <v>938300</v>
          </cell>
          <cell r="B63" t="str">
            <v>Total</v>
          </cell>
          <cell r="I63">
            <v>142887.55</v>
          </cell>
        </row>
        <row r="64">
          <cell r="A64">
            <v>938305</v>
          </cell>
          <cell r="B64" t="str">
            <v>Total</v>
          </cell>
          <cell r="I64">
            <v>8.114398042380344E-12</v>
          </cell>
        </row>
        <row r="65">
          <cell r="A65">
            <v>938310</v>
          </cell>
          <cell r="B65" t="str">
            <v>Total</v>
          </cell>
          <cell r="I65">
            <v>171795.5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199527.98</v>
          </cell>
        </row>
        <row r="68">
          <cell r="A68">
            <v>938325</v>
          </cell>
          <cell r="B68" t="str">
            <v>Total</v>
          </cell>
          <cell r="I68">
            <v>122580.55</v>
          </cell>
        </row>
        <row r="69">
          <cell r="A69">
            <v>938330</v>
          </cell>
          <cell r="B69" t="str">
            <v>Total</v>
          </cell>
          <cell r="I69">
            <v>138755.46</v>
          </cell>
        </row>
        <row r="70">
          <cell r="A70">
            <v>938335</v>
          </cell>
          <cell r="B70" t="str">
            <v>Total</v>
          </cell>
          <cell r="I70">
            <v>150771.58</v>
          </cell>
        </row>
        <row r="71">
          <cell r="A71">
            <v>938340</v>
          </cell>
          <cell r="B71" t="str">
            <v>Total</v>
          </cell>
          <cell r="I71">
            <v>38956.42</v>
          </cell>
        </row>
        <row r="72">
          <cell r="A72">
            <v>938345</v>
          </cell>
          <cell r="B72" t="str">
            <v>Total</v>
          </cell>
          <cell r="I72">
            <v>73253.54999999993</v>
          </cell>
        </row>
        <row r="73">
          <cell r="A73">
            <v>938350</v>
          </cell>
          <cell r="B73" t="str">
            <v>Total</v>
          </cell>
          <cell r="I73">
            <v>123370.02</v>
          </cell>
        </row>
        <row r="74">
          <cell r="A74">
            <v>938355</v>
          </cell>
          <cell r="B74" t="str">
            <v>Total</v>
          </cell>
          <cell r="I74">
            <v>148595.08</v>
          </cell>
        </row>
        <row r="75">
          <cell r="A75">
            <v>938360</v>
          </cell>
          <cell r="B75" t="str">
            <v>Total</v>
          </cell>
          <cell r="I75">
            <v>128094.56</v>
          </cell>
        </row>
        <row r="76">
          <cell r="A76">
            <v>938365</v>
          </cell>
          <cell r="B76" t="str">
            <v>Total</v>
          </cell>
          <cell r="I76">
            <v>221700.36</v>
          </cell>
        </row>
        <row r="77">
          <cell r="A77">
            <v>938370</v>
          </cell>
          <cell r="B77" t="str">
            <v>Total</v>
          </cell>
          <cell r="I77">
            <v>172982.05</v>
          </cell>
        </row>
        <row r="78">
          <cell r="A78">
            <v>938375</v>
          </cell>
          <cell r="B78" t="str">
            <v>Total</v>
          </cell>
          <cell r="I78">
            <v>150215.23</v>
          </cell>
        </row>
        <row r="79">
          <cell r="A79">
            <v>938380</v>
          </cell>
          <cell r="B79" t="str">
            <v>Total</v>
          </cell>
          <cell r="I79">
            <v>94586.2700000001</v>
          </cell>
        </row>
        <row r="80">
          <cell r="A80">
            <v>938385</v>
          </cell>
          <cell r="B80" t="str">
            <v>Total</v>
          </cell>
          <cell r="I80">
            <v>48642.71</v>
          </cell>
        </row>
        <row r="81">
          <cell r="A81">
            <v>938390</v>
          </cell>
          <cell r="B81" t="str">
            <v>Total</v>
          </cell>
          <cell r="I81">
            <v>106049.3</v>
          </cell>
        </row>
        <row r="82">
          <cell r="A82">
            <v>938395</v>
          </cell>
          <cell r="B82" t="str">
            <v>Total</v>
          </cell>
          <cell r="I82">
            <v>214647.06</v>
          </cell>
        </row>
        <row r="83">
          <cell r="A83">
            <v>938400</v>
          </cell>
          <cell r="B83" t="str">
            <v>Total</v>
          </cell>
          <cell r="I83">
            <v>110420.55</v>
          </cell>
        </row>
        <row r="84">
          <cell r="A84">
            <v>938405</v>
          </cell>
          <cell r="B84" t="str">
            <v>Total</v>
          </cell>
          <cell r="I84">
            <v>198229.05</v>
          </cell>
        </row>
        <row r="85">
          <cell r="A85">
            <v>938410</v>
          </cell>
          <cell r="B85" t="str">
            <v>Total</v>
          </cell>
          <cell r="I85">
            <v>96167.75000000015</v>
          </cell>
        </row>
        <row r="86">
          <cell r="A86">
            <v>938415</v>
          </cell>
          <cell r="B86" t="str">
            <v>Total</v>
          </cell>
          <cell r="I86">
            <v>91824.59999999985</v>
          </cell>
        </row>
        <row r="87">
          <cell r="A87">
            <v>938420</v>
          </cell>
          <cell r="B87" t="str">
            <v>Total</v>
          </cell>
          <cell r="I87">
            <v>43523.38</v>
          </cell>
        </row>
        <row r="88">
          <cell r="A88">
            <v>938425</v>
          </cell>
          <cell r="B88" t="str">
            <v>Total</v>
          </cell>
          <cell r="I88">
            <v>2558.5699999999742</v>
          </cell>
        </row>
        <row r="89">
          <cell r="A89">
            <v>938430</v>
          </cell>
          <cell r="B89" t="str">
            <v>Total</v>
          </cell>
          <cell r="I89">
            <v>220714.23</v>
          </cell>
        </row>
        <row r="90">
          <cell r="A90">
            <v>938435</v>
          </cell>
          <cell r="B90" t="str">
            <v>Total</v>
          </cell>
          <cell r="I90">
            <v>268165.38</v>
          </cell>
        </row>
        <row r="91">
          <cell r="A91">
            <v>938437</v>
          </cell>
          <cell r="B91" t="str">
            <v>Total</v>
          </cell>
          <cell r="I91">
            <v>198012.84</v>
          </cell>
        </row>
        <row r="92">
          <cell r="A92">
            <v>938438</v>
          </cell>
          <cell r="B92" t="str">
            <v>Total</v>
          </cell>
          <cell r="I92">
            <v>140790.25</v>
          </cell>
        </row>
        <row r="93">
          <cell r="A93">
            <v>938440</v>
          </cell>
          <cell r="B93" t="str">
            <v>Total</v>
          </cell>
          <cell r="I93">
            <v>232765.17</v>
          </cell>
        </row>
        <row r="94">
          <cell r="A94">
            <v>938445</v>
          </cell>
          <cell r="B94" t="str">
            <v>Total</v>
          </cell>
          <cell r="I94">
            <v>1307226.19</v>
          </cell>
        </row>
        <row r="95">
          <cell r="A95">
            <v>938450</v>
          </cell>
          <cell r="B95" t="str">
            <v>Total</v>
          </cell>
          <cell r="I95">
            <v>666329.09</v>
          </cell>
        </row>
        <row r="96">
          <cell r="A96">
            <v>938455</v>
          </cell>
          <cell r="B96" t="str">
            <v>Total</v>
          </cell>
          <cell r="I96">
            <v>567601.84</v>
          </cell>
        </row>
        <row r="97">
          <cell r="A97">
            <v>938460</v>
          </cell>
          <cell r="B97" t="str">
            <v>Total</v>
          </cell>
          <cell r="I97">
            <v>926639.4599999991</v>
          </cell>
        </row>
        <row r="98">
          <cell r="A98">
            <v>938465</v>
          </cell>
          <cell r="B98" t="str">
            <v>Total</v>
          </cell>
          <cell r="I98">
            <v>435054.96</v>
          </cell>
        </row>
        <row r="99">
          <cell r="A99">
            <v>938470</v>
          </cell>
          <cell r="B99" t="str">
            <v>Total</v>
          </cell>
          <cell r="I99">
            <v>744620.0500000006</v>
          </cell>
        </row>
        <row r="100">
          <cell r="A100">
            <v>938475</v>
          </cell>
          <cell r="B100" t="str">
            <v>Total</v>
          </cell>
          <cell r="I100">
            <v>557484.22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137107.1</v>
          </cell>
        </row>
        <row r="103">
          <cell r="A103">
            <v>938490</v>
          </cell>
          <cell r="B103" t="str">
            <v>Total</v>
          </cell>
          <cell r="I103">
            <v>34550.59</v>
          </cell>
        </row>
        <row r="104">
          <cell r="A104">
            <v>938495</v>
          </cell>
          <cell r="B104" t="str">
            <v>Total</v>
          </cell>
          <cell r="I104">
            <v>252721.15</v>
          </cell>
        </row>
        <row r="105">
          <cell r="A105">
            <v>938500</v>
          </cell>
          <cell r="B105" t="str">
            <v>Total</v>
          </cell>
          <cell r="I105">
            <v>604441.36</v>
          </cell>
        </row>
        <row r="106">
          <cell r="A106">
            <v>938505</v>
          </cell>
          <cell r="B106" t="str">
            <v>Total</v>
          </cell>
          <cell r="I106">
            <v>310683.04</v>
          </cell>
        </row>
        <row r="107">
          <cell r="A107">
            <v>938510</v>
          </cell>
          <cell r="B107" t="str">
            <v>Total</v>
          </cell>
          <cell r="I107">
            <v>977984.6</v>
          </cell>
        </row>
        <row r="108">
          <cell r="A108">
            <v>938515</v>
          </cell>
          <cell r="B108" t="str">
            <v>Total</v>
          </cell>
          <cell r="I108">
            <v>314631.36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187323.57</v>
          </cell>
        </row>
        <row r="111">
          <cell r="A111">
            <v>938525</v>
          </cell>
          <cell r="B111" t="str">
            <v>Total</v>
          </cell>
          <cell r="I111">
            <v>1043630.77</v>
          </cell>
        </row>
        <row r="112">
          <cell r="A112">
            <v>938530</v>
          </cell>
          <cell r="B112" t="str">
            <v>Total</v>
          </cell>
          <cell r="I112">
            <v>286851.92</v>
          </cell>
        </row>
        <row r="113">
          <cell r="A113">
            <v>938535</v>
          </cell>
          <cell r="B113" t="str">
            <v>Total</v>
          </cell>
          <cell r="I113">
            <v>509115.41</v>
          </cell>
        </row>
        <row r="114">
          <cell r="A114">
            <v>938540</v>
          </cell>
          <cell r="B114" t="str">
            <v>Total</v>
          </cell>
          <cell r="I114">
            <v>220898.8</v>
          </cell>
        </row>
        <row r="115">
          <cell r="A115">
            <v>938545</v>
          </cell>
          <cell r="B115" t="str">
            <v>Total</v>
          </cell>
          <cell r="I115">
            <v>8298.780000000013</v>
          </cell>
        </row>
        <row r="116">
          <cell r="A116">
            <v>938548</v>
          </cell>
          <cell r="B116" t="str">
            <v>Total</v>
          </cell>
          <cell r="I116">
            <v>406933.97</v>
          </cell>
        </row>
        <row r="117">
          <cell r="A117">
            <v>938550</v>
          </cell>
          <cell r="B117" t="str">
            <v>Total</v>
          </cell>
          <cell r="I117">
            <v>59558.649999999936</v>
          </cell>
        </row>
        <row r="118">
          <cell r="A118">
            <v>938555</v>
          </cell>
          <cell r="B118" t="str">
            <v>Total</v>
          </cell>
          <cell r="I118">
            <v>1281.99</v>
          </cell>
        </row>
        <row r="119">
          <cell r="A119">
            <v>938560</v>
          </cell>
          <cell r="B119" t="str">
            <v>Total</v>
          </cell>
          <cell r="I119">
            <v>76299.70999999992</v>
          </cell>
        </row>
        <row r="120">
          <cell r="A120">
            <v>938565</v>
          </cell>
          <cell r="B120" t="str">
            <v>Total</v>
          </cell>
          <cell r="I120">
            <v>212266.33</v>
          </cell>
        </row>
        <row r="121">
          <cell r="A121">
            <v>938570</v>
          </cell>
          <cell r="B121" t="str">
            <v>Total</v>
          </cell>
          <cell r="I121">
            <v>494382.86</v>
          </cell>
        </row>
        <row r="122">
          <cell r="A122">
            <v>938575</v>
          </cell>
          <cell r="B122" t="str">
            <v>Total</v>
          </cell>
          <cell r="I122">
            <v>290662.35</v>
          </cell>
        </row>
        <row r="123">
          <cell r="A123">
            <v>938580</v>
          </cell>
          <cell r="B123" t="str">
            <v>Total</v>
          </cell>
          <cell r="I123">
            <v>376755.73</v>
          </cell>
        </row>
        <row r="124">
          <cell r="A124">
            <v>938585</v>
          </cell>
          <cell r="B124" t="str">
            <v>Total</v>
          </cell>
          <cell r="I124">
            <v>200238.88</v>
          </cell>
        </row>
        <row r="125">
          <cell r="I125">
            <v>27189644.500000007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 A P = BANK REC"/>
      <sheetName val="period 8. nov"/>
      <sheetName val="10.12.10"/>
    </sheetNames>
    <sheetDataSet>
      <sheetData sheetId="1">
        <row r="2">
          <cell r="A2">
            <v>938000</v>
          </cell>
          <cell r="B2" t="str">
            <v>Total</v>
          </cell>
          <cell r="I2">
            <v>148478.05</v>
          </cell>
        </row>
        <row r="3">
          <cell r="A3">
            <v>938005</v>
          </cell>
          <cell r="B3" t="str">
            <v>Total</v>
          </cell>
          <cell r="I3">
            <v>171861.7</v>
          </cell>
        </row>
        <row r="4">
          <cell r="A4">
            <v>938010</v>
          </cell>
          <cell r="B4" t="str">
            <v>Total</v>
          </cell>
          <cell r="I4">
            <v>162846.42</v>
          </cell>
        </row>
        <row r="5">
          <cell r="A5">
            <v>938015</v>
          </cell>
          <cell r="B5" t="str">
            <v>Total</v>
          </cell>
          <cell r="I5">
            <v>145914.35</v>
          </cell>
        </row>
        <row r="6">
          <cell r="A6">
            <v>938020</v>
          </cell>
          <cell r="B6" t="str">
            <v>Total</v>
          </cell>
          <cell r="I6">
            <v>1893.720000000063</v>
          </cell>
        </row>
        <row r="7">
          <cell r="A7">
            <v>938025</v>
          </cell>
          <cell r="B7" t="str">
            <v>Total</v>
          </cell>
          <cell r="I7">
            <v>244215.79</v>
          </cell>
        </row>
        <row r="8">
          <cell r="A8">
            <v>938030</v>
          </cell>
          <cell r="B8" t="str">
            <v>Total</v>
          </cell>
          <cell r="I8">
            <v>308257.33</v>
          </cell>
        </row>
        <row r="9">
          <cell r="A9">
            <v>938035</v>
          </cell>
          <cell r="B9" t="str">
            <v>Total</v>
          </cell>
          <cell r="I9">
            <v>201076.28</v>
          </cell>
        </row>
        <row r="10">
          <cell r="A10">
            <v>938040</v>
          </cell>
          <cell r="B10" t="str">
            <v>Total</v>
          </cell>
          <cell r="I10">
            <v>214391.04</v>
          </cell>
        </row>
        <row r="11">
          <cell r="A11">
            <v>938045</v>
          </cell>
          <cell r="B11" t="str">
            <v>Total</v>
          </cell>
          <cell r="I11">
            <v>188292.86</v>
          </cell>
        </row>
        <row r="12">
          <cell r="A12">
            <v>938050</v>
          </cell>
          <cell r="B12" t="str">
            <v>Total</v>
          </cell>
          <cell r="I12">
            <v>410737.73</v>
          </cell>
        </row>
        <row r="13">
          <cell r="A13">
            <v>938055</v>
          </cell>
          <cell r="B13" t="str">
            <v>Total</v>
          </cell>
          <cell r="I13">
            <v>100446.48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446958.57</v>
          </cell>
        </row>
        <row r="17">
          <cell r="A17">
            <v>938075</v>
          </cell>
          <cell r="B17" t="str">
            <v>Total</v>
          </cell>
          <cell r="I17">
            <v>272973.09</v>
          </cell>
        </row>
        <row r="18">
          <cell r="A18">
            <v>938080</v>
          </cell>
          <cell r="B18" t="str">
            <v>Total</v>
          </cell>
          <cell r="I18">
            <v>96212.7500000001</v>
          </cell>
        </row>
        <row r="19">
          <cell r="A19">
            <v>938085</v>
          </cell>
          <cell r="B19" t="str">
            <v>Total</v>
          </cell>
          <cell r="I19">
            <v>140681.91</v>
          </cell>
        </row>
        <row r="20">
          <cell r="A20">
            <v>938090</v>
          </cell>
          <cell r="B20" t="str">
            <v>Total</v>
          </cell>
          <cell r="I20">
            <v>205603.86</v>
          </cell>
        </row>
        <row r="21">
          <cell r="A21">
            <v>938095</v>
          </cell>
          <cell r="B21" t="str">
            <v>Total</v>
          </cell>
          <cell r="I21">
            <v>133496.78</v>
          </cell>
        </row>
        <row r="22">
          <cell r="A22">
            <v>938100</v>
          </cell>
          <cell r="B22" t="str">
            <v>Total</v>
          </cell>
          <cell r="I22">
            <v>163971.15</v>
          </cell>
        </row>
        <row r="23">
          <cell r="A23">
            <v>938105</v>
          </cell>
          <cell r="B23" t="str">
            <v>Total</v>
          </cell>
          <cell r="I23">
            <v>202668.13</v>
          </cell>
        </row>
        <row r="24">
          <cell r="A24">
            <v>938110</v>
          </cell>
          <cell r="B24" t="str">
            <v>Total</v>
          </cell>
          <cell r="I24">
            <v>225771.87</v>
          </cell>
        </row>
        <row r="25">
          <cell r="A25">
            <v>938115</v>
          </cell>
          <cell r="B25" t="str">
            <v>Total</v>
          </cell>
          <cell r="I25">
            <v>217105.06</v>
          </cell>
        </row>
        <row r="26">
          <cell r="A26">
            <v>938120</v>
          </cell>
          <cell r="B26" t="str">
            <v>Total</v>
          </cell>
          <cell r="I26">
            <v>209145.71</v>
          </cell>
        </row>
        <row r="27">
          <cell r="A27">
            <v>938125</v>
          </cell>
          <cell r="B27" t="str">
            <v>Total</v>
          </cell>
          <cell r="I27">
            <v>283124.34</v>
          </cell>
        </row>
        <row r="28">
          <cell r="A28">
            <v>938130</v>
          </cell>
          <cell r="B28" t="str">
            <v>Total</v>
          </cell>
          <cell r="I28">
            <v>131836.49</v>
          </cell>
        </row>
        <row r="29">
          <cell r="A29">
            <v>938135</v>
          </cell>
          <cell r="B29" t="str">
            <v>Total</v>
          </cell>
          <cell r="I29">
            <v>88320.16</v>
          </cell>
        </row>
        <row r="30">
          <cell r="A30">
            <v>938140</v>
          </cell>
          <cell r="B30" t="str">
            <v>Total</v>
          </cell>
          <cell r="I30">
            <v>228788.73</v>
          </cell>
        </row>
        <row r="31">
          <cell r="A31">
            <v>938145</v>
          </cell>
          <cell r="B31" t="str">
            <v>Total</v>
          </cell>
          <cell r="I31">
            <v>113055.47</v>
          </cell>
        </row>
        <row r="32">
          <cell r="A32">
            <v>938150</v>
          </cell>
          <cell r="B32" t="str">
            <v>Total</v>
          </cell>
          <cell r="I32">
            <v>79084.53999999989</v>
          </cell>
        </row>
        <row r="33">
          <cell r="A33">
            <v>938155</v>
          </cell>
          <cell r="B33" t="str">
            <v>Total</v>
          </cell>
          <cell r="I33">
            <v>71164.45000000007</v>
          </cell>
        </row>
        <row r="34">
          <cell r="A34">
            <v>938160</v>
          </cell>
          <cell r="B34" t="str">
            <v>Total</v>
          </cell>
          <cell r="I34">
            <v>194252.22</v>
          </cell>
        </row>
        <row r="35">
          <cell r="A35">
            <v>938165</v>
          </cell>
          <cell r="B35" t="str">
            <v>Total</v>
          </cell>
          <cell r="I35">
            <v>192266.98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4.729372449219227E-11</v>
          </cell>
        </row>
        <row r="38">
          <cell r="A38">
            <v>938180</v>
          </cell>
          <cell r="B38" t="str">
            <v>Total</v>
          </cell>
          <cell r="I38">
            <v>170814.42</v>
          </cell>
        </row>
        <row r="39">
          <cell r="A39">
            <v>938185</v>
          </cell>
          <cell r="B39" t="str">
            <v>Total</v>
          </cell>
          <cell r="I39">
            <v>129380.29</v>
          </cell>
        </row>
        <row r="40">
          <cell r="A40">
            <v>938190</v>
          </cell>
          <cell r="B40" t="str">
            <v>Total</v>
          </cell>
          <cell r="I40">
            <v>112897.13</v>
          </cell>
        </row>
        <row r="41">
          <cell r="A41">
            <v>938195</v>
          </cell>
          <cell r="B41" t="str">
            <v>Total</v>
          </cell>
          <cell r="I41">
            <v>192762.12</v>
          </cell>
        </row>
        <row r="42">
          <cell r="A42">
            <v>938200</v>
          </cell>
          <cell r="B42" t="str">
            <v>Total</v>
          </cell>
          <cell r="I42">
            <v>285501.72</v>
          </cell>
        </row>
        <row r="43">
          <cell r="A43">
            <v>938205</v>
          </cell>
          <cell r="B43" t="str">
            <v>Total</v>
          </cell>
          <cell r="I43">
            <v>182631.06</v>
          </cell>
        </row>
        <row r="44">
          <cell r="A44">
            <v>938210</v>
          </cell>
          <cell r="B44" t="str">
            <v>Total</v>
          </cell>
          <cell r="I44">
            <v>85420.68000000005</v>
          </cell>
        </row>
        <row r="45">
          <cell r="A45">
            <v>938215</v>
          </cell>
          <cell r="B45" t="str">
            <v>Total</v>
          </cell>
          <cell r="I45">
            <v>154547.43</v>
          </cell>
        </row>
        <row r="46">
          <cell r="A46">
            <v>938220</v>
          </cell>
          <cell r="B46" t="str">
            <v>Total</v>
          </cell>
          <cell r="I46">
            <v>67819.4599999998</v>
          </cell>
        </row>
        <row r="47">
          <cell r="A47">
            <v>938225</v>
          </cell>
          <cell r="B47" t="str">
            <v>Total</v>
          </cell>
          <cell r="I47">
            <v>400085.31</v>
          </cell>
        </row>
        <row r="48">
          <cell r="A48">
            <v>938230</v>
          </cell>
          <cell r="B48" t="str">
            <v>Total</v>
          </cell>
          <cell r="I48">
            <v>2.1827872842550278E-10</v>
          </cell>
        </row>
        <row r="49">
          <cell r="A49">
            <v>938235</v>
          </cell>
          <cell r="B49" t="str">
            <v>Total</v>
          </cell>
          <cell r="I49">
            <v>190274.81</v>
          </cell>
        </row>
        <row r="50">
          <cell r="A50">
            <v>938240</v>
          </cell>
          <cell r="B50" t="str">
            <v>Total</v>
          </cell>
          <cell r="I50">
            <v>130328.77</v>
          </cell>
        </row>
        <row r="51">
          <cell r="A51">
            <v>938245</v>
          </cell>
          <cell r="B51" t="str">
            <v>Total</v>
          </cell>
          <cell r="I51">
            <v>63158.08</v>
          </cell>
        </row>
        <row r="52">
          <cell r="A52">
            <v>938250</v>
          </cell>
          <cell r="B52" t="str">
            <v>Total</v>
          </cell>
          <cell r="I52">
            <v>232812.57</v>
          </cell>
        </row>
        <row r="53">
          <cell r="A53">
            <v>938255</v>
          </cell>
          <cell r="B53" t="str">
            <v>Total</v>
          </cell>
          <cell r="I53">
            <v>335888.51</v>
          </cell>
        </row>
        <row r="54">
          <cell r="A54">
            <v>938260</v>
          </cell>
          <cell r="B54" t="str">
            <v>Total</v>
          </cell>
          <cell r="I54">
            <v>372404.97</v>
          </cell>
        </row>
        <row r="55">
          <cell r="A55">
            <v>938265</v>
          </cell>
          <cell r="B55" t="str">
            <v>Total</v>
          </cell>
          <cell r="I55">
            <v>307853.26</v>
          </cell>
        </row>
        <row r="56">
          <cell r="A56">
            <v>938270</v>
          </cell>
          <cell r="B56" t="str">
            <v>Total</v>
          </cell>
          <cell r="I56">
            <v>122471.12</v>
          </cell>
        </row>
        <row r="57">
          <cell r="A57">
            <v>938275</v>
          </cell>
          <cell r="B57" t="str">
            <v>Total</v>
          </cell>
          <cell r="I57">
            <v>-866.9300000000021</v>
          </cell>
        </row>
        <row r="58">
          <cell r="A58">
            <v>938280</v>
          </cell>
          <cell r="B58" t="str">
            <v>Total</v>
          </cell>
          <cell r="I58">
            <v>5465.240000000006</v>
          </cell>
        </row>
        <row r="59">
          <cell r="A59">
            <v>938282</v>
          </cell>
          <cell r="B59" t="str">
            <v>Total</v>
          </cell>
          <cell r="I59">
            <v>77558.35000000008</v>
          </cell>
        </row>
        <row r="60">
          <cell r="A60">
            <v>938285</v>
          </cell>
          <cell r="B60" t="str">
            <v>Total</v>
          </cell>
          <cell r="I60">
            <v>133269.3</v>
          </cell>
        </row>
        <row r="61">
          <cell r="A61">
            <v>938290</v>
          </cell>
          <cell r="B61" t="str">
            <v>Total</v>
          </cell>
          <cell r="I61">
            <v>113729.63</v>
          </cell>
        </row>
        <row r="62">
          <cell r="A62">
            <v>938295</v>
          </cell>
          <cell r="B62" t="str">
            <v>Total</v>
          </cell>
          <cell r="I62">
            <v>52766.29</v>
          </cell>
        </row>
        <row r="63">
          <cell r="A63">
            <v>938300</v>
          </cell>
          <cell r="B63" t="str">
            <v>Total</v>
          </cell>
          <cell r="I63">
            <v>142494.28</v>
          </cell>
        </row>
        <row r="64">
          <cell r="A64">
            <v>938305</v>
          </cell>
          <cell r="B64" t="str">
            <v>Total</v>
          </cell>
          <cell r="I64">
            <v>8.114398042380344E-12</v>
          </cell>
        </row>
        <row r="65">
          <cell r="A65">
            <v>938310</v>
          </cell>
          <cell r="B65" t="str">
            <v>Total</v>
          </cell>
          <cell r="I65">
            <v>176086.62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181141.63</v>
          </cell>
        </row>
        <row r="68">
          <cell r="A68">
            <v>938325</v>
          </cell>
          <cell r="B68" t="str">
            <v>Total</v>
          </cell>
          <cell r="I68">
            <v>140948.68</v>
          </cell>
        </row>
        <row r="69">
          <cell r="A69">
            <v>938330</v>
          </cell>
          <cell r="B69" t="str">
            <v>Total</v>
          </cell>
          <cell r="I69">
            <v>131854.97</v>
          </cell>
        </row>
        <row r="70">
          <cell r="A70">
            <v>938335</v>
          </cell>
          <cell r="B70" t="str">
            <v>Total</v>
          </cell>
          <cell r="I70">
            <v>165795.69</v>
          </cell>
        </row>
        <row r="71">
          <cell r="A71">
            <v>938340</v>
          </cell>
          <cell r="B71" t="str">
            <v>Total</v>
          </cell>
          <cell r="I71">
            <v>55284.03</v>
          </cell>
        </row>
        <row r="72">
          <cell r="A72">
            <v>938345</v>
          </cell>
          <cell r="B72" t="str">
            <v>Total</v>
          </cell>
          <cell r="I72">
            <v>61519.34999999993</v>
          </cell>
        </row>
        <row r="73">
          <cell r="A73">
            <v>938350</v>
          </cell>
          <cell r="B73" t="str">
            <v>Total</v>
          </cell>
          <cell r="I73">
            <v>106717.56</v>
          </cell>
        </row>
        <row r="74">
          <cell r="A74">
            <v>938355</v>
          </cell>
          <cell r="B74" t="str">
            <v>Total</v>
          </cell>
          <cell r="I74">
            <v>142369.24</v>
          </cell>
        </row>
        <row r="75">
          <cell r="A75">
            <v>938360</v>
          </cell>
          <cell r="B75" t="str">
            <v>Total</v>
          </cell>
          <cell r="I75">
            <v>127415.59</v>
          </cell>
        </row>
        <row r="76">
          <cell r="A76">
            <v>938365</v>
          </cell>
          <cell r="B76" t="str">
            <v>Total</v>
          </cell>
          <cell r="I76">
            <v>200968.85</v>
          </cell>
        </row>
        <row r="77">
          <cell r="A77">
            <v>938370</v>
          </cell>
          <cell r="B77" t="str">
            <v>Total</v>
          </cell>
          <cell r="I77">
            <v>173070.63</v>
          </cell>
        </row>
        <row r="78">
          <cell r="A78">
            <v>938375</v>
          </cell>
          <cell r="B78" t="str">
            <v>Total</v>
          </cell>
          <cell r="I78">
            <v>72338.11000000007</v>
          </cell>
        </row>
        <row r="79">
          <cell r="A79">
            <v>938380</v>
          </cell>
          <cell r="B79" t="str">
            <v>Total</v>
          </cell>
          <cell r="I79">
            <v>85488.43000000011</v>
          </cell>
        </row>
        <row r="80">
          <cell r="A80">
            <v>938385</v>
          </cell>
          <cell r="B80" t="str">
            <v>Total</v>
          </cell>
          <cell r="I80">
            <v>37431.33</v>
          </cell>
        </row>
        <row r="81">
          <cell r="A81">
            <v>938390</v>
          </cell>
          <cell r="B81" t="str">
            <v>Total</v>
          </cell>
          <cell r="I81">
            <v>95488.13000000005</v>
          </cell>
        </row>
        <row r="82">
          <cell r="A82">
            <v>938395</v>
          </cell>
          <cell r="B82" t="str">
            <v>Total</v>
          </cell>
          <cell r="I82">
            <v>195634.36</v>
          </cell>
        </row>
        <row r="83">
          <cell r="A83">
            <v>938400</v>
          </cell>
          <cell r="B83" t="str">
            <v>Total</v>
          </cell>
          <cell r="I83">
            <v>100224.69</v>
          </cell>
        </row>
        <row r="84">
          <cell r="A84">
            <v>938405</v>
          </cell>
          <cell r="B84" t="str">
            <v>Total</v>
          </cell>
          <cell r="I84">
            <v>216805.27</v>
          </cell>
        </row>
        <row r="85">
          <cell r="A85">
            <v>938410</v>
          </cell>
          <cell r="B85" t="str">
            <v>Total</v>
          </cell>
          <cell r="I85">
            <v>106534.55</v>
          </cell>
        </row>
        <row r="86">
          <cell r="A86">
            <v>938415</v>
          </cell>
          <cell r="B86" t="str">
            <v>Total</v>
          </cell>
          <cell r="I86">
            <v>51883.059999999845</v>
          </cell>
        </row>
        <row r="87">
          <cell r="A87">
            <v>938420</v>
          </cell>
          <cell r="B87" t="str">
            <v>Total</v>
          </cell>
          <cell r="I87">
            <v>39089.11</v>
          </cell>
        </row>
        <row r="88">
          <cell r="A88">
            <v>938425</v>
          </cell>
          <cell r="B88" t="str">
            <v>Total</v>
          </cell>
          <cell r="I88">
            <v>-1537.8900000000249</v>
          </cell>
        </row>
        <row r="89">
          <cell r="A89">
            <v>938430</v>
          </cell>
          <cell r="B89" t="str">
            <v>Total</v>
          </cell>
          <cell r="I89">
            <v>192692.76</v>
          </cell>
        </row>
        <row r="90">
          <cell r="A90">
            <v>938435</v>
          </cell>
          <cell r="B90" t="str">
            <v>Total</v>
          </cell>
          <cell r="I90">
            <v>245272.24</v>
          </cell>
        </row>
        <row r="91">
          <cell r="A91">
            <v>938437</v>
          </cell>
          <cell r="B91" t="str">
            <v>Total</v>
          </cell>
          <cell r="I91">
            <v>167584.69</v>
          </cell>
        </row>
        <row r="92">
          <cell r="A92">
            <v>938438</v>
          </cell>
          <cell r="B92" t="str">
            <v>Total</v>
          </cell>
          <cell r="I92">
            <v>76466.59999999992</v>
          </cell>
        </row>
        <row r="93">
          <cell r="A93">
            <v>938440</v>
          </cell>
          <cell r="B93" t="str">
            <v>Total</v>
          </cell>
          <cell r="I93">
            <v>164111.66</v>
          </cell>
        </row>
        <row r="94">
          <cell r="A94">
            <v>938445</v>
          </cell>
          <cell r="B94" t="str">
            <v>Total</v>
          </cell>
          <cell r="I94">
            <v>1148643.81</v>
          </cell>
        </row>
        <row r="95">
          <cell r="A95">
            <v>938450</v>
          </cell>
          <cell r="B95" t="str">
            <v>Total</v>
          </cell>
          <cell r="I95">
            <v>589010.2</v>
          </cell>
        </row>
        <row r="96">
          <cell r="A96">
            <v>938455</v>
          </cell>
          <cell r="B96" t="str">
            <v>Total</v>
          </cell>
          <cell r="I96">
            <v>401326.25</v>
          </cell>
        </row>
        <row r="97">
          <cell r="A97">
            <v>938460</v>
          </cell>
          <cell r="B97" t="str">
            <v>Total</v>
          </cell>
          <cell r="I97">
            <v>807308.8599999992</v>
          </cell>
        </row>
        <row r="98">
          <cell r="A98">
            <v>938465</v>
          </cell>
          <cell r="B98" t="str">
            <v>Total</v>
          </cell>
          <cell r="I98">
            <v>291267.21</v>
          </cell>
        </row>
        <row r="99">
          <cell r="A99">
            <v>938470</v>
          </cell>
          <cell r="B99" t="str">
            <v>Total</v>
          </cell>
          <cell r="I99">
            <v>681964.5500000006</v>
          </cell>
        </row>
        <row r="100">
          <cell r="A100">
            <v>938475</v>
          </cell>
          <cell r="B100" t="str">
            <v>Total</v>
          </cell>
          <cell r="I100">
            <v>368856.04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81685.13000000006</v>
          </cell>
        </row>
        <row r="103">
          <cell r="A103">
            <v>938490</v>
          </cell>
          <cell r="B103" t="str">
            <v>Total</v>
          </cell>
          <cell r="I103">
            <v>30183.46</v>
          </cell>
        </row>
        <row r="104">
          <cell r="A104">
            <v>938495</v>
          </cell>
          <cell r="B104" t="str">
            <v>Total</v>
          </cell>
          <cell r="I104">
            <v>132780.05</v>
          </cell>
        </row>
        <row r="105">
          <cell r="A105">
            <v>938500</v>
          </cell>
          <cell r="B105" t="str">
            <v>Total</v>
          </cell>
          <cell r="I105">
            <v>556738.15</v>
          </cell>
        </row>
        <row r="106">
          <cell r="A106">
            <v>938505</v>
          </cell>
          <cell r="B106" t="str">
            <v>Total</v>
          </cell>
          <cell r="I106">
            <v>157146.14</v>
          </cell>
        </row>
        <row r="107">
          <cell r="A107">
            <v>938510</v>
          </cell>
          <cell r="B107" t="str">
            <v>Total</v>
          </cell>
          <cell r="I107">
            <v>871331.26</v>
          </cell>
        </row>
        <row r="108">
          <cell r="A108">
            <v>938515</v>
          </cell>
          <cell r="B108" t="str">
            <v>Total</v>
          </cell>
          <cell r="I108">
            <v>258204.15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165466.74</v>
          </cell>
        </row>
        <row r="111">
          <cell r="A111">
            <v>938525</v>
          </cell>
          <cell r="B111" t="str">
            <v>Total</v>
          </cell>
          <cell r="I111">
            <v>989087.26</v>
          </cell>
        </row>
        <row r="112">
          <cell r="A112">
            <v>938530</v>
          </cell>
          <cell r="B112" t="str">
            <v>Total</v>
          </cell>
          <cell r="I112">
            <v>402914.49</v>
          </cell>
        </row>
        <row r="113">
          <cell r="A113">
            <v>938535</v>
          </cell>
          <cell r="B113" t="str">
            <v>Total</v>
          </cell>
          <cell r="I113">
            <v>404739.88</v>
          </cell>
        </row>
        <row r="114">
          <cell r="A114">
            <v>938540</v>
          </cell>
          <cell r="B114" t="str">
            <v>Total</v>
          </cell>
          <cell r="I114">
            <v>140412.99</v>
          </cell>
        </row>
        <row r="115">
          <cell r="A115">
            <v>938545</v>
          </cell>
          <cell r="B115" t="str">
            <v>Total</v>
          </cell>
          <cell r="I115">
            <v>7012.180000000011</v>
          </cell>
        </row>
        <row r="116">
          <cell r="A116">
            <v>938548</v>
          </cell>
          <cell r="B116" t="str">
            <v>Total</v>
          </cell>
          <cell r="I116">
            <v>516216.06</v>
          </cell>
        </row>
        <row r="117">
          <cell r="A117">
            <v>938550</v>
          </cell>
          <cell r="B117" t="str">
            <v>Total</v>
          </cell>
          <cell r="I117">
            <v>61511.579999999936</v>
          </cell>
        </row>
        <row r="118">
          <cell r="A118">
            <v>938555</v>
          </cell>
          <cell r="B118" t="str">
            <v>Total</v>
          </cell>
          <cell r="I118">
            <v>18482.87</v>
          </cell>
        </row>
        <row r="119">
          <cell r="A119">
            <v>938560</v>
          </cell>
          <cell r="B119" t="str">
            <v>Total</v>
          </cell>
          <cell r="I119">
            <v>46001.41999999992</v>
          </cell>
        </row>
        <row r="120">
          <cell r="A120">
            <v>938565</v>
          </cell>
          <cell r="B120" t="str">
            <v>Total</v>
          </cell>
          <cell r="I120">
            <v>198074.31</v>
          </cell>
        </row>
        <row r="121">
          <cell r="A121">
            <v>938570</v>
          </cell>
          <cell r="B121" t="str">
            <v>Total</v>
          </cell>
          <cell r="I121">
            <v>478097.73</v>
          </cell>
        </row>
        <row r="122">
          <cell r="A122">
            <v>938575</v>
          </cell>
          <cell r="B122" t="str">
            <v>Total</v>
          </cell>
          <cell r="I122">
            <v>260537.84</v>
          </cell>
        </row>
        <row r="123">
          <cell r="A123">
            <v>938580</v>
          </cell>
          <cell r="B123" t="str">
            <v>Total</v>
          </cell>
          <cell r="I123">
            <v>194840.79</v>
          </cell>
        </row>
        <row r="124">
          <cell r="A124">
            <v>938585</v>
          </cell>
          <cell r="B124" t="str">
            <v>Total</v>
          </cell>
          <cell r="I124">
            <v>200047.53</v>
          </cell>
        </row>
        <row r="125">
          <cell r="I125">
            <v>24024930.749999985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 A B = S A P "/>
      <sheetName val="DEC. PERIOD.9"/>
      <sheetName val="S A P .12.01.11."/>
    </sheetNames>
    <sheetDataSet>
      <sheetData sheetId="1">
        <row r="1">
          <cell r="A1" t="str">
            <v>Account</v>
          </cell>
          <cell r="B1" t="str">
            <v>Cost Ctr</v>
          </cell>
          <cell r="C1" t="str">
            <v>Assignment</v>
          </cell>
          <cell r="D1" t="str">
            <v>DocumentNo</v>
          </cell>
          <cell r="E1" t="str">
            <v>Document Header Text</v>
          </cell>
          <cell r="F1" t="str">
            <v>Reference</v>
          </cell>
          <cell r="G1" t="str">
            <v>Text</v>
          </cell>
          <cell r="H1" t="str">
            <v>Doc. Date</v>
          </cell>
          <cell r="I1" t="str">
            <v>Amt in loc.cur.</v>
          </cell>
        </row>
        <row r="2">
          <cell r="A2">
            <v>938000</v>
          </cell>
          <cell r="B2" t="str">
            <v>Total</v>
          </cell>
          <cell r="I2">
            <v>151850.98</v>
          </cell>
        </row>
        <row r="3">
          <cell r="A3">
            <v>938005</v>
          </cell>
          <cell r="B3" t="str">
            <v>Total</v>
          </cell>
          <cell r="I3">
            <v>151376.83</v>
          </cell>
        </row>
        <row r="4">
          <cell r="A4">
            <v>938010</v>
          </cell>
          <cell r="B4" t="str">
            <v>Total</v>
          </cell>
          <cell r="I4">
            <v>168368.67</v>
          </cell>
        </row>
        <row r="5">
          <cell r="A5">
            <v>938015</v>
          </cell>
          <cell r="B5" t="str">
            <v>Total</v>
          </cell>
          <cell r="I5">
            <v>144488.41</v>
          </cell>
        </row>
        <row r="6">
          <cell r="A6">
            <v>938020</v>
          </cell>
          <cell r="B6" t="str">
            <v>Total</v>
          </cell>
          <cell r="I6">
            <v>44659.95000000006</v>
          </cell>
        </row>
        <row r="7">
          <cell r="A7">
            <v>938025</v>
          </cell>
          <cell r="B7" t="str">
            <v>Total</v>
          </cell>
          <cell r="I7">
            <v>215436.71</v>
          </cell>
        </row>
        <row r="8">
          <cell r="A8">
            <v>938030</v>
          </cell>
          <cell r="B8" t="str">
            <v>Total</v>
          </cell>
          <cell r="I8">
            <v>294451.81</v>
          </cell>
        </row>
        <row r="9">
          <cell r="A9">
            <v>938035</v>
          </cell>
          <cell r="B9" t="str">
            <v>Total</v>
          </cell>
          <cell r="I9">
            <v>160614.27</v>
          </cell>
        </row>
        <row r="10">
          <cell r="A10">
            <v>938040</v>
          </cell>
          <cell r="B10" t="str">
            <v>Total</v>
          </cell>
          <cell r="I10">
            <v>197381.7</v>
          </cell>
        </row>
        <row r="11">
          <cell r="A11">
            <v>938045</v>
          </cell>
          <cell r="B11" t="str">
            <v>Total</v>
          </cell>
          <cell r="I11">
            <v>178034.33</v>
          </cell>
        </row>
        <row r="12">
          <cell r="A12">
            <v>938050</v>
          </cell>
          <cell r="B12" t="str">
            <v>Total</v>
          </cell>
          <cell r="I12">
            <v>407573.36</v>
          </cell>
        </row>
        <row r="13">
          <cell r="A13">
            <v>938055</v>
          </cell>
          <cell r="B13" t="str">
            <v>Total</v>
          </cell>
          <cell r="I13">
            <v>116880.66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444661.7</v>
          </cell>
        </row>
        <row r="17">
          <cell r="A17">
            <v>938075</v>
          </cell>
          <cell r="B17" t="str">
            <v>Total</v>
          </cell>
          <cell r="I17">
            <v>344726.74</v>
          </cell>
        </row>
        <row r="18">
          <cell r="A18">
            <v>938080</v>
          </cell>
          <cell r="B18" t="str">
            <v>Total</v>
          </cell>
          <cell r="I18">
            <v>90429.9100000001</v>
          </cell>
        </row>
        <row r="19">
          <cell r="A19">
            <v>938085</v>
          </cell>
          <cell r="B19" t="str">
            <v>Total</v>
          </cell>
          <cell r="I19">
            <v>131316.73</v>
          </cell>
        </row>
        <row r="20">
          <cell r="A20">
            <v>938090</v>
          </cell>
          <cell r="B20" t="str">
            <v>Total</v>
          </cell>
          <cell r="I20">
            <v>233270.12</v>
          </cell>
        </row>
        <row r="21">
          <cell r="A21">
            <v>938095</v>
          </cell>
          <cell r="B21" t="str">
            <v>Total</v>
          </cell>
          <cell r="I21">
            <v>106699.53</v>
          </cell>
        </row>
        <row r="22">
          <cell r="A22">
            <v>938100</v>
          </cell>
          <cell r="B22" t="str">
            <v>Total</v>
          </cell>
          <cell r="I22">
            <v>160337.28</v>
          </cell>
        </row>
        <row r="23">
          <cell r="A23">
            <v>938105</v>
          </cell>
          <cell r="B23" t="str">
            <v>Total</v>
          </cell>
          <cell r="I23">
            <v>184680.04</v>
          </cell>
        </row>
        <row r="24">
          <cell r="A24">
            <v>938110</v>
          </cell>
          <cell r="B24" t="str">
            <v>Total</v>
          </cell>
          <cell r="I24">
            <v>271635.69</v>
          </cell>
        </row>
        <row r="25">
          <cell r="A25">
            <v>938115</v>
          </cell>
          <cell r="B25" t="str">
            <v>Total</v>
          </cell>
          <cell r="I25">
            <v>244929.41</v>
          </cell>
        </row>
        <row r="26">
          <cell r="A26">
            <v>938120</v>
          </cell>
          <cell r="B26" t="str">
            <v>Total</v>
          </cell>
          <cell r="I26">
            <v>203843.27</v>
          </cell>
        </row>
        <row r="27">
          <cell r="A27">
            <v>938125</v>
          </cell>
          <cell r="B27" t="str">
            <v>Total</v>
          </cell>
          <cell r="I27">
            <v>245929.48</v>
          </cell>
        </row>
        <row r="28">
          <cell r="A28">
            <v>938130</v>
          </cell>
          <cell r="B28" t="str">
            <v>Total</v>
          </cell>
          <cell r="I28">
            <v>121820.56</v>
          </cell>
        </row>
        <row r="29">
          <cell r="A29">
            <v>938135</v>
          </cell>
          <cell r="B29" t="str">
            <v>Total</v>
          </cell>
          <cell r="I29">
            <v>82437.65</v>
          </cell>
        </row>
        <row r="30">
          <cell r="A30">
            <v>938140</v>
          </cell>
          <cell r="B30" t="str">
            <v>Total</v>
          </cell>
          <cell r="I30">
            <v>233932.49</v>
          </cell>
        </row>
        <row r="31">
          <cell r="A31">
            <v>938145</v>
          </cell>
          <cell r="B31" t="str">
            <v>Total</v>
          </cell>
          <cell r="I31">
            <v>113032.97</v>
          </cell>
        </row>
        <row r="32">
          <cell r="A32">
            <v>938150</v>
          </cell>
          <cell r="B32" t="str">
            <v>Total</v>
          </cell>
          <cell r="I32">
            <v>91932.9799999999</v>
          </cell>
        </row>
        <row r="33">
          <cell r="A33">
            <v>938155</v>
          </cell>
          <cell r="B33" t="str">
            <v>Total</v>
          </cell>
          <cell r="I33">
            <v>84462.07000000007</v>
          </cell>
        </row>
        <row r="34">
          <cell r="A34">
            <v>938160</v>
          </cell>
          <cell r="B34" t="str">
            <v>Total</v>
          </cell>
          <cell r="I34">
            <v>204052.62</v>
          </cell>
        </row>
        <row r="35">
          <cell r="A35">
            <v>938165</v>
          </cell>
          <cell r="B35" t="str">
            <v>Total</v>
          </cell>
          <cell r="I35">
            <v>186251.7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4.729372449219227E-11</v>
          </cell>
        </row>
        <row r="38">
          <cell r="A38">
            <v>938180</v>
          </cell>
          <cell r="B38" t="str">
            <v>Total</v>
          </cell>
          <cell r="I38">
            <v>172266.87</v>
          </cell>
        </row>
        <row r="39">
          <cell r="A39">
            <v>938185</v>
          </cell>
          <cell r="B39" t="str">
            <v>Total</v>
          </cell>
          <cell r="I39">
            <v>111472.35</v>
          </cell>
        </row>
        <row r="40">
          <cell r="A40">
            <v>938190</v>
          </cell>
          <cell r="B40" t="str">
            <v>Total</v>
          </cell>
          <cell r="I40">
            <v>108617.08</v>
          </cell>
        </row>
        <row r="41">
          <cell r="A41">
            <v>938195</v>
          </cell>
          <cell r="B41" t="str">
            <v>Total</v>
          </cell>
          <cell r="I41">
            <v>187478.81</v>
          </cell>
        </row>
        <row r="42">
          <cell r="A42">
            <v>938200</v>
          </cell>
          <cell r="B42" t="str">
            <v>Total</v>
          </cell>
          <cell r="I42">
            <v>342877.28</v>
          </cell>
        </row>
        <row r="43">
          <cell r="A43">
            <v>938205</v>
          </cell>
          <cell r="B43" t="str">
            <v>Total</v>
          </cell>
          <cell r="I43">
            <v>197822.03</v>
          </cell>
        </row>
        <row r="44">
          <cell r="A44">
            <v>938210</v>
          </cell>
          <cell r="B44" t="str">
            <v>Total</v>
          </cell>
          <cell r="I44">
            <v>98744.89000000006</v>
          </cell>
        </row>
        <row r="45">
          <cell r="A45">
            <v>938215</v>
          </cell>
          <cell r="B45" t="str">
            <v>Total</v>
          </cell>
          <cell r="I45">
            <v>170282.7</v>
          </cell>
        </row>
        <row r="46">
          <cell r="A46">
            <v>938220</v>
          </cell>
          <cell r="B46" t="str">
            <v>Total</v>
          </cell>
          <cell r="I46">
            <v>176773.12</v>
          </cell>
        </row>
        <row r="47">
          <cell r="A47">
            <v>938225</v>
          </cell>
          <cell r="B47" t="str">
            <v>Total</v>
          </cell>
          <cell r="I47">
            <v>394361.31</v>
          </cell>
        </row>
        <row r="48">
          <cell r="A48">
            <v>938230</v>
          </cell>
          <cell r="B48" t="str">
            <v>Total</v>
          </cell>
          <cell r="I48">
            <v>2.1827872842550278E-10</v>
          </cell>
        </row>
        <row r="49">
          <cell r="A49">
            <v>938235</v>
          </cell>
          <cell r="B49" t="str">
            <v>Total</v>
          </cell>
          <cell r="I49">
            <v>190200.88</v>
          </cell>
        </row>
        <row r="50">
          <cell r="A50">
            <v>938240</v>
          </cell>
          <cell r="B50" t="str">
            <v>Total</v>
          </cell>
          <cell r="I50">
            <v>154332.24</v>
          </cell>
        </row>
        <row r="51">
          <cell r="A51">
            <v>938245</v>
          </cell>
          <cell r="B51" t="str">
            <v>Total</v>
          </cell>
          <cell r="I51">
            <v>95663.39</v>
          </cell>
        </row>
        <row r="52">
          <cell r="A52">
            <v>938250</v>
          </cell>
          <cell r="B52" t="str">
            <v>Total</v>
          </cell>
          <cell r="I52">
            <v>231859.93</v>
          </cell>
        </row>
        <row r="53">
          <cell r="A53">
            <v>938255</v>
          </cell>
          <cell r="B53" t="str">
            <v>Total</v>
          </cell>
          <cell r="I53">
            <v>410479.84</v>
          </cell>
        </row>
        <row r="54">
          <cell r="A54">
            <v>938260</v>
          </cell>
          <cell r="B54" t="str">
            <v>Total</v>
          </cell>
          <cell r="I54">
            <v>334584.64</v>
          </cell>
        </row>
        <row r="55">
          <cell r="A55">
            <v>938265</v>
          </cell>
          <cell r="B55" t="str">
            <v>Total</v>
          </cell>
          <cell r="I55">
            <v>283160.46</v>
          </cell>
        </row>
        <row r="56">
          <cell r="A56">
            <v>938270</v>
          </cell>
          <cell r="B56" t="str">
            <v>Total</v>
          </cell>
          <cell r="I56">
            <v>190057.41</v>
          </cell>
        </row>
        <row r="57">
          <cell r="A57">
            <v>938275</v>
          </cell>
          <cell r="B57" t="str">
            <v>Total</v>
          </cell>
          <cell r="I57">
            <v>11239.82</v>
          </cell>
        </row>
        <row r="58">
          <cell r="A58">
            <v>938280</v>
          </cell>
          <cell r="B58" t="str">
            <v>Total</v>
          </cell>
          <cell r="I58">
            <v>7255.870000000006</v>
          </cell>
        </row>
        <row r="59">
          <cell r="A59">
            <v>938282</v>
          </cell>
          <cell r="B59" t="str">
            <v>Total</v>
          </cell>
          <cell r="I59">
            <v>71848.73000000008</v>
          </cell>
        </row>
        <row r="60">
          <cell r="A60">
            <v>938285</v>
          </cell>
          <cell r="B60" t="str">
            <v>Total</v>
          </cell>
          <cell r="I60">
            <v>128503.99</v>
          </cell>
        </row>
        <row r="61">
          <cell r="A61">
            <v>938290</v>
          </cell>
          <cell r="B61" t="str">
            <v>Total</v>
          </cell>
          <cell r="I61">
            <v>97702.14999999992</v>
          </cell>
        </row>
        <row r="62">
          <cell r="A62">
            <v>938295</v>
          </cell>
          <cell r="B62" t="str">
            <v>Total</v>
          </cell>
          <cell r="I62">
            <v>50849.67</v>
          </cell>
        </row>
        <row r="63">
          <cell r="A63">
            <v>938300</v>
          </cell>
          <cell r="B63" t="str">
            <v>Total</v>
          </cell>
          <cell r="I63">
            <v>131812.88</v>
          </cell>
        </row>
        <row r="64">
          <cell r="A64">
            <v>938305</v>
          </cell>
          <cell r="B64" t="str">
            <v>Total</v>
          </cell>
          <cell r="I64">
            <v>8.114398042380344E-12</v>
          </cell>
        </row>
        <row r="65">
          <cell r="A65">
            <v>938310</v>
          </cell>
          <cell r="B65" t="str">
            <v>Total</v>
          </cell>
          <cell r="I65">
            <v>172483.63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177920.27</v>
          </cell>
        </row>
        <row r="68">
          <cell r="A68">
            <v>938325</v>
          </cell>
          <cell r="B68" t="str">
            <v>Total</v>
          </cell>
          <cell r="I68">
            <v>137781.7</v>
          </cell>
        </row>
        <row r="69">
          <cell r="A69">
            <v>938330</v>
          </cell>
          <cell r="B69" t="str">
            <v>Total</v>
          </cell>
          <cell r="I69">
            <v>126233.04</v>
          </cell>
        </row>
        <row r="70">
          <cell r="A70">
            <v>938335</v>
          </cell>
          <cell r="B70" t="str">
            <v>Total</v>
          </cell>
          <cell r="I70">
            <v>105027.6</v>
          </cell>
        </row>
        <row r="71">
          <cell r="A71">
            <v>938340</v>
          </cell>
          <cell r="B71" t="str">
            <v>Total</v>
          </cell>
          <cell r="I71">
            <v>42237.32</v>
          </cell>
        </row>
        <row r="72">
          <cell r="A72">
            <v>938345</v>
          </cell>
          <cell r="B72" t="str">
            <v>Total</v>
          </cell>
          <cell r="I72">
            <v>60203.91999999994</v>
          </cell>
        </row>
        <row r="73">
          <cell r="A73">
            <v>938350</v>
          </cell>
          <cell r="B73" t="str">
            <v>Total</v>
          </cell>
          <cell r="I73">
            <v>125979.82</v>
          </cell>
        </row>
        <row r="74">
          <cell r="A74">
            <v>938355</v>
          </cell>
          <cell r="B74" t="str">
            <v>Total</v>
          </cell>
          <cell r="I74">
            <v>144285.92</v>
          </cell>
        </row>
        <row r="75">
          <cell r="A75">
            <v>938360</v>
          </cell>
          <cell r="B75" t="str">
            <v>Total</v>
          </cell>
          <cell r="I75">
            <v>116466.56</v>
          </cell>
        </row>
        <row r="76">
          <cell r="A76">
            <v>938365</v>
          </cell>
          <cell r="B76" t="str">
            <v>Total</v>
          </cell>
          <cell r="I76">
            <v>191582.66</v>
          </cell>
        </row>
        <row r="77">
          <cell r="A77">
            <v>938370</v>
          </cell>
          <cell r="B77" t="str">
            <v>Total</v>
          </cell>
          <cell r="I77">
            <v>170656.15</v>
          </cell>
        </row>
        <row r="78">
          <cell r="A78">
            <v>938375</v>
          </cell>
          <cell r="B78" t="str">
            <v>Total</v>
          </cell>
          <cell r="I78">
            <v>80061.05000000008</v>
          </cell>
        </row>
        <row r="79">
          <cell r="A79">
            <v>938380</v>
          </cell>
          <cell r="B79" t="str">
            <v>Total</v>
          </cell>
          <cell r="I79">
            <v>83106.35000000011</v>
          </cell>
        </row>
        <row r="80">
          <cell r="A80">
            <v>938385</v>
          </cell>
          <cell r="B80" t="str">
            <v>Total</v>
          </cell>
          <cell r="I80">
            <v>37061.37</v>
          </cell>
        </row>
        <row r="81">
          <cell r="A81">
            <v>938390</v>
          </cell>
          <cell r="B81" t="str">
            <v>Total</v>
          </cell>
          <cell r="I81">
            <v>101624.35</v>
          </cell>
        </row>
        <row r="82">
          <cell r="A82">
            <v>938395</v>
          </cell>
          <cell r="B82" t="str">
            <v>Total</v>
          </cell>
          <cell r="I82">
            <v>192633.26</v>
          </cell>
        </row>
        <row r="83">
          <cell r="A83">
            <v>938400</v>
          </cell>
          <cell r="B83" t="str">
            <v>Total</v>
          </cell>
          <cell r="I83">
            <v>90103.80000000012</v>
          </cell>
        </row>
        <row r="84">
          <cell r="A84">
            <v>938405</v>
          </cell>
          <cell r="B84" t="str">
            <v>Total</v>
          </cell>
          <cell r="I84">
            <v>219181.89</v>
          </cell>
        </row>
        <row r="85">
          <cell r="A85">
            <v>938410</v>
          </cell>
          <cell r="B85" t="str">
            <v>Total</v>
          </cell>
          <cell r="I85">
            <v>90931.17000000016</v>
          </cell>
        </row>
        <row r="86">
          <cell r="A86">
            <v>938415</v>
          </cell>
          <cell r="B86" t="str">
            <v>Total</v>
          </cell>
          <cell r="I86">
            <v>54642.489999999845</v>
          </cell>
        </row>
        <row r="87">
          <cell r="A87">
            <v>938420</v>
          </cell>
          <cell r="B87" t="str">
            <v>Total</v>
          </cell>
          <cell r="I87">
            <v>20146.94</v>
          </cell>
        </row>
        <row r="88">
          <cell r="A88">
            <v>938425</v>
          </cell>
          <cell r="B88" t="str">
            <v>Total</v>
          </cell>
          <cell r="I88">
            <v>17727.1</v>
          </cell>
        </row>
        <row r="89">
          <cell r="A89">
            <v>938430</v>
          </cell>
          <cell r="B89" t="str">
            <v>Total</v>
          </cell>
          <cell r="I89">
            <v>177298.69</v>
          </cell>
        </row>
        <row r="90">
          <cell r="A90">
            <v>938435</v>
          </cell>
          <cell r="B90" t="str">
            <v>Total</v>
          </cell>
          <cell r="I90">
            <v>243615.93</v>
          </cell>
        </row>
        <row r="91">
          <cell r="A91">
            <v>938437</v>
          </cell>
          <cell r="B91" t="str">
            <v>Total</v>
          </cell>
          <cell r="I91">
            <v>158706.6</v>
          </cell>
        </row>
        <row r="92">
          <cell r="A92">
            <v>938438</v>
          </cell>
          <cell r="B92" t="str">
            <v>Total</v>
          </cell>
          <cell r="I92">
            <v>162655.66</v>
          </cell>
        </row>
        <row r="93">
          <cell r="A93">
            <v>938440</v>
          </cell>
          <cell r="B93" t="str">
            <v>Total</v>
          </cell>
          <cell r="I93">
            <v>278718.46</v>
          </cell>
        </row>
        <row r="94">
          <cell r="A94">
            <v>938445</v>
          </cell>
          <cell r="B94" t="str">
            <v>Total</v>
          </cell>
          <cell r="I94">
            <v>1091652.38</v>
          </cell>
        </row>
        <row r="95">
          <cell r="A95">
            <v>938450</v>
          </cell>
          <cell r="B95" t="str">
            <v>Total</v>
          </cell>
          <cell r="I95">
            <v>1079504.09</v>
          </cell>
        </row>
        <row r="96">
          <cell r="A96">
            <v>938455</v>
          </cell>
          <cell r="B96" t="str">
            <v>Total</v>
          </cell>
          <cell r="I96">
            <v>483176.46</v>
          </cell>
        </row>
        <row r="97">
          <cell r="A97">
            <v>938460</v>
          </cell>
          <cell r="B97" t="str">
            <v>Total</v>
          </cell>
          <cell r="I97">
            <v>739064.5199999992</v>
          </cell>
        </row>
        <row r="98">
          <cell r="A98">
            <v>938465</v>
          </cell>
          <cell r="B98" t="str">
            <v>Total</v>
          </cell>
          <cell r="I98">
            <v>256099.95</v>
          </cell>
        </row>
        <row r="99">
          <cell r="A99">
            <v>938470</v>
          </cell>
          <cell r="B99" t="str">
            <v>Total</v>
          </cell>
          <cell r="I99">
            <v>662563.8200000006</v>
          </cell>
        </row>
        <row r="100">
          <cell r="A100">
            <v>938475</v>
          </cell>
          <cell r="B100" t="str">
            <v>Total</v>
          </cell>
          <cell r="I100">
            <v>311494.17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91918.87000000005</v>
          </cell>
        </row>
        <row r="103">
          <cell r="A103">
            <v>938490</v>
          </cell>
          <cell r="B103" t="str">
            <v>Total</v>
          </cell>
          <cell r="I103">
            <v>18710.31</v>
          </cell>
        </row>
        <row r="104">
          <cell r="A104">
            <v>938495</v>
          </cell>
          <cell r="B104" t="str">
            <v>Total</v>
          </cell>
          <cell r="I104">
            <v>133272.71</v>
          </cell>
        </row>
        <row r="105">
          <cell r="A105">
            <v>938500</v>
          </cell>
          <cell r="B105" t="str">
            <v>Total</v>
          </cell>
          <cell r="I105">
            <v>728736.87</v>
          </cell>
        </row>
        <row r="106">
          <cell r="A106">
            <v>938505</v>
          </cell>
          <cell r="B106" t="str">
            <v>Total</v>
          </cell>
          <cell r="I106">
            <v>0</v>
          </cell>
        </row>
        <row r="107">
          <cell r="A107">
            <v>938510</v>
          </cell>
          <cell r="B107" t="str">
            <v>Total</v>
          </cell>
          <cell r="I107">
            <v>1015496.52</v>
          </cell>
        </row>
        <row r="108">
          <cell r="A108">
            <v>938515</v>
          </cell>
          <cell r="B108" t="str">
            <v>Total</v>
          </cell>
          <cell r="I108">
            <v>710877.71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197825.56</v>
          </cell>
        </row>
        <row r="111">
          <cell r="A111">
            <v>938525</v>
          </cell>
          <cell r="B111" t="str">
            <v>Total</v>
          </cell>
          <cell r="I111">
            <v>1066787.82</v>
          </cell>
        </row>
        <row r="112">
          <cell r="A112">
            <v>938530</v>
          </cell>
          <cell r="B112" t="str">
            <v>Total</v>
          </cell>
          <cell r="I112">
            <v>285897</v>
          </cell>
        </row>
        <row r="113">
          <cell r="A113">
            <v>938535</v>
          </cell>
          <cell r="B113" t="str">
            <v>Total</v>
          </cell>
          <cell r="I113">
            <v>492154.93</v>
          </cell>
        </row>
        <row r="114">
          <cell r="A114">
            <v>938540</v>
          </cell>
          <cell r="B114" t="str">
            <v>Total</v>
          </cell>
          <cell r="I114">
            <v>298823.42</v>
          </cell>
        </row>
        <row r="115">
          <cell r="A115">
            <v>938545</v>
          </cell>
          <cell r="B115" t="str">
            <v>Total</v>
          </cell>
          <cell r="I115">
            <v>19744.06</v>
          </cell>
        </row>
        <row r="116">
          <cell r="A116">
            <v>938548</v>
          </cell>
          <cell r="B116" t="str">
            <v>Total</v>
          </cell>
          <cell r="I116">
            <v>671147.9</v>
          </cell>
        </row>
        <row r="117">
          <cell r="A117">
            <v>938550</v>
          </cell>
          <cell r="B117" t="str">
            <v>Total</v>
          </cell>
          <cell r="I117">
            <v>64003.749999999935</v>
          </cell>
        </row>
        <row r="118">
          <cell r="A118">
            <v>938555</v>
          </cell>
          <cell r="B118" t="str">
            <v>Total</v>
          </cell>
          <cell r="I118">
            <v>23611.18</v>
          </cell>
        </row>
        <row r="119">
          <cell r="A119">
            <v>938560</v>
          </cell>
          <cell r="B119" t="str">
            <v>Total</v>
          </cell>
          <cell r="I119">
            <v>21757.08999999992</v>
          </cell>
        </row>
        <row r="120">
          <cell r="A120">
            <v>938565</v>
          </cell>
          <cell r="B120" t="str">
            <v>Total</v>
          </cell>
          <cell r="I120">
            <v>194816.47</v>
          </cell>
        </row>
        <row r="121">
          <cell r="A121">
            <v>938570</v>
          </cell>
          <cell r="B121" t="str">
            <v>Total</v>
          </cell>
          <cell r="I121">
            <v>465937.2</v>
          </cell>
        </row>
        <row r="122">
          <cell r="A122">
            <v>938575</v>
          </cell>
          <cell r="B122" t="str">
            <v>Total</v>
          </cell>
          <cell r="I122">
            <v>184559.34</v>
          </cell>
        </row>
        <row r="123">
          <cell r="A123">
            <v>938580</v>
          </cell>
          <cell r="B123" t="str">
            <v>Total</v>
          </cell>
          <cell r="I123">
            <v>384538.47</v>
          </cell>
        </row>
        <row r="124">
          <cell r="A124">
            <v>938585</v>
          </cell>
          <cell r="B124" t="str">
            <v>Total</v>
          </cell>
          <cell r="I124">
            <v>211968.21</v>
          </cell>
        </row>
        <row r="125">
          <cell r="I125">
            <v>25846963.44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(1)Supp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 10"/>
    </sheetNames>
    <sheetDataSet>
      <sheetData sheetId="1">
        <row r="120">
          <cell r="C120">
            <v>0</v>
          </cell>
        </row>
      </sheetData>
      <sheetData sheetId="2">
        <row r="120">
          <cell r="C120">
            <v>0</v>
          </cell>
        </row>
      </sheetData>
      <sheetData sheetId="10">
        <row r="120">
          <cell r="C120">
            <v>652740.9699999999</v>
          </cell>
        </row>
      </sheetData>
      <sheetData sheetId="11">
        <row r="123">
          <cell r="C123">
            <v>948505.2200000003</v>
          </cell>
        </row>
      </sheetData>
      <sheetData sheetId="12">
        <row r="120">
          <cell r="C120">
            <v>185198.4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CSF No.s"/>
      <sheetName val="Outturn statement"/>
      <sheetName val="CFR Return"/>
      <sheetName val="08-09. S A P. PAY TO-FRM SCH"/>
      <sheetName val="OUTTURN Cash to schools 08-09"/>
      <sheetName val="S A P 09.10."/>
      <sheetName val="Cash from schools 09-10"/>
      <sheetName val="Cash to schools"/>
      <sheetName val="Amount paid into budget share"/>
      <sheetName val="09-10 Data"/>
      <sheetName val="08-09 Data"/>
      <sheetName val="07-08 data"/>
      <sheetName val="Net Drs Crs"/>
      <sheetName val="S A P = C A B P1 0910."/>
      <sheetName val="Original Budget Shares 0910"/>
      <sheetName val="MY Changes 0910"/>
      <sheetName val="EOY Changes 0910"/>
      <sheetName val="C A B = S A P "/>
      <sheetName val="Net Crs"/>
      <sheetName val="Mar10"/>
    </sheetNames>
    <sheetDataSet>
      <sheetData sheetId="5">
        <row r="2">
          <cell r="A2">
            <v>938020</v>
          </cell>
          <cell r="B2" t="str">
            <v/>
          </cell>
          <cell r="C2" t="str">
            <v>20100517</v>
          </cell>
          <cell r="D2" t="str">
            <v>1900107733</v>
          </cell>
          <cell r="E2" t="str">
            <v>|||||</v>
          </cell>
          <cell r="F2" t="str">
            <v>OUTTURN PAYMENT</v>
          </cell>
          <cell r="G2" t="str">
            <v/>
          </cell>
          <cell r="H2">
            <v>40315</v>
          </cell>
          <cell r="I2">
            <v>34164</v>
          </cell>
        </row>
        <row r="3">
          <cell r="A3">
            <v>938050</v>
          </cell>
          <cell r="B3" t="str">
            <v/>
          </cell>
          <cell r="C3" t="str">
            <v>20100517</v>
          </cell>
          <cell r="D3" t="str">
            <v>1900107734</v>
          </cell>
          <cell r="E3" t="str">
            <v>|||||</v>
          </cell>
          <cell r="F3" t="str">
            <v>OUTTURN PAYMENT</v>
          </cell>
          <cell r="G3" t="str">
            <v/>
          </cell>
          <cell r="H3">
            <v>40315</v>
          </cell>
          <cell r="I3">
            <v>34015</v>
          </cell>
        </row>
        <row r="4">
          <cell r="A4">
            <v>938070</v>
          </cell>
          <cell r="B4" t="str">
            <v/>
          </cell>
          <cell r="C4" t="str">
            <v>20100517</v>
          </cell>
          <cell r="D4" t="str">
            <v>1900107735</v>
          </cell>
          <cell r="E4" t="str">
            <v>|||||</v>
          </cell>
          <cell r="F4" t="str">
            <v>OUTTURN PAYMENT</v>
          </cell>
          <cell r="G4" t="str">
            <v/>
          </cell>
          <cell r="H4">
            <v>40315</v>
          </cell>
          <cell r="I4">
            <v>34322</v>
          </cell>
        </row>
        <row r="5">
          <cell r="A5">
            <v>938095</v>
          </cell>
          <cell r="B5" t="str">
            <v/>
          </cell>
          <cell r="C5" t="str">
            <v>20100517</v>
          </cell>
          <cell r="D5" t="str">
            <v>1900107736</v>
          </cell>
          <cell r="E5" t="str">
            <v>|||||</v>
          </cell>
          <cell r="F5" t="str">
            <v>OUTTURN PAYMENT</v>
          </cell>
          <cell r="G5" t="str">
            <v/>
          </cell>
          <cell r="H5">
            <v>40315</v>
          </cell>
          <cell r="I5">
            <v>39956</v>
          </cell>
        </row>
        <row r="6">
          <cell r="A6">
            <v>938130</v>
          </cell>
          <cell r="B6" t="str">
            <v/>
          </cell>
          <cell r="C6" t="str">
            <v>20100517</v>
          </cell>
          <cell r="D6" t="str">
            <v>1900107737</v>
          </cell>
          <cell r="E6" t="str">
            <v>|||||</v>
          </cell>
          <cell r="F6" t="str">
            <v>OUTTURN PAYMENT</v>
          </cell>
          <cell r="G6" t="str">
            <v/>
          </cell>
          <cell r="H6">
            <v>40315</v>
          </cell>
          <cell r="I6">
            <v>18601</v>
          </cell>
        </row>
        <row r="7">
          <cell r="A7">
            <v>938135</v>
          </cell>
          <cell r="B7" t="str">
            <v/>
          </cell>
          <cell r="C7" t="str">
            <v>20100517</v>
          </cell>
          <cell r="D7" t="str">
            <v>1900107738</v>
          </cell>
          <cell r="E7" t="str">
            <v>|||||</v>
          </cell>
          <cell r="F7" t="str">
            <v>OUTTURN PAYMENT</v>
          </cell>
          <cell r="G7" t="str">
            <v/>
          </cell>
          <cell r="H7">
            <v>40315</v>
          </cell>
          <cell r="I7">
            <v>10092</v>
          </cell>
        </row>
        <row r="8">
          <cell r="A8">
            <v>938140</v>
          </cell>
          <cell r="B8" t="str">
            <v/>
          </cell>
          <cell r="C8" t="str">
            <v>20100517</v>
          </cell>
          <cell r="D8" t="str">
            <v>1900107739</v>
          </cell>
          <cell r="E8" t="str">
            <v>|||||</v>
          </cell>
          <cell r="F8" t="str">
            <v>OUTTURN PAYMENT</v>
          </cell>
          <cell r="G8" t="str">
            <v/>
          </cell>
          <cell r="H8">
            <v>40315</v>
          </cell>
          <cell r="I8">
            <v>35437</v>
          </cell>
        </row>
        <row r="9">
          <cell r="A9">
            <v>938160</v>
          </cell>
          <cell r="B9" t="str">
            <v/>
          </cell>
          <cell r="C9" t="str">
            <v>20100517</v>
          </cell>
          <cell r="D9" t="str">
            <v>1900107740</v>
          </cell>
          <cell r="E9" t="str">
            <v>|||||</v>
          </cell>
          <cell r="F9" t="str">
            <v>OUTTURN PAYMENT</v>
          </cell>
          <cell r="G9" t="str">
            <v/>
          </cell>
          <cell r="H9">
            <v>40315</v>
          </cell>
          <cell r="I9">
            <v>62006</v>
          </cell>
        </row>
        <row r="10">
          <cell r="A10">
            <v>938180</v>
          </cell>
          <cell r="B10" t="str">
            <v/>
          </cell>
          <cell r="C10" t="str">
            <v>20100517</v>
          </cell>
          <cell r="D10" t="str">
            <v>1900107741</v>
          </cell>
          <cell r="E10" t="str">
            <v>|||||</v>
          </cell>
          <cell r="F10" t="str">
            <v>OUTTURN PAYMENT</v>
          </cell>
          <cell r="G10" t="str">
            <v/>
          </cell>
          <cell r="H10">
            <v>40315</v>
          </cell>
          <cell r="I10">
            <v>1898</v>
          </cell>
        </row>
        <row r="11">
          <cell r="A11">
            <v>938190</v>
          </cell>
          <cell r="B11" t="str">
            <v/>
          </cell>
          <cell r="C11" t="str">
            <v>20100517</v>
          </cell>
          <cell r="D11" t="str">
            <v>1900107742</v>
          </cell>
          <cell r="E11" t="str">
            <v>|||||</v>
          </cell>
          <cell r="F11" t="str">
            <v>OUTTURN PAYMENT</v>
          </cell>
          <cell r="G11" t="str">
            <v/>
          </cell>
          <cell r="H11">
            <v>40315</v>
          </cell>
          <cell r="I11">
            <v>16803</v>
          </cell>
        </row>
        <row r="12">
          <cell r="A12">
            <v>938210</v>
          </cell>
          <cell r="B12" t="str">
            <v/>
          </cell>
          <cell r="C12" t="str">
            <v>20100517</v>
          </cell>
          <cell r="D12" t="str">
            <v>1900107743</v>
          </cell>
          <cell r="E12" t="str">
            <v>|||||</v>
          </cell>
          <cell r="F12" t="str">
            <v>OUTTURN PAYMENT</v>
          </cell>
          <cell r="G12" t="str">
            <v/>
          </cell>
          <cell r="H12">
            <v>40315</v>
          </cell>
          <cell r="I12">
            <v>6285</v>
          </cell>
        </row>
        <row r="13">
          <cell r="A13">
            <v>938220</v>
          </cell>
          <cell r="B13" t="str">
            <v/>
          </cell>
          <cell r="C13" t="str">
            <v>20100517</v>
          </cell>
          <cell r="D13" t="str">
            <v>1900107744</v>
          </cell>
          <cell r="E13" t="str">
            <v>|||||</v>
          </cell>
          <cell r="F13" t="str">
            <v>OUTTURN PAYMENT</v>
          </cell>
          <cell r="G13" t="str">
            <v/>
          </cell>
          <cell r="H13">
            <v>40315</v>
          </cell>
          <cell r="I13">
            <v>131137</v>
          </cell>
        </row>
        <row r="14">
          <cell r="A14">
            <v>938225</v>
          </cell>
          <cell r="B14" t="str">
            <v/>
          </cell>
          <cell r="C14" t="str">
            <v>20100517</v>
          </cell>
          <cell r="D14" t="str">
            <v>1900107745</v>
          </cell>
          <cell r="E14" t="str">
            <v>|||||</v>
          </cell>
          <cell r="F14" t="str">
            <v>OUTTURN PAYMENT</v>
          </cell>
          <cell r="G14" t="str">
            <v/>
          </cell>
          <cell r="H14">
            <v>40315</v>
          </cell>
          <cell r="I14">
            <v>10465</v>
          </cell>
        </row>
        <row r="15">
          <cell r="A15">
            <v>938255</v>
          </cell>
          <cell r="B15" t="str">
            <v/>
          </cell>
          <cell r="C15" t="str">
            <v>20100517</v>
          </cell>
          <cell r="D15" t="str">
            <v>1900107746</v>
          </cell>
          <cell r="E15" t="str">
            <v>|||||</v>
          </cell>
          <cell r="F15" t="str">
            <v>OUTTURN PAYMENT</v>
          </cell>
          <cell r="G15" t="str">
            <v/>
          </cell>
          <cell r="H15">
            <v>40315</v>
          </cell>
          <cell r="I15">
            <v>4747</v>
          </cell>
        </row>
        <row r="16">
          <cell r="A16">
            <v>938260</v>
          </cell>
          <cell r="B16" t="str">
            <v/>
          </cell>
          <cell r="C16" t="str">
            <v>20100517</v>
          </cell>
          <cell r="D16" t="str">
            <v>1900107747</v>
          </cell>
          <cell r="E16" t="str">
            <v>|||||</v>
          </cell>
          <cell r="F16" t="str">
            <v>OUTTURN PAYMENT</v>
          </cell>
          <cell r="G16" t="str">
            <v/>
          </cell>
          <cell r="H16">
            <v>40315</v>
          </cell>
          <cell r="I16">
            <v>19754</v>
          </cell>
        </row>
        <row r="17">
          <cell r="A17">
            <v>938270</v>
          </cell>
          <cell r="B17" t="str">
            <v/>
          </cell>
          <cell r="C17" t="str">
            <v>20100517</v>
          </cell>
          <cell r="D17" t="str">
            <v>1900107748</v>
          </cell>
          <cell r="E17" t="str">
            <v>|||||</v>
          </cell>
          <cell r="F17" t="str">
            <v>OUTTURN PAYMENT</v>
          </cell>
          <cell r="G17" t="str">
            <v/>
          </cell>
          <cell r="H17">
            <v>40315</v>
          </cell>
          <cell r="I17">
            <v>46195</v>
          </cell>
        </row>
        <row r="18">
          <cell r="A18">
            <v>938282</v>
          </cell>
          <cell r="B18" t="str">
            <v/>
          </cell>
          <cell r="C18" t="str">
            <v>20100517</v>
          </cell>
          <cell r="D18" t="str">
            <v>1900107749</v>
          </cell>
          <cell r="E18" t="str">
            <v>|||||</v>
          </cell>
          <cell r="F18" t="str">
            <v>OUTTURN PAYMENT</v>
          </cell>
          <cell r="G18" t="str">
            <v/>
          </cell>
          <cell r="H18">
            <v>40315</v>
          </cell>
          <cell r="I18">
            <v>3343</v>
          </cell>
        </row>
        <row r="19">
          <cell r="A19">
            <v>938335</v>
          </cell>
          <cell r="B19" t="str">
            <v/>
          </cell>
          <cell r="C19" t="str">
            <v>20100517</v>
          </cell>
          <cell r="D19" t="str">
            <v>1900107750</v>
          </cell>
          <cell r="E19" t="str">
            <v>|||||</v>
          </cell>
          <cell r="F19" t="str">
            <v>OUTTURN PAYMENT</v>
          </cell>
          <cell r="G19" t="str">
            <v/>
          </cell>
          <cell r="H19">
            <v>40315</v>
          </cell>
          <cell r="I19">
            <v>11330</v>
          </cell>
        </row>
        <row r="20">
          <cell r="A20">
            <v>938345</v>
          </cell>
          <cell r="B20" t="str">
            <v/>
          </cell>
          <cell r="C20" t="str">
            <v>20100517</v>
          </cell>
          <cell r="D20" t="str">
            <v>1900107751</v>
          </cell>
          <cell r="E20" t="str">
            <v>|||||</v>
          </cell>
          <cell r="F20" t="str">
            <v>OUTTURN PAYMENT</v>
          </cell>
          <cell r="G20" t="str">
            <v/>
          </cell>
          <cell r="H20">
            <v>40315</v>
          </cell>
          <cell r="I20">
            <v>4595</v>
          </cell>
        </row>
        <row r="21">
          <cell r="A21">
            <v>938365</v>
          </cell>
          <cell r="B21" t="str">
            <v/>
          </cell>
          <cell r="C21" t="str">
            <v>20100517</v>
          </cell>
          <cell r="D21" t="str">
            <v>1900107752</v>
          </cell>
          <cell r="E21" t="str">
            <v>|||||</v>
          </cell>
          <cell r="F21" t="str">
            <v>OUTTURN PAYMENT</v>
          </cell>
          <cell r="G21" t="str">
            <v/>
          </cell>
          <cell r="H21">
            <v>40315</v>
          </cell>
          <cell r="I21">
            <v>6583</v>
          </cell>
        </row>
        <row r="22">
          <cell r="A22">
            <v>938375</v>
          </cell>
          <cell r="B22" t="str">
            <v/>
          </cell>
          <cell r="C22" t="str">
            <v>20100517</v>
          </cell>
          <cell r="D22" t="str">
            <v>1900107753</v>
          </cell>
          <cell r="E22" t="str">
            <v>|||||</v>
          </cell>
          <cell r="F22" t="str">
            <v>OUTTURN PAYMENT</v>
          </cell>
          <cell r="G22" t="str">
            <v/>
          </cell>
          <cell r="H22">
            <v>40315</v>
          </cell>
          <cell r="I22">
            <v>18212</v>
          </cell>
        </row>
        <row r="23">
          <cell r="A23">
            <v>938380</v>
          </cell>
          <cell r="B23" t="str">
            <v/>
          </cell>
          <cell r="C23" t="str">
            <v>20100517</v>
          </cell>
          <cell r="D23" t="str">
            <v>1900107754</v>
          </cell>
          <cell r="E23" t="str">
            <v>|||||</v>
          </cell>
          <cell r="F23" t="str">
            <v>OUTTURN PAYMENT</v>
          </cell>
          <cell r="G23" t="str">
            <v/>
          </cell>
          <cell r="H23">
            <v>40315</v>
          </cell>
          <cell r="I23">
            <v>24087</v>
          </cell>
        </row>
        <row r="24">
          <cell r="A24">
            <v>938385</v>
          </cell>
          <cell r="B24" t="str">
            <v/>
          </cell>
          <cell r="C24" t="str">
            <v>20100517</v>
          </cell>
          <cell r="D24" t="str">
            <v>1900107755</v>
          </cell>
          <cell r="E24" t="str">
            <v>|||||</v>
          </cell>
          <cell r="F24" t="str">
            <v>OUTTURN PAYMENT</v>
          </cell>
          <cell r="G24" t="str">
            <v/>
          </cell>
          <cell r="H24">
            <v>40315</v>
          </cell>
          <cell r="I24">
            <v>3740</v>
          </cell>
        </row>
        <row r="25">
          <cell r="A25">
            <v>938415</v>
          </cell>
          <cell r="B25" t="str">
            <v/>
          </cell>
          <cell r="C25" t="str">
            <v>20100517</v>
          </cell>
          <cell r="D25" t="str">
            <v>1900107756</v>
          </cell>
          <cell r="E25" t="str">
            <v>|||||</v>
          </cell>
          <cell r="F25" t="str">
            <v>OUTTURN PAYMENT</v>
          </cell>
          <cell r="G25" t="str">
            <v/>
          </cell>
          <cell r="H25">
            <v>40315</v>
          </cell>
          <cell r="I25">
            <v>28408</v>
          </cell>
        </row>
        <row r="26">
          <cell r="A26">
            <v>938430</v>
          </cell>
          <cell r="B26" t="str">
            <v/>
          </cell>
          <cell r="C26" t="str">
            <v>20100517</v>
          </cell>
          <cell r="D26" t="str">
            <v>1900107757</v>
          </cell>
          <cell r="E26" t="str">
            <v>|||||</v>
          </cell>
          <cell r="F26" t="str">
            <v>OUTTURN PAYMENT</v>
          </cell>
          <cell r="G26" t="str">
            <v/>
          </cell>
          <cell r="H26">
            <v>40315</v>
          </cell>
          <cell r="I26">
            <v>56068</v>
          </cell>
        </row>
        <row r="27">
          <cell r="A27">
            <v>938438</v>
          </cell>
          <cell r="B27" t="str">
            <v/>
          </cell>
          <cell r="C27" t="str">
            <v>20100517</v>
          </cell>
          <cell r="D27" t="str">
            <v>1900107758</v>
          </cell>
          <cell r="E27" t="str">
            <v>|||||</v>
          </cell>
          <cell r="F27" t="str">
            <v>OUTTURN PAYMENT</v>
          </cell>
          <cell r="G27" t="str">
            <v/>
          </cell>
          <cell r="H27">
            <v>40315</v>
          </cell>
          <cell r="I27">
            <v>33368</v>
          </cell>
        </row>
        <row r="28">
          <cell r="A28">
            <v>938455</v>
          </cell>
          <cell r="B28" t="str">
            <v/>
          </cell>
          <cell r="C28" t="str">
            <v>20100517</v>
          </cell>
          <cell r="D28" t="str">
            <v>1900107759</v>
          </cell>
          <cell r="E28" t="str">
            <v>|||||</v>
          </cell>
          <cell r="F28" t="str">
            <v>OUTTURN PAYMENT</v>
          </cell>
          <cell r="G28" t="str">
            <v/>
          </cell>
          <cell r="H28">
            <v>40315</v>
          </cell>
          <cell r="I28">
            <v>195334</v>
          </cell>
        </row>
        <row r="29">
          <cell r="A29">
            <v>938460</v>
          </cell>
          <cell r="B29" t="str">
            <v/>
          </cell>
          <cell r="C29" t="str">
            <v>20100517</v>
          </cell>
          <cell r="D29" t="str">
            <v>1900107760</v>
          </cell>
          <cell r="E29" t="str">
            <v>|||||</v>
          </cell>
          <cell r="F29" t="str">
            <v>OUTTURN PAYMENT</v>
          </cell>
          <cell r="G29" t="str">
            <v/>
          </cell>
          <cell r="H29">
            <v>40315</v>
          </cell>
          <cell r="I29">
            <v>52894</v>
          </cell>
        </row>
        <row r="30">
          <cell r="A30">
            <v>938490</v>
          </cell>
          <cell r="B30" t="str">
            <v/>
          </cell>
          <cell r="C30" t="str">
            <v>20100517</v>
          </cell>
          <cell r="D30" t="str">
            <v>1900107761</v>
          </cell>
          <cell r="E30" t="str">
            <v>|||||</v>
          </cell>
          <cell r="F30" t="str">
            <v>OUTTURN PAYMENT</v>
          </cell>
          <cell r="G30" t="str">
            <v/>
          </cell>
          <cell r="H30">
            <v>40315</v>
          </cell>
          <cell r="I30">
            <v>9439</v>
          </cell>
        </row>
        <row r="31">
          <cell r="A31">
            <v>938495</v>
          </cell>
          <cell r="B31" t="str">
            <v/>
          </cell>
          <cell r="C31" t="str">
            <v>20100517</v>
          </cell>
          <cell r="D31" t="str">
            <v>1900107762</v>
          </cell>
          <cell r="E31" t="str">
            <v>|||||</v>
          </cell>
          <cell r="F31" t="str">
            <v>OUTTURN PAYMENT</v>
          </cell>
          <cell r="G31" t="str">
            <v/>
          </cell>
          <cell r="H31">
            <v>40315</v>
          </cell>
          <cell r="I31">
            <v>1613</v>
          </cell>
        </row>
        <row r="32">
          <cell r="A32">
            <v>938500</v>
          </cell>
          <cell r="B32" t="str">
            <v/>
          </cell>
          <cell r="C32" t="str">
            <v>20100517</v>
          </cell>
          <cell r="D32" t="str">
            <v>1900107763</v>
          </cell>
          <cell r="E32" t="str">
            <v>|||||</v>
          </cell>
          <cell r="F32" t="str">
            <v>OUTTURN PAYMENT</v>
          </cell>
          <cell r="G32" t="str">
            <v/>
          </cell>
          <cell r="H32">
            <v>40315</v>
          </cell>
          <cell r="I32">
            <v>29861</v>
          </cell>
        </row>
        <row r="33">
          <cell r="A33">
            <v>938550</v>
          </cell>
          <cell r="B33" t="str">
            <v/>
          </cell>
          <cell r="C33" t="str">
            <v>20100517</v>
          </cell>
          <cell r="D33" t="str">
            <v>1900107764</v>
          </cell>
          <cell r="E33" t="str">
            <v>|||||</v>
          </cell>
          <cell r="F33" t="str">
            <v>OUTTURN PAYMENT</v>
          </cell>
          <cell r="G33" t="str">
            <v/>
          </cell>
          <cell r="H33">
            <v>40315</v>
          </cell>
          <cell r="I33">
            <v>3907</v>
          </cell>
        </row>
        <row r="34">
          <cell r="H34" t="str">
            <v>SUB TOTAL</v>
          </cell>
          <cell r="I34">
            <v>988659</v>
          </cell>
        </row>
        <row r="35">
          <cell r="A35">
            <v>938355</v>
          </cell>
          <cell r="B35" t="str">
            <v/>
          </cell>
          <cell r="C35" t="str">
            <v>20100521</v>
          </cell>
          <cell r="D35" t="str">
            <v>6300010977</v>
          </cell>
          <cell r="E35" t="str">
            <v>AXIS C F 21052010</v>
          </cell>
          <cell r="F35" t="str">
            <v>AXIS CASHIERS</v>
          </cell>
          <cell r="G35" t="str">
            <v>HTH0324290 AXIS Cashiers</v>
          </cell>
          <cell r="H35">
            <v>40319</v>
          </cell>
          <cell r="I35">
            <v>-61628</v>
          </cell>
        </row>
        <row r="36">
          <cell r="A36">
            <v>938350</v>
          </cell>
          <cell r="B36" t="str">
            <v/>
          </cell>
          <cell r="C36" t="str">
            <v>20100521</v>
          </cell>
          <cell r="D36" t="str">
            <v>6300010977</v>
          </cell>
          <cell r="E36" t="str">
            <v>AXIS C F 21052010</v>
          </cell>
          <cell r="F36" t="str">
            <v>AXIS CASHIERS</v>
          </cell>
          <cell r="G36" t="str">
            <v>HTH0324291 AXIS Cashiers</v>
          </cell>
          <cell r="H36">
            <v>40319</v>
          </cell>
          <cell r="I36">
            <v>-195</v>
          </cell>
        </row>
        <row r="37">
          <cell r="A37">
            <v>938185</v>
          </cell>
          <cell r="B37" t="str">
            <v/>
          </cell>
          <cell r="C37" t="str">
            <v>20100521</v>
          </cell>
          <cell r="D37" t="str">
            <v>6300010977</v>
          </cell>
          <cell r="E37" t="str">
            <v>AXIS C F 21052010</v>
          </cell>
          <cell r="F37" t="str">
            <v>AXIS CASHIERS</v>
          </cell>
          <cell r="G37" t="str">
            <v>HTH0324292 AXIS Cashiers</v>
          </cell>
          <cell r="H37">
            <v>40319</v>
          </cell>
          <cell r="I37">
            <v>-43742</v>
          </cell>
        </row>
        <row r="38">
          <cell r="A38">
            <v>938075</v>
          </cell>
          <cell r="B38" t="str">
            <v/>
          </cell>
          <cell r="C38" t="str">
            <v>20100521</v>
          </cell>
          <cell r="D38" t="str">
            <v>6300010977</v>
          </cell>
          <cell r="E38" t="str">
            <v>AXIS C F 21052010</v>
          </cell>
          <cell r="F38" t="str">
            <v>AXIS CASHIERS</v>
          </cell>
          <cell r="G38" t="str">
            <v>HTH0324293 AXIS Cashiers</v>
          </cell>
          <cell r="H38">
            <v>40319</v>
          </cell>
          <cell r="I38">
            <v>-19850</v>
          </cell>
        </row>
        <row r="39">
          <cell r="A39">
            <v>938575</v>
          </cell>
          <cell r="B39" t="str">
            <v/>
          </cell>
          <cell r="C39" t="str">
            <v>20100521</v>
          </cell>
          <cell r="D39" t="str">
            <v>6300010977</v>
          </cell>
          <cell r="E39" t="str">
            <v>AXIS C F 21052010</v>
          </cell>
          <cell r="F39" t="str">
            <v>AXIS CASHIERS</v>
          </cell>
          <cell r="G39" t="str">
            <v>HTH0324294 AXIS Cashiers</v>
          </cell>
          <cell r="H39">
            <v>40319</v>
          </cell>
          <cell r="I39">
            <v>-377840</v>
          </cell>
        </row>
        <row r="41">
          <cell r="A41">
            <v>938250</v>
          </cell>
          <cell r="B41" t="str">
            <v/>
          </cell>
          <cell r="C41" t="str">
            <v>20100527</v>
          </cell>
          <cell r="D41" t="str">
            <v>6300011034</v>
          </cell>
          <cell r="E41" t="str">
            <v>AXIS C F 27052010</v>
          </cell>
          <cell r="F41" t="str">
            <v>AXIS CASHIERS</v>
          </cell>
          <cell r="G41" t="str">
            <v>HTH0324665 AXIS Cashiers</v>
          </cell>
          <cell r="H41">
            <v>40325</v>
          </cell>
          <cell r="I41">
            <v>-16714</v>
          </cell>
        </row>
        <row r="42">
          <cell r="A42">
            <v>938120</v>
          </cell>
          <cell r="B42" t="str">
            <v/>
          </cell>
          <cell r="C42" t="str">
            <v>20100527</v>
          </cell>
          <cell r="D42" t="str">
            <v>6300011034</v>
          </cell>
          <cell r="E42" t="str">
            <v>AXIS C F 27052010</v>
          </cell>
          <cell r="F42" t="str">
            <v>AXIS CASHIERS</v>
          </cell>
          <cell r="G42" t="str">
            <v>HTH0324666 AXIS Cashiers</v>
          </cell>
          <cell r="H42">
            <v>40325</v>
          </cell>
          <cell r="I42">
            <v>-27825</v>
          </cell>
        </row>
        <row r="43">
          <cell r="A43">
            <v>938025</v>
          </cell>
          <cell r="B43" t="str">
            <v/>
          </cell>
          <cell r="C43" t="str">
            <v>20100527</v>
          </cell>
          <cell r="D43" t="str">
            <v>6300011034</v>
          </cell>
          <cell r="E43" t="str">
            <v>AXIS C F 27052010</v>
          </cell>
          <cell r="F43" t="str">
            <v>AXIS CASHIERS</v>
          </cell>
          <cell r="G43" t="str">
            <v>HTH0324667 AXIS Cashiers</v>
          </cell>
          <cell r="H43">
            <v>40325</v>
          </cell>
          <cell r="I43">
            <v>-3016</v>
          </cell>
        </row>
        <row r="44">
          <cell r="A44">
            <v>938035</v>
          </cell>
          <cell r="B44" t="str">
            <v/>
          </cell>
          <cell r="C44" t="str">
            <v>20100527</v>
          </cell>
          <cell r="D44" t="str">
            <v>6300011034</v>
          </cell>
          <cell r="E44" t="str">
            <v>AXIS C F 27052010</v>
          </cell>
          <cell r="F44" t="str">
            <v>AXIS CASHIERS</v>
          </cell>
          <cell r="G44" t="str">
            <v>HTH0324668 AXIS Cashiers</v>
          </cell>
          <cell r="H44">
            <v>40325</v>
          </cell>
          <cell r="I44">
            <v>-32303</v>
          </cell>
        </row>
        <row r="45">
          <cell r="A45">
            <v>938585</v>
          </cell>
          <cell r="B45" t="str">
            <v/>
          </cell>
          <cell r="C45" t="str">
            <v>20100527</v>
          </cell>
          <cell r="D45" t="str">
            <v>6300011034</v>
          </cell>
          <cell r="E45" t="str">
            <v>AXIS C F 27052010</v>
          </cell>
          <cell r="F45" t="str">
            <v>AXIS CASHIERS</v>
          </cell>
          <cell r="G45" t="str">
            <v>HTH0324669 AXIS Cashiers</v>
          </cell>
          <cell r="H45">
            <v>40325</v>
          </cell>
          <cell r="I45">
            <v>-30117</v>
          </cell>
        </row>
        <row r="46">
          <cell r="A46">
            <v>938005</v>
          </cell>
          <cell r="B46" t="str">
            <v/>
          </cell>
          <cell r="C46" t="str">
            <v>20100527</v>
          </cell>
          <cell r="D46" t="str">
            <v>6300011034</v>
          </cell>
          <cell r="E46" t="str">
            <v>AXIS C F 27052010</v>
          </cell>
          <cell r="F46" t="str">
            <v>AXIS CASHIERS</v>
          </cell>
          <cell r="G46" t="str">
            <v>HTH0324670 AXIS Cashiers</v>
          </cell>
          <cell r="H46">
            <v>40325</v>
          </cell>
          <cell r="I46">
            <v>-53214</v>
          </cell>
        </row>
        <row r="47">
          <cell r="A47">
            <v>938055</v>
          </cell>
          <cell r="B47" t="str">
            <v/>
          </cell>
          <cell r="C47" t="str">
            <v>20100527</v>
          </cell>
          <cell r="D47" t="str">
            <v>6300011034</v>
          </cell>
          <cell r="E47" t="str">
            <v>AXIS C F 27052010</v>
          </cell>
          <cell r="F47" t="str">
            <v>AXIS CASHIERS</v>
          </cell>
          <cell r="G47" t="str">
            <v>HTH0324671 AXIS Cashiers</v>
          </cell>
          <cell r="H47">
            <v>40325</v>
          </cell>
          <cell r="I47">
            <v>-23533</v>
          </cell>
        </row>
        <row r="48">
          <cell r="A48">
            <v>938445</v>
          </cell>
          <cell r="B48" t="str">
            <v/>
          </cell>
          <cell r="C48" t="str">
            <v>20100527</v>
          </cell>
          <cell r="D48" t="str">
            <v>6300011034</v>
          </cell>
          <cell r="E48" t="str">
            <v>AXIS C F 27052010</v>
          </cell>
          <cell r="F48" t="str">
            <v>AXIS CASHIERS</v>
          </cell>
          <cell r="G48" t="str">
            <v>HTH0324672 AXIS Cashiers</v>
          </cell>
          <cell r="H48">
            <v>40325</v>
          </cell>
          <cell r="I48">
            <v>-112994</v>
          </cell>
        </row>
        <row r="50">
          <cell r="A50">
            <v>938360</v>
          </cell>
          <cell r="B50" t="str">
            <v/>
          </cell>
          <cell r="C50" t="str">
            <v>20100528</v>
          </cell>
          <cell r="D50" t="str">
            <v>6300011048</v>
          </cell>
          <cell r="E50" t="str">
            <v>AXIS C F 28052010</v>
          </cell>
          <cell r="F50" t="str">
            <v>AXIS CASHIERS</v>
          </cell>
          <cell r="G50" t="str">
            <v>HTH0216232 AXIS Cashiers CR33402</v>
          </cell>
          <cell r="H50">
            <v>40326</v>
          </cell>
          <cell r="I50">
            <v>-44508</v>
          </cell>
        </row>
        <row r="51">
          <cell r="A51">
            <v>938465</v>
          </cell>
          <cell r="B51" t="str">
            <v/>
          </cell>
          <cell r="C51" t="str">
            <v>20100528</v>
          </cell>
          <cell r="D51" t="str">
            <v>6300011048</v>
          </cell>
          <cell r="E51" t="str">
            <v>AXIS C F 28052010</v>
          </cell>
          <cell r="F51" t="str">
            <v>AXIS CASHIERS</v>
          </cell>
          <cell r="G51" t="str">
            <v>HTH0216233 AXIS Cashiers CR33402</v>
          </cell>
          <cell r="H51">
            <v>40326</v>
          </cell>
          <cell r="I51">
            <v>-166903</v>
          </cell>
        </row>
        <row r="52">
          <cell r="A52">
            <v>938150</v>
          </cell>
          <cell r="B52" t="str">
            <v/>
          </cell>
          <cell r="C52" t="str">
            <v>20100528</v>
          </cell>
          <cell r="D52" t="str">
            <v>6300011048</v>
          </cell>
          <cell r="E52" t="str">
            <v>AXIS C F 28052010</v>
          </cell>
          <cell r="F52" t="str">
            <v>AXIS CASHIERS</v>
          </cell>
          <cell r="G52" t="str">
            <v>HTH0216234 AXIS Cashiers CR33402</v>
          </cell>
          <cell r="H52">
            <v>40326</v>
          </cell>
          <cell r="I52">
            <v>-109647</v>
          </cell>
        </row>
        <row r="53">
          <cell r="A53">
            <v>938565</v>
          </cell>
          <cell r="B53" t="str">
            <v/>
          </cell>
          <cell r="C53" t="str">
            <v>20100528</v>
          </cell>
          <cell r="D53" t="str">
            <v>6300011048</v>
          </cell>
          <cell r="E53" t="str">
            <v>AXIS C F 28052010</v>
          </cell>
          <cell r="F53" t="str">
            <v>AXIS CASHIERS</v>
          </cell>
          <cell r="G53" t="str">
            <v>HTH0216235 AXIS Cashiers CR33402</v>
          </cell>
          <cell r="H53">
            <v>40326</v>
          </cell>
          <cell r="I53">
            <v>-116031</v>
          </cell>
        </row>
        <row r="54">
          <cell r="A54">
            <v>938215</v>
          </cell>
          <cell r="B54" t="str">
            <v/>
          </cell>
          <cell r="C54" t="str">
            <v>20100528</v>
          </cell>
          <cell r="D54" t="str">
            <v>6300011048</v>
          </cell>
          <cell r="E54" t="str">
            <v>AXIS C F 28052010</v>
          </cell>
          <cell r="F54" t="str">
            <v>AXIS CASHIERS</v>
          </cell>
          <cell r="G54" t="str">
            <v>HTH0216236 AXIS Cashiers CR33402</v>
          </cell>
          <cell r="H54">
            <v>40326</v>
          </cell>
          <cell r="I54">
            <v>-137344</v>
          </cell>
        </row>
        <row r="55">
          <cell r="A55">
            <v>938200</v>
          </cell>
          <cell r="B55" t="str">
            <v/>
          </cell>
          <cell r="C55" t="str">
            <v>20100528</v>
          </cell>
          <cell r="D55" t="str">
            <v>6300011048</v>
          </cell>
          <cell r="E55" t="str">
            <v>AXIS C F 28052010</v>
          </cell>
          <cell r="F55" t="str">
            <v>AXIS CASHIERS</v>
          </cell>
          <cell r="G55" t="str">
            <v>HTH0216237 AXIS Cashiers CR33402</v>
          </cell>
          <cell r="H55">
            <v>40326</v>
          </cell>
          <cell r="I55">
            <v>-298028</v>
          </cell>
        </row>
        <row r="56">
          <cell r="A56">
            <v>938245</v>
          </cell>
          <cell r="B56" t="str">
            <v/>
          </cell>
          <cell r="C56" t="str">
            <v>20100528</v>
          </cell>
          <cell r="D56" t="str">
            <v>6300011048</v>
          </cell>
          <cell r="E56" t="str">
            <v>AXIS C F 28052010</v>
          </cell>
          <cell r="F56" t="str">
            <v>AXIS CASHIERS</v>
          </cell>
          <cell r="G56" t="str">
            <v>HTH0216238 AXIS Cashiers CR33402</v>
          </cell>
          <cell r="H56">
            <v>40326</v>
          </cell>
          <cell r="I56">
            <v>-68365</v>
          </cell>
        </row>
        <row r="57">
          <cell r="A57">
            <v>938450</v>
          </cell>
          <cell r="B57" t="str">
            <v/>
          </cell>
          <cell r="C57" t="str">
            <v>20100528</v>
          </cell>
          <cell r="D57" t="str">
            <v>6300011048</v>
          </cell>
          <cell r="E57" t="str">
            <v>AXIS C F 28052010</v>
          </cell>
          <cell r="F57" t="str">
            <v>AXIS CASHIERS</v>
          </cell>
          <cell r="G57" t="str">
            <v>HTH0216239 AXIS Cashiers CR33402</v>
          </cell>
          <cell r="H57">
            <v>40326</v>
          </cell>
          <cell r="I57">
            <v>-512720</v>
          </cell>
        </row>
        <row r="58">
          <cell r="A58">
            <v>938475</v>
          </cell>
          <cell r="B58" t="str">
            <v/>
          </cell>
          <cell r="C58" t="str">
            <v>20100528</v>
          </cell>
          <cell r="D58" t="str">
            <v>6300011048</v>
          </cell>
          <cell r="E58" t="str">
            <v>AXIS C F 28052010</v>
          </cell>
          <cell r="F58" t="str">
            <v>AXIS CASHIERS</v>
          </cell>
          <cell r="G58" t="str">
            <v>HTH0216240 AXIS Cashiers CR33402</v>
          </cell>
          <cell r="H58">
            <v>40326</v>
          </cell>
          <cell r="I58">
            <v>-746617</v>
          </cell>
        </row>
        <row r="59">
          <cell r="A59">
            <v>938085</v>
          </cell>
          <cell r="B59" t="str">
            <v/>
          </cell>
          <cell r="C59" t="str">
            <v>20100528</v>
          </cell>
          <cell r="D59" t="str">
            <v>6300011048</v>
          </cell>
          <cell r="E59" t="str">
            <v>AXIS C F 28052010</v>
          </cell>
          <cell r="F59" t="str">
            <v>AXIS CASHIERS</v>
          </cell>
          <cell r="G59" t="str">
            <v>HTH0216241 AXIS Cashiers CR33402</v>
          </cell>
          <cell r="H59">
            <v>40326</v>
          </cell>
          <cell r="I59">
            <v>-119694</v>
          </cell>
        </row>
        <row r="61">
          <cell r="A61">
            <v>938205</v>
          </cell>
          <cell r="B61" t="str">
            <v/>
          </cell>
          <cell r="C61" t="str">
            <v>20100528</v>
          </cell>
          <cell r="D61" t="str">
            <v>6300011048</v>
          </cell>
          <cell r="E61" t="str">
            <v>AXIS C F 28052010</v>
          </cell>
          <cell r="F61" t="str">
            <v>AXIS CASHIERS</v>
          </cell>
          <cell r="G61" t="str">
            <v>HTH0216252 AXIS Cashiers CR33403</v>
          </cell>
          <cell r="H61">
            <v>40326</v>
          </cell>
          <cell r="I61">
            <v>-11142</v>
          </cell>
        </row>
        <row r="62">
          <cell r="A62">
            <v>938560</v>
          </cell>
          <cell r="B62" t="str">
            <v/>
          </cell>
          <cell r="C62" t="str">
            <v>20100528</v>
          </cell>
          <cell r="D62" t="str">
            <v>6300011048</v>
          </cell>
          <cell r="E62" t="str">
            <v>AXIS C F 28052010</v>
          </cell>
          <cell r="F62" t="str">
            <v>AXIS CASHIERS</v>
          </cell>
          <cell r="G62" t="str">
            <v>HTH0216253 AXIS Cashiers CR33403</v>
          </cell>
          <cell r="H62">
            <v>40326</v>
          </cell>
          <cell r="I62">
            <v>-81488</v>
          </cell>
        </row>
        <row r="63">
          <cell r="A63">
            <v>938290</v>
          </cell>
          <cell r="B63" t="str">
            <v/>
          </cell>
          <cell r="C63" t="str">
            <v>20100528</v>
          </cell>
          <cell r="D63" t="str">
            <v>6300011048</v>
          </cell>
          <cell r="E63" t="str">
            <v>AXIS C F 28052010</v>
          </cell>
          <cell r="F63" t="str">
            <v>AXIS CASHIERS</v>
          </cell>
          <cell r="G63" t="str">
            <v>HTH0216254 AXIS Cashiers CR33403</v>
          </cell>
          <cell r="H63">
            <v>40326</v>
          </cell>
          <cell r="I63">
            <v>-24594</v>
          </cell>
        </row>
        <row r="64">
          <cell r="A64">
            <v>938080</v>
          </cell>
          <cell r="B64" t="str">
            <v/>
          </cell>
          <cell r="C64" t="str">
            <v>20100528</v>
          </cell>
          <cell r="D64" t="str">
            <v>6300011048</v>
          </cell>
          <cell r="E64" t="str">
            <v>AXIS C F 28052010</v>
          </cell>
          <cell r="F64" t="str">
            <v>AXIS CASHIERS</v>
          </cell>
          <cell r="G64" t="str">
            <v>HTH0216255 AXIS Cashiers CR33403</v>
          </cell>
          <cell r="H64">
            <v>40326</v>
          </cell>
          <cell r="I64">
            <v>-8376</v>
          </cell>
        </row>
        <row r="66">
          <cell r="A66">
            <v>938437</v>
          </cell>
          <cell r="B66" t="str">
            <v/>
          </cell>
          <cell r="C66" t="str">
            <v>20100601</v>
          </cell>
          <cell r="D66" t="str">
            <v>6300011062</v>
          </cell>
          <cell r="E66" t="str">
            <v>AXIS C F 01062010</v>
          </cell>
          <cell r="F66" t="str">
            <v>AXIS CASHIERS</v>
          </cell>
          <cell r="G66" t="str">
            <v>NLBP137595 AXIS Cashiers</v>
          </cell>
          <cell r="H66">
            <v>40330</v>
          </cell>
          <cell r="I66">
            <v>-12526</v>
          </cell>
        </row>
        <row r="67">
          <cell r="A67">
            <v>938395</v>
          </cell>
          <cell r="B67" t="str">
            <v/>
          </cell>
          <cell r="C67" t="str">
            <v>20100601</v>
          </cell>
          <cell r="D67" t="str">
            <v>6300011062</v>
          </cell>
          <cell r="E67" t="str">
            <v>AXIS C F 01062010</v>
          </cell>
          <cell r="F67" t="str">
            <v>AXIS CASHIERS</v>
          </cell>
          <cell r="G67" t="str">
            <v>NLBP137596 AXIS Cashiers</v>
          </cell>
          <cell r="H67">
            <v>40330</v>
          </cell>
          <cell r="I67">
            <v>-42500</v>
          </cell>
        </row>
        <row r="68">
          <cell r="A68">
            <v>938390</v>
          </cell>
          <cell r="B68" t="str">
            <v/>
          </cell>
          <cell r="C68" t="str">
            <v>20100601</v>
          </cell>
          <cell r="D68" t="str">
            <v>6300011062</v>
          </cell>
          <cell r="E68" t="str">
            <v>AXIS C F 01062010</v>
          </cell>
          <cell r="F68" t="str">
            <v>AXIS CASHIERS</v>
          </cell>
          <cell r="G68" t="str">
            <v>NLBP137597 AXIS Cashiers</v>
          </cell>
          <cell r="H68">
            <v>40330</v>
          </cell>
          <cell r="I68">
            <v>-91930</v>
          </cell>
        </row>
        <row r="70">
          <cell r="A70">
            <v>938325</v>
          </cell>
          <cell r="B70" t="str">
            <v/>
          </cell>
          <cell r="C70" t="str">
            <v>20100607</v>
          </cell>
          <cell r="D70" t="str">
            <v>6300011120</v>
          </cell>
          <cell r="E70" t="str">
            <v>AXIS C F 07062010</v>
          </cell>
          <cell r="F70" t="str">
            <v>AXIS CASHIERS</v>
          </cell>
          <cell r="G70" t="str">
            <v>HTH0326050 AXIS Cashiers</v>
          </cell>
          <cell r="H70">
            <v>40336</v>
          </cell>
          <cell r="I70">
            <v>-63483</v>
          </cell>
        </row>
        <row r="71">
          <cell r="A71">
            <v>938570</v>
          </cell>
          <cell r="B71" t="str">
            <v/>
          </cell>
          <cell r="C71" t="str">
            <v>20100607</v>
          </cell>
          <cell r="D71" t="str">
            <v>6300011120</v>
          </cell>
          <cell r="E71" t="str">
            <v>AXIS C F 07062010</v>
          </cell>
          <cell r="F71" t="str">
            <v>AXIS CASHIERS</v>
          </cell>
          <cell r="G71" t="str">
            <v>HTH0326051 AXIS Cashiers</v>
          </cell>
          <cell r="H71">
            <v>40336</v>
          </cell>
          <cell r="I71">
            <v>-73820</v>
          </cell>
        </row>
        <row r="72">
          <cell r="A72">
            <v>938370</v>
          </cell>
          <cell r="B72" t="str">
            <v/>
          </cell>
          <cell r="C72" t="str">
            <v>20100607</v>
          </cell>
          <cell r="D72" t="str">
            <v>6300011120</v>
          </cell>
          <cell r="E72" t="str">
            <v>AXIS C F 07062010</v>
          </cell>
          <cell r="F72" t="str">
            <v>AXIS CASHIERS</v>
          </cell>
          <cell r="G72" t="str">
            <v>HTH0326052 AXIS Cashiers</v>
          </cell>
          <cell r="H72">
            <v>40336</v>
          </cell>
          <cell r="I72">
            <v>-87936</v>
          </cell>
        </row>
        <row r="73">
          <cell r="A73">
            <v>938110</v>
          </cell>
          <cell r="B73" t="str">
            <v/>
          </cell>
          <cell r="C73" t="str">
            <v>20100607</v>
          </cell>
          <cell r="D73" t="str">
            <v>6300011120</v>
          </cell>
          <cell r="E73" t="str">
            <v>AXIS C F 07062010</v>
          </cell>
          <cell r="F73" t="str">
            <v>AXIS CASHIERS</v>
          </cell>
          <cell r="G73" t="str">
            <v>HTH0326053 AXIS Cashiers</v>
          </cell>
          <cell r="H73">
            <v>40336</v>
          </cell>
          <cell r="I73">
            <v>-137897</v>
          </cell>
        </row>
        <row r="74">
          <cell r="A74">
            <v>938240</v>
          </cell>
          <cell r="B74" t="str">
            <v/>
          </cell>
          <cell r="C74" t="str">
            <v>20100607</v>
          </cell>
          <cell r="D74" t="str">
            <v>6300011120</v>
          </cell>
          <cell r="E74" t="str">
            <v>AXIS C F 07062010</v>
          </cell>
          <cell r="F74" t="str">
            <v>AXIS CASHIERS</v>
          </cell>
          <cell r="G74" t="str">
            <v>HTH0326054 AXIS Cashiers</v>
          </cell>
          <cell r="H74">
            <v>40336</v>
          </cell>
          <cell r="I74">
            <v>-26552</v>
          </cell>
        </row>
        <row r="75">
          <cell r="A75">
            <v>938040</v>
          </cell>
          <cell r="B75" t="str">
            <v/>
          </cell>
          <cell r="C75" t="str">
            <v>20100607</v>
          </cell>
          <cell r="D75" t="str">
            <v>6300011120</v>
          </cell>
          <cell r="E75" t="str">
            <v>AXIS C F 07062010</v>
          </cell>
          <cell r="F75" t="str">
            <v>AXIS CASHIERS</v>
          </cell>
          <cell r="G75" t="str">
            <v>HTH0326055 AXIS Cashiers</v>
          </cell>
          <cell r="H75">
            <v>40336</v>
          </cell>
          <cell r="I75">
            <v>-18955</v>
          </cell>
        </row>
        <row r="76">
          <cell r="A76">
            <v>938285</v>
          </cell>
          <cell r="B76" t="str">
            <v/>
          </cell>
          <cell r="C76" t="str">
            <v>20100607</v>
          </cell>
          <cell r="D76" t="str">
            <v>6300011120</v>
          </cell>
          <cell r="E76" t="str">
            <v>AXIS C F 07062010</v>
          </cell>
          <cell r="F76" t="str">
            <v>AXIS CASHIERS</v>
          </cell>
          <cell r="G76" t="str">
            <v>HTH0326056 AXIS Cashiers</v>
          </cell>
          <cell r="H76">
            <v>40336</v>
          </cell>
          <cell r="I76">
            <v>-61125</v>
          </cell>
        </row>
        <row r="77">
          <cell r="A77">
            <v>938265</v>
          </cell>
          <cell r="B77" t="str">
            <v/>
          </cell>
          <cell r="C77" t="str">
            <v>20100607</v>
          </cell>
          <cell r="D77" t="str">
            <v>6300011120</v>
          </cell>
          <cell r="E77" t="str">
            <v>AXIS C F 07062010</v>
          </cell>
          <cell r="F77" t="str">
            <v>AXIS CASHIERS</v>
          </cell>
          <cell r="G77" t="str">
            <v>HTH0326057 AXIS Cashiers</v>
          </cell>
          <cell r="H77">
            <v>40336</v>
          </cell>
          <cell r="I77">
            <v>-43103</v>
          </cell>
        </row>
        <row r="78">
          <cell r="A78">
            <v>938405</v>
          </cell>
          <cell r="B78" t="str">
            <v/>
          </cell>
          <cell r="C78" t="str">
            <v>20100607</v>
          </cell>
          <cell r="D78" t="str">
            <v>6300011120</v>
          </cell>
          <cell r="E78" t="str">
            <v>AXIS C F 07062010</v>
          </cell>
          <cell r="F78" t="str">
            <v>AXIS CASHIERS</v>
          </cell>
          <cell r="G78" t="str">
            <v>HTH0326058 AXIS Cashiers</v>
          </cell>
          <cell r="H78">
            <v>40336</v>
          </cell>
          <cell r="I78">
            <v>-157182</v>
          </cell>
        </row>
        <row r="80">
          <cell r="A80">
            <v>938030</v>
          </cell>
          <cell r="B80" t="str">
            <v/>
          </cell>
          <cell r="C80" t="str">
            <v>20100610</v>
          </cell>
          <cell r="D80" t="str">
            <v>6300011168</v>
          </cell>
          <cell r="E80" t="str">
            <v>AXIS C F 10062010</v>
          </cell>
          <cell r="F80" t="str">
            <v>AXIS CASHIERS</v>
          </cell>
          <cell r="G80" t="str">
            <v>NLBP138028 AXIS Cashiers</v>
          </cell>
          <cell r="H80">
            <v>40339</v>
          </cell>
          <cell r="I80">
            <v>-248663</v>
          </cell>
        </row>
        <row r="81">
          <cell r="A81">
            <v>938000</v>
          </cell>
          <cell r="B81" t="str">
            <v/>
          </cell>
          <cell r="C81" t="str">
            <v>20100610</v>
          </cell>
          <cell r="D81" t="str">
            <v>6300011168</v>
          </cell>
          <cell r="E81" t="str">
            <v>AXIS C F 10062010</v>
          </cell>
          <cell r="F81" t="str">
            <v>AXIS CASHIERS</v>
          </cell>
          <cell r="G81" t="str">
            <v>NLBP138029 AXIS Cashiers</v>
          </cell>
          <cell r="H81">
            <v>40339</v>
          </cell>
          <cell r="I81">
            <v>-24741</v>
          </cell>
        </row>
        <row r="82">
          <cell r="A82">
            <v>938125</v>
          </cell>
          <cell r="B82" t="str">
            <v/>
          </cell>
          <cell r="C82" t="str">
            <v>20100610</v>
          </cell>
          <cell r="D82" t="str">
            <v>6300011168</v>
          </cell>
          <cell r="E82" t="str">
            <v>AXIS C F 10062010</v>
          </cell>
          <cell r="F82" t="str">
            <v>AXIS CASHIERS</v>
          </cell>
          <cell r="G82" t="str">
            <v>NLBP138030 AXIS Cashiers</v>
          </cell>
          <cell r="H82">
            <v>40339</v>
          </cell>
          <cell r="I82">
            <v>-126422</v>
          </cell>
        </row>
        <row r="84">
          <cell r="A84">
            <v>938010</v>
          </cell>
          <cell r="B84" t="str">
            <v/>
          </cell>
          <cell r="C84" t="str">
            <v>20100611</v>
          </cell>
          <cell r="D84" t="str">
            <v>6300011184</v>
          </cell>
          <cell r="E84" t="str">
            <v>AXIS C F 11062010</v>
          </cell>
          <cell r="F84" t="str">
            <v>AXIS CASHIERS</v>
          </cell>
          <cell r="G84" t="str">
            <v>NLBP138320 AXIS Cashiers</v>
          </cell>
          <cell r="H84">
            <v>40340</v>
          </cell>
          <cell r="I84">
            <v>-107258</v>
          </cell>
        </row>
        <row r="85">
          <cell r="A85">
            <v>938015</v>
          </cell>
          <cell r="B85" t="str">
            <v/>
          </cell>
          <cell r="C85" t="str">
            <v>20100611</v>
          </cell>
          <cell r="D85" t="str">
            <v>6300011184</v>
          </cell>
          <cell r="E85" t="str">
            <v>AXIS C F 11062010</v>
          </cell>
          <cell r="F85" t="str">
            <v>AXIS CASHIERS</v>
          </cell>
          <cell r="G85" t="str">
            <v>NLBP138321 AXIS Cashiers</v>
          </cell>
          <cell r="H85">
            <v>40340</v>
          </cell>
          <cell r="I85">
            <v>-50036</v>
          </cell>
        </row>
        <row r="86">
          <cell r="A86">
            <v>938045</v>
          </cell>
          <cell r="B86" t="str">
            <v/>
          </cell>
          <cell r="C86" t="str">
            <v>20100611</v>
          </cell>
          <cell r="D86" t="str">
            <v>6300011184</v>
          </cell>
          <cell r="E86" t="str">
            <v>AXIS C F 11062010</v>
          </cell>
          <cell r="F86" t="str">
            <v>AXIS CASHIERS</v>
          </cell>
          <cell r="G86" t="str">
            <v>NLBP138322 AXIS Cashiers</v>
          </cell>
          <cell r="H86">
            <v>40340</v>
          </cell>
          <cell r="I86">
            <v>-49672</v>
          </cell>
        </row>
        <row r="87">
          <cell r="A87">
            <v>938100</v>
          </cell>
          <cell r="B87" t="str">
            <v/>
          </cell>
          <cell r="C87" t="str">
            <v>20100611</v>
          </cell>
          <cell r="D87" t="str">
            <v>6300011184</v>
          </cell>
          <cell r="E87" t="str">
            <v>AXIS C F 11062010</v>
          </cell>
          <cell r="F87" t="str">
            <v>AXIS CASHIERS</v>
          </cell>
          <cell r="G87" t="str">
            <v>NLBP138323 AXIS Cashiers</v>
          </cell>
          <cell r="H87">
            <v>40340</v>
          </cell>
          <cell r="I87">
            <v>-21809</v>
          </cell>
        </row>
        <row r="88">
          <cell r="A88">
            <v>938105</v>
          </cell>
          <cell r="B88" t="str">
            <v/>
          </cell>
          <cell r="C88" t="str">
            <v>20100611</v>
          </cell>
          <cell r="D88" t="str">
            <v>6300011184</v>
          </cell>
          <cell r="E88" t="str">
            <v>AXIS C F 11062010</v>
          </cell>
          <cell r="F88" t="str">
            <v>AXIS CASHIERS</v>
          </cell>
          <cell r="G88" t="str">
            <v>NLBP138324 AXIS Cashiers</v>
          </cell>
          <cell r="H88">
            <v>40340</v>
          </cell>
          <cell r="I88">
            <v>-102862</v>
          </cell>
        </row>
        <row r="89">
          <cell r="A89">
            <v>938155</v>
          </cell>
          <cell r="B89" t="str">
            <v/>
          </cell>
          <cell r="C89" t="str">
            <v>20100611</v>
          </cell>
          <cell r="D89" t="str">
            <v>6300011184</v>
          </cell>
          <cell r="E89" t="str">
            <v>AXIS C F 11062010</v>
          </cell>
          <cell r="F89" t="str">
            <v>AXIS CASHIERS</v>
          </cell>
          <cell r="G89" t="str">
            <v>NLBP138325 AXIS Cashiers</v>
          </cell>
          <cell r="H89">
            <v>40340</v>
          </cell>
          <cell r="I89">
            <v>-86469</v>
          </cell>
        </row>
        <row r="90">
          <cell r="A90">
            <v>938330</v>
          </cell>
          <cell r="B90" t="str">
            <v/>
          </cell>
          <cell r="C90" t="str">
            <v>20100611</v>
          </cell>
          <cell r="D90" t="str">
            <v>6300011184</v>
          </cell>
          <cell r="E90" t="str">
            <v>AXIS C F 11062010</v>
          </cell>
          <cell r="F90" t="str">
            <v>AXIS CASHIERS</v>
          </cell>
          <cell r="G90" t="str">
            <v>NLBP138326 AXIS Cashiers</v>
          </cell>
          <cell r="H90">
            <v>40340</v>
          </cell>
          <cell r="I90">
            <v>-781</v>
          </cell>
        </row>
        <row r="91">
          <cell r="A91">
            <v>938340</v>
          </cell>
          <cell r="B91" t="str">
            <v/>
          </cell>
          <cell r="C91" t="str">
            <v>20100611</v>
          </cell>
          <cell r="D91" t="str">
            <v>6300011184</v>
          </cell>
          <cell r="E91" t="str">
            <v>AXIS C F 11062010</v>
          </cell>
          <cell r="F91" t="str">
            <v>AXIS CASHIERS</v>
          </cell>
          <cell r="G91" t="str">
            <v>NLBP138327 AXIS Cashiers</v>
          </cell>
          <cell r="H91">
            <v>40340</v>
          </cell>
          <cell r="I91">
            <v>-3269</v>
          </cell>
        </row>
        <row r="92">
          <cell r="A92">
            <v>938400</v>
          </cell>
          <cell r="B92" t="str">
            <v/>
          </cell>
          <cell r="C92" t="str">
            <v>20100611</v>
          </cell>
          <cell r="D92" t="str">
            <v>6300011184</v>
          </cell>
          <cell r="E92" t="str">
            <v>AXIS C F 11062010</v>
          </cell>
          <cell r="F92" t="str">
            <v>AXIS CASHIERS</v>
          </cell>
          <cell r="G92" t="str">
            <v>NLBP138328 AXIS Cashiers</v>
          </cell>
          <cell r="H92">
            <v>40340</v>
          </cell>
          <cell r="I92">
            <v>-16081</v>
          </cell>
        </row>
        <row r="93">
          <cell r="A93">
            <v>938420</v>
          </cell>
          <cell r="B93" t="str">
            <v/>
          </cell>
          <cell r="C93" t="str">
            <v>20100611</v>
          </cell>
          <cell r="D93" t="str">
            <v>6300011184</v>
          </cell>
          <cell r="E93" t="str">
            <v>AXIS C F 11062010</v>
          </cell>
          <cell r="F93" t="str">
            <v>AXIS CASHIERS</v>
          </cell>
          <cell r="G93" t="str">
            <v>NLBP138329 AXIS Cashiers</v>
          </cell>
          <cell r="H93">
            <v>40340</v>
          </cell>
          <cell r="I93">
            <v>-7369</v>
          </cell>
        </row>
        <row r="95">
          <cell r="A95">
            <v>938235</v>
          </cell>
          <cell r="B95" t="str">
            <v/>
          </cell>
          <cell r="C95" t="str">
            <v>20100611</v>
          </cell>
          <cell r="D95" t="str">
            <v>6300011184</v>
          </cell>
          <cell r="E95" t="str">
            <v>AXIS C F 11062010</v>
          </cell>
          <cell r="F95" t="str">
            <v>AXIS CASHIERS</v>
          </cell>
          <cell r="G95" t="str">
            <v>NLBP138360 AXIS Cashiers</v>
          </cell>
          <cell r="H95">
            <v>40340</v>
          </cell>
          <cell r="I95">
            <v>-45483</v>
          </cell>
        </row>
        <row r="96">
          <cell r="A96">
            <v>938545</v>
          </cell>
          <cell r="B96" t="str">
            <v/>
          </cell>
          <cell r="C96" t="str">
            <v>20100611</v>
          </cell>
          <cell r="D96" t="str">
            <v>6300011184</v>
          </cell>
          <cell r="E96" t="str">
            <v>AXIS C F 11062010</v>
          </cell>
          <cell r="F96" t="str">
            <v>AXIS CASHIERS</v>
          </cell>
          <cell r="G96" t="str">
            <v>NLBP138361 AXIS Cashiers</v>
          </cell>
          <cell r="H96">
            <v>40340</v>
          </cell>
          <cell r="I96">
            <v>-243338</v>
          </cell>
        </row>
        <row r="98">
          <cell r="A98">
            <v>938310</v>
          </cell>
          <cell r="B98" t="str">
            <v/>
          </cell>
          <cell r="C98" t="str">
            <v>20100617</v>
          </cell>
          <cell r="D98" t="str">
            <v>6300011246</v>
          </cell>
          <cell r="E98" t="str">
            <v>AXIS C F 17062010</v>
          </cell>
          <cell r="F98" t="str">
            <v>AXIS CASHIERS</v>
          </cell>
          <cell r="G98" t="str">
            <v>NLBP138715 AXIS Cashiers</v>
          </cell>
          <cell r="H98">
            <v>40346</v>
          </cell>
          <cell r="I98">
            <v>-9463</v>
          </cell>
        </row>
        <row r="99">
          <cell r="A99">
            <v>938115</v>
          </cell>
          <cell r="B99" t="str">
            <v/>
          </cell>
          <cell r="C99" t="str">
            <v>20100617</v>
          </cell>
          <cell r="D99" t="str">
            <v>6300011246</v>
          </cell>
          <cell r="E99" t="str">
            <v>AXIS C F 17062010</v>
          </cell>
          <cell r="F99" t="str">
            <v>AXIS CASHIERS</v>
          </cell>
          <cell r="G99" t="str">
            <v>NLBP138716 AXIS Cashiers</v>
          </cell>
          <cell r="H99">
            <v>40346</v>
          </cell>
          <cell r="I99">
            <v>-20114</v>
          </cell>
        </row>
        <row r="100">
          <cell r="A100">
            <v>938435</v>
          </cell>
          <cell r="B100" t="str">
            <v/>
          </cell>
          <cell r="C100" t="str">
            <v>20100617</v>
          </cell>
          <cell r="D100" t="str">
            <v>6300011246</v>
          </cell>
          <cell r="E100" t="str">
            <v>AXIS C F 17062010</v>
          </cell>
          <cell r="F100" t="str">
            <v>AXIS CASHIERS</v>
          </cell>
          <cell r="G100" t="str">
            <v>NLBP138717 AXIS Cashiers</v>
          </cell>
          <cell r="H100">
            <v>40346</v>
          </cell>
          <cell r="I100">
            <v>-70243</v>
          </cell>
        </row>
        <row r="101">
          <cell r="A101">
            <v>938145</v>
          </cell>
          <cell r="B101" t="str">
            <v/>
          </cell>
          <cell r="C101" t="str">
            <v>20100617</v>
          </cell>
          <cell r="D101" t="str">
            <v>6300011246</v>
          </cell>
          <cell r="E101" t="str">
            <v>AXIS C F 17062010</v>
          </cell>
          <cell r="F101" t="str">
            <v>AXIS CASHIERS</v>
          </cell>
          <cell r="G101" t="str">
            <v>NLBP138718 AXIS Cashiers</v>
          </cell>
          <cell r="H101">
            <v>40346</v>
          </cell>
          <cell r="I101">
            <v>-12262</v>
          </cell>
        </row>
        <row r="103">
          <cell r="A103">
            <v>938410</v>
          </cell>
          <cell r="B103" t="str">
            <v/>
          </cell>
          <cell r="C103" t="str">
            <v>20100617</v>
          </cell>
          <cell r="D103" t="str">
            <v>6300011246</v>
          </cell>
          <cell r="E103" t="str">
            <v>AXIS C F 17062010</v>
          </cell>
          <cell r="F103" t="str">
            <v>AXIS CASHIERS</v>
          </cell>
          <cell r="G103" t="str">
            <v>NLBP138871 AXIS Cashiers</v>
          </cell>
          <cell r="H103">
            <v>40346</v>
          </cell>
          <cell r="I103">
            <v>-31800</v>
          </cell>
        </row>
        <row r="104">
          <cell r="A104">
            <v>938580</v>
          </cell>
          <cell r="B104" t="str">
            <v/>
          </cell>
          <cell r="C104" t="str">
            <v>20100617</v>
          </cell>
          <cell r="D104" t="str">
            <v>6300011246</v>
          </cell>
          <cell r="E104" t="str">
            <v>AXIS C F 17062010</v>
          </cell>
          <cell r="F104" t="str">
            <v>AXIS CASHIERS</v>
          </cell>
          <cell r="G104" t="str">
            <v>NLBP138872 AXIS Cashiers</v>
          </cell>
          <cell r="H104">
            <v>40346</v>
          </cell>
          <cell r="I104">
            <v>-195904</v>
          </cell>
        </row>
        <row r="105">
          <cell r="A105">
            <v>938295</v>
          </cell>
          <cell r="B105" t="str">
            <v/>
          </cell>
          <cell r="C105" t="str">
            <v>20100617</v>
          </cell>
          <cell r="D105" t="str">
            <v>6300011246</v>
          </cell>
          <cell r="E105" t="str">
            <v>AXIS C F 17062010</v>
          </cell>
          <cell r="F105" t="str">
            <v>AXIS CASHIERS</v>
          </cell>
          <cell r="G105" t="str">
            <v>NLBP138873 AXIS Cashiers</v>
          </cell>
          <cell r="H105">
            <v>40346</v>
          </cell>
          <cell r="I105">
            <v>-28122</v>
          </cell>
        </row>
        <row r="107">
          <cell r="A107">
            <v>938280</v>
          </cell>
          <cell r="B107" t="str">
            <v/>
          </cell>
          <cell r="C107" t="str">
            <v>20100621</v>
          </cell>
          <cell r="D107" t="str">
            <v>6300011274</v>
          </cell>
          <cell r="E107" t="str">
            <v>AXIS C F 21062010</v>
          </cell>
          <cell r="F107" t="str">
            <v>AXIS CASHIERS</v>
          </cell>
          <cell r="G107" t="str">
            <v>NLBP215709 AXIS Cashiers</v>
          </cell>
          <cell r="H107">
            <v>40350</v>
          </cell>
          <cell r="I107">
            <v>-15256</v>
          </cell>
        </row>
        <row r="108">
          <cell r="A108">
            <v>938300</v>
          </cell>
          <cell r="B108" t="str">
            <v/>
          </cell>
          <cell r="C108" t="str">
            <v>20100621</v>
          </cell>
          <cell r="D108" t="str">
            <v>6300011274</v>
          </cell>
          <cell r="E108" t="str">
            <v>AXIS C F 21062010</v>
          </cell>
          <cell r="F108" t="str">
            <v>AXIS CASHIERS</v>
          </cell>
          <cell r="G108" t="str">
            <v>NLBP215710 AXIS Cashiers</v>
          </cell>
          <cell r="H108">
            <v>40350</v>
          </cell>
          <cell r="I108">
            <v>-43045</v>
          </cell>
        </row>
        <row r="110">
          <cell r="A110">
            <v>938195</v>
          </cell>
          <cell r="B110" t="str">
            <v/>
          </cell>
          <cell r="C110" t="str">
            <v>20100625</v>
          </cell>
          <cell r="D110" t="str">
            <v>6300011328</v>
          </cell>
          <cell r="E110" t="str">
            <v>AXIS C F 25062010</v>
          </cell>
          <cell r="F110" t="str">
            <v>AXIS CASHIERS</v>
          </cell>
          <cell r="G110" t="str">
            <v>NLBP138916 AXIS Cashiers</v>
          </cell>
          <cell r="H110">
            <v>40354</v>
          </cell>
          <cell r="I110">
            <v>-69977</v>
          </cell>
        </row>
        <row r="111">
          <cell r="A111">
            <v>938090</v>
          </cell>
          <cell r="B111" t="str">
            <v/>
          </cell>
          <cell r="C111" t="str">
            <v>20100625</v>
          </cell>
          <cell r="D111" t="str">
            <v>6300011328</v>
          </cell>
          <cell r="E111" t="str">
            <v>AXIS C F 25062010</v>
          </cell>
          <cell r="F111" t="str">
            <v>AXIS CASHIERS</v>
          </cell>
          <cell r="G111" t="str">
            <v>NLBP138917 AXIS Cashiers</v>
          </cell>
          <cell r="H111">
            <v>40354</v>
          </cell>
          <cell r="I111">
            <v>-36847</v>
          </cell>
        </row>
        <row r="112">
          <cell r="A112">
            <v>938425</v>
          </cell>
          <cell r="B112" t="str">
            <v/>
          </cell>
          <cell r="C112" t="str">
            <v>20100625</v>
          </cell>
          <cell r="D112" t="str">
            <v>6300011328</v>
          </cell>
          <cell r="E112" t="str">
            <v>AXIS C F 25062010</v>
          </cell>
          <cell r="F112" t="str">
            <v>AXIS CASHIERS</v>
          </cell>
          <cell r="G112" t="str">
            <v>NLBP138918 AXIS Cashiers</v>
          </cell>
          <cell r="H112">
            <v>40354</v>
          </cell>
          <cell r="I112">
            <v>-47968</v>
          </cell>
        </row>
        <row r="114">
          <cell r="A114">
            <v>938165</v>
          </cell>
          <cell r="B114" t="str">
            <v/>
          </cell>
          <cell r="C114" t="str">
            <v>20100628</v>
          </cell>
          <cell r="D114" t="str">
            <v>6300011346</v>
          </cell>
          <cell r="E114" t="str">
            <v>AXIS C F 28062010</v>
          </cell>
          <cell r="F114" t="str">
            <v>AXIS CASHIERS</v>
          </cell>
          <cell r="G114" t="str">
            <v>NLBP139215 AXIS Cashiers</v>
          </cell>
          <cell r="H114">
            <v>40357</v>
          </cell>
          <cell r="I114">
            <v>-35355</v>
          </cell>
        </row>
        <row r="116">
          <cell r="A116">
            <v>938485</v>
          </cell>
          <cell r="B116" t="str">
            <v/>
          </cell>
          <cell r="C116" t="str">
            <v>20100707</v>
          </cell>
          <cell r="D116" t="str">
            <v>6300011444</v>
          </cell>
          <cell r="E116" t="str">
            <v>AXIS C F 07072010</v>
          </cell>
          <cell r="F116" t="str">
            <v>AXIS CASHIERS</v>
          </cell>
          <cell r="G116" t="str">
            <v>NLBP140089 AXIS Cashiers</v>
          </cell>
          <cell r="H116">
            <v>40366</v>
          </cell>
          <cell r="I116">
            <v>-54808</v>
          </cell>
        </row>
        <row r="118">
          <cell r="A118">
            <v>938320</v>
          </cell>
          <cell r="B118" t="str">
            <v/>
          </cell>
          <cell r="C118" t="str">
            <v>20100715</v>
          </cell>
          <cell r="D118" t="str">
            <v>6300011537</v>
          </cell>
          <cell r="E118" t="str">
            <v>AXIS C F 15072010</v>
          </cell>
          <cell r="F118" t="str">
            <v>AXIS CASHIERS</v>
          </cell>
          <cell r="G118" t="str">
            <v>NLBP140732 AXIS Cashiers</v>
          </cell>
          <cell r="H118">
            <v>40374</v>
          </cell>
          <cell r="I118">
            <v>-36873</v>
          </cell>
        </row>
        <row r="119">
          <cell r="I119">
            <v>-5907727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 A P = C A B 16.06.2010"/>
      <sheetName val="PERIOD 2 TOTALS."/>
      <sheetName val="16.06.2010. period 2"/>
    </sheetNames>
    <sheetDataSet>
      <sheetData sheetId="1">
        <row r="2">
          <cell r="A2">
            <v>938000</v>
          </cell>
          <cell r="B2" t="str">
            <v>Total</v>
          </cell>
          <cell r="I2">
            <v>151973.57</v>
          </cell>
        </row>
        <row r="3">
          <cell r="A3">
            <v>938005</v>
          </cell>
          <cell r="B3" t="str">
            <v>Total</v>
          </cell>
          <cell r="I3">
            <v>122240.27</v>
          </cell>
        </row>
        <row r="4">
          <cell r="A4">
            <v>938010</v>
          </cell>
          <cell r="B4" t="str">
            <v>Total</v>
          </cell>
          <cell r="I4">
            <v>147291.97</v>
          </cell>
        </row>
        <row r="5">
          <cell r="A5">
            <v>938015</v>
          </cell>
          <cell r="B5" t="str">
            <v>Total</v>
          </cell>
          <cell r="I5">
            <v>111904.7</v>
          </cell>
        </row>
        <row r="6">
          <cell r="A6">
            <v>938020</v>
          </cell>
          <cell r="B6" t="str">
            <v>Total</v>
          </cell>
          <cell r="I6">
            <v>61579.910000000054</v>
          </cell>
        </row>
        <row r="7">
          <cell r="A7">
            <v>938025</v>
          </cell>
          <cell r="B7" t="str">
            <v>Total</v>
          </cell>
          <cell r="I7">
            <v>264111.36</v>
          </cell>
        </row>
        <row r="8">
          <cell r="A8">
            <v>938030</v>
          </cell>
          <cell r="B8" t="str">
            <v>Total</v>
          </cell>
          <cell r="I8">
            <v>208660.57</v>
          </cell>
        </row>
        <row r="9">
          <cell r="A9">
            <v>938035</v>
          </cell>
          <cell r="B9" t="str">
            <v>Total</v>
          </cell>
          <cell r="I9">
            <v>218863.43</v>
          </cell>
        </row>
        <row r="10">
          <cell r="A10">
            <v>938040</v>
          </cell>
          <cell r="B10" t="str">
            <v>Total</v>
          </cell>
          <cell r="I10">
            <v>234818.76</v>
          </cell>
        </row>
        <row r="11">
          <cell r="A11">
            <v>938045</v>
          </cell>
          <cell r="B11" t="str">
            <v>Total</v>
          </cell>
          <cell r="I11">
            <v>153843.12</v>
          </cell>
        </row>
        <row r="12">
          <cell r="A12">
            <v>938050</v>
          </cell>
          <cell r="B12" t="str">
            <v>Total</v>
          </cell>
          <cell r="I12">
            <v>369444.72</v>
          </cell>
        </row>
        <row r="13">
          <cell r="A13">
            <v>938055</v>
          </cell>
          <cell r="B13" t="str">
            <v>Total</v>
          </cell>
          <cell r="I13">
            <v>128182.15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661711.37</v>
          </cell>
        </row>
        <row r="17">
          <cell r="A17">
            <v>938075</v>
          </cell>
          <cell r="B17" t="str">
            <v>Total</v>
          </cell>
          <cell r="I17">
            <v>321720.22</v>
          </cell>
        </row>
        <row r="18">
          <cell r="A18">
            <v>938080</v>
          </cell>
          <cell r="B18" t="str">
            <v>Total</v>
          </cell>
          <cell r="I18">
            <v>163620.74</v>
          </cell>
        </row>
        <row r="19">
          <cell r="A19">
            <v>938085</v>
          </cell>
          <cell r="B19" t="str">
            <v>Total</v>
          </cell>
          <cell r="I19">
            <v>148316</v>
          </cell>
        </row>
        <row r="20">
          <cell r="A20">
            <v>938090</v>
          </cell>
          <cell r="B20" t="str">
            <v>Total</v>
          </cell>
          <cell r="I20">
            <v>175865.77</v>
          </cell>
        </row>
        <row r="21">
          <cell r="A21">
            <v>938095</v>
          </cell>
          <cell r="B21" t="str">
            <v>Total</v>
          </cell>
          <cell r="I21">
            <v>214799.28</v>
          </cell>
        </row>
        <row r="22">
          <cell r="A22">
            <v>938100</v>
          </cell>
          <cell r="B22" t="str">
            <v>Total</v>
          </cell>
          <cell r="I22">
            <v>198869.14</v>
          </cell>
        </row>
        <row r="23">
          <cell r="A23">
            <v>938105</v>
          </cell>
          <cell r="B23" t="str">
            <v>Total</v>
          </cell>
          <cell r="I23">
            <v>235410.59</v>
          </cell>
        </row>
        <row r="24">
          <cell r="A24">
            <v>938110</v>
          </cell>
          <cell r="B24" t="str">
            <v>Total</v>
          </cell>
          <cell r="I24">
            <v>280537.22</v>
          </cell>
        </row>
        <row r="25">
          <cell r="A25">
            <v>938115</v>
          </cell>
          <cell r="B25" t="str">
            <v>Total</v>
          </cell>
          <cell r="I25">
            <v>260724.9</v>
          </cell>
        </row>
        <row r="26">
          <cell r="A26">
            <v>938120</v>
          </cell>
          <cell r="B26" t="str">
            <v>Total</v>
          </cell>
          <cell r="I26">
            <v>214544.34</v>
          </cell>
        </row>
        <row r="27">
          <cell r="A27">
            <v>938125</v>
          </cell>
          <cell r="B27" t="str">
            <v>Total</v>
          </cell>
          <cell r="I27">
            <v>338492.13</v>
          </cell>
        </row>
        <row r="28">
          <cell r="A28">
            <v>938130</v>
          </cell>
          <cell r="B28" t="str">
            <v>Total</v>
          </cell>
          <cell r="I28">
            <v>218106.78</v>
          </cell>
        </row>
        <row r="29">
          <cell r="A29">
            <v>938135</v>
          </cell>
          <cell r="B29" t="str">
            <v>Total</v>
          </cell>
          <cell r="I29">
            <v>196542.47</v>
          </cell>
        </row>
        <row r="30">
          <cell r="A30">
            <v>938140</v>
          </cell>
          <cell r="B30" t="str">
            <v>Total</v>
          </cell>
          <cell r="I30">
            <v>369059.22</v>
          </cell>
        </row>
        <row r="31">
          <cell r="A31">
            <v>938145</v>
          </cell>
          <cell r="B31" t="str">
            <v>Total</v>
          </cell>
          <cell r="I31">
            <v>99951.87</v>
          </cell>
        </row>
        <row r="32">
          <cell r="A32">
            <v>938150</v>
          </cell>
          <cell r="B32" t="str">
            <v>Total</v>
          </cell>
          <cell r="I32">
            <v>158526.36</v>
          </cell>
        </row>
        <row r="33">
          <cell r="A33">
            <v>938155</v>
          </cell>
          <cell r="B33" t="str">
            <v>Total</v>
          </cell>
          <cell r="I33">
            <v>110511.7</v>
          </cell>
        </row>
        <row r="34">
          <cell r="A34">
            <v>938160</v>
          </cell>
          <cell r="B34" t="str">
            <v>Total</v>
          </cell>
          <cell r="I34">
            <v>410110.06</v>
          </cell>
        </row>
        <row r="35">
          <cell r="A35">
            <v>938165</v>
          </cell>
          <cell r="B35" t="str">
            <v>Total</v>
          </cell>
          <cell r="I35">
            <v>189321.73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4.729372449219227E-11</v>
          </cell>
        </row>
        <row r="38">
          <cell r="A38">
            <v>938180</v>
          </cell>
          <cell r="B38" t="str">
            <v>Total</v>
          </cell>
          <cell r="I38">
            <v>132086.61</v>
          </cell>
        </row>
        <row r="39">
          <cell r="A39">
            <v>938185</v>
          </cell>
          <cell r="B39" t="str">
            <v>Total</v>
          </cell>
          <cell r="I39">
            <v>263576.36</v>
          </cell>
        </row>
        <row r="40">
          <cell r="A40">
            <v>938190</v>
          </cell>
          <cell r="B40" t="str">
            <v>Total</v>
          </cell>
          <cell r="I40">
            <v>223970.54</v>
          </cell>
        </row>
        <row r="41">
          <cell r="A41">
            <v>938195</v>
          </cell>
          <cell r="B41" t="str">
            <v>Total</v>
          </cell>
          <cell r="I41">
            <v>274592.34</v>
          </cell>
        </row>
        <row r="42">
          <cell r="A42">
            <v>938200</v>
          </cell>
          <cell r="B42" t="str">
            <v>Total</v>
          </cell>
          <cell r="I42">
            <v>210502.7</v>
          </cell>
        </row>
        <row r="43">
          <cell r="A43">
            <v>938205</v>
          </cell>
          <cell r="B43" t="str">
            <v>Total</v>
          </cell>
          <cell r="I43">
            <v>198673.33</v>
          </cell>
        </row>
        <row r="44">
          <cell r="A44">
            <v>938210</v>
          </cell>
          <cell r="B44" t="str">
            <v>Total</v>
          </cell>
          <cell r="I44">
            <v>111781.83</v>
          </cell>
        </row>
        <row r="45">
          <cell r="A45">
            <v>938215</v>
          </cell>
          <cell r="B45" t="str">
            <v>Total</v>
          </cell>
          <cell r="I45">
            <v>84246.81</v>
          </cell>
        </row>
        <row r="46">
          <cell r="A46">
            <v>938220</v>
          </cell>
          <cell r="B46" t="str">
            <v>Total</v>
          </cell>
          <cell r="I46">
            <v>187530.83</v>
          </cell>
        </row>
        <row r="47">
          <cell r="A47">
            <v>938225</v>
          </cell>
          <cell r="B47" t="str">
            <v>Total</v>
          </cell>
          <cell r="I47">
            <v>381213.7</v>
          </cell>
        </row>
        <row r="48">
          <cell r="A48">
            <v>938230</v>
          </cell>
          <cell r="B48" t="str">
            <v>Total</v>
          </cell>
          <cell r="I48">
            <v>2.1827872842550278E-10</v>
          </cell>
        </row>
        <row r="49">
          <cell r="A49">
            <v>938235</v>
          </cell>
          <cell r="B49" t="str">
            <v>Total</v>
          </cell>
          <cell r="I49">
            <v>194155.77</v>
          </cell>
        </row>
        <row r="50">
          <cell r="A50">
            <v>938240</v>
          </cell>
          <cell r="B50" t="str">
            <v>Total</v>
          </cell>
          <cell r="I50">
            <v>127630.25</v>
          </cell>
        </row>
        <row r="51">
          <cell r="A51">
            <v>938245</v>
          </cell>
          <cell r="B51" t="str">
            <v>Total</v>
          </cell>
          <cell r="I51">
            <v>105467.73</v>
          </cell>
        </row>
        <row r="52">
          <cell r="A52">
            <v>938250</v>
          </cell>
          <cell r="B52" t="str">
            <v>Total</v>
          </cell>
          <cell r="I52">
            <v>201987.27</v>
          </cell>
        </row>
        <row r="53">
          <cell r="A53">
            <v>938255</v>
          </cell>
          <cell r="B53" t="str">
            <v>Total</v>
          </cell>
          <cell r="I53">
            <v>288017.76</v>
          </cell>
        </row>
        <row r="54">
          <cell r="A54">
            <v>938260</v>
          </cell>
          <cell r="B54" t="str">
            <v>Total</v>
          </cell>
          <cell r="I54">
            <v>240643.48</v>
          </cell>
        </row>
        <row r="55">
          <cell r="A55">
            <v>938265</v>
          </cell>
          <cell r="B55" t="str">
            <v>Total</v>
          </cell>
          <cell r="I55">
            <v>264018.95</v>
          </cell>
        </row>
        <row r="56">
          <cell r="A56">
            <v>938270</v>
          </cell>
          <cell r="B56" t="str">
            <v>Total</v>
          </cell>
          <cell r="I56">
            <v>206433.9</v>
          </cell>
        </row>
        <row r="57">
          <cell r="A57">
            <v>938275</v>
          </cell>
          <cell r="B57" t="str">
            <v>Total</v>
          </cell>
          <cell r="I57">
            <v>8468.29</v>
          </cell>
        </row>
        <row r="58">
          <cell r="A58">
            <v>938280</v>
          </cell>
          <cell r="B58" t="str">
            <v>Total</v>
          </cell>
          <cell r="I58">
            <v>58186.12</v>
          </cell>
        </row>
        <row r="59">
          <cell r="A59">
            <v>938282</v>
          </cell>
          <cell r="B59" t="str">
            <v>Total</v>
          </cell>
          <cell r="I59">
            <v>118564.9</v>
          </cell>
        </row>
        <row r="60">
          <cell r="A60">
            <v>938285</v>
          </cell>
          <cell r="B60" t="str">
            <v>Total</v>
          </cell>
          <cell r="I60">
            <v>102257.68</v>
          </cell>
        </row>
        <row r="61">
          <cell r="A61">
            <v>938290</v>
          </cell>
          <cell r="B61" t="str">
            <v>Total</v>
          </cell>
          <cell r="I61">
            <v>89602.49999999994</v>
          </cell>
        </row>
        <row r="62">
          <cell r="A62">
            <v>938295</v>
          </cell>
          <cell r="B62" t="str">
            <v>Total</v>
          </cell>
          <cell r="I62">
            <v>97277.56</v>
          </cell>
        </row>
        <row r="63">
          <cell r="A63">
            <v>938300</v>
          </cell>
          <cell r="B63" t="str">
            <v>Total</v>
          </cell>
          <cell r="I63">
            <v>151993.27</v>
          </cell>
        </row>
        <row r="64">
          <cell r="A64">
            <v>938305</v>
          </cell>
          <cell r="B64" t="str">
            <v>Total</v>
          </cell>
          <cell r="I64">
            <v>8.114398042380344E-12</v>
          </cell>
        </row>
        <row r="65">
          <cell r="A65">
            <v>938310</v>
          </cell>
          <cell r="B65" t="str">
            <v>Total</v>
          </cell>
          <cell r="I65">
            <v>195265.92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234826.17</v>
          </cell>
        </row>
        <row r="68">
          <cell r="A68">
            <v>938325</v>
          </cell>
          <cell r="B68" t="str">
            <v>Total</v>
          </cell>
          <cell r="I68">
            <v>117129.15</v>
          </cell>
        </row>
        <row r="69">
          <cell r="A69">
            <v>938330</v>
          </cell>
          <cell r="B69" t="str">
            <v>Total</v>
          </cell>
          <cell r="I69">
            <v>110027.36</v>
          </cell>
        </row>
        <row r="70">
          <cell r="A70">
            <v>938335</v>
          </cell>
          <cell r="B70" t="str">
            <v>Total</v>
          </cell>
          <cell r="I70">
            <v>141720.74</v>
          </cell>
        </row>
        <row r="71">
          <cell r="A71">
            <v>938340</v>
          </cell>
          <cell r="B71" t="str">
            <v>Total</v>
          </cell>
          <cell r="I71">
            <v>59483.82</v>
          </cell>
        </row>
        <row r="72">
          <cell r="A72">
            <v>938345</v>
          </cell>
          <cell r="B72" t="str">
            <v>Total</v>
          </cell>
          <cell r="I72">
            <v>73579.87999999993</v>
          </cell>
        </row>
        <row r="73">
          <cell r="A73">
            <v>938350</v>
          </cell>
          <cell r="B73" t="str">
            <v>Total</v>
          </cell>
          <cell r="I73">
            <v>178959.25</v>
          </cell>
        </row>
        <row r="74">
          <cell r="A74">
            <v>938355</v>
          </cell>
          <cell r="B74" t="str">
            <v>Total</v>
          </cell>
          <cell r="I74">
            <v>145096.66</v>
          </cell>
        </row>
        <row r="75">
          <cell r="A75">
            <v>938360</v>
          </cell>
          <cell r="B75" t="str">
            <v>Total</v>
          </cell>
          <cell r="I75">
            <v>125152</v>
          </cell>
        </row>
        <row r="76">
          <cell r="A76">
            <v>938365</v>
          </cell>
          <cell r="B76" t="str">
            <v>Total</v>
          </cell>
          <cell r="I76">
            <v>202964.81</v>
          </cell>
        </row>
        <row r="77">
          <cell r="A77">
            <v>938370</v>
          </cell>
          <cell r="B77" t="str">
            <v>Total</v>
          </cell>
          <cell r="I77">
            <v>159419.62</v>
          </cell>
        </row>
        <row r="78">
          <cell r="A78">
            <v>938375</v>
          </cell>
          <cell r="B78" t="str">
            <v>Total</v>
          </cell>
          <cell r="I78">
            <v>178406.77</v>
          </cell>
        </row>
        <row r="79">
          <cell r="A79">
            <v>938380</v>
          </cell>
          <cell r="B79" t="str">
            <v>Total</v>
          </cell>
          <cell r="I79">
            <v>96578.75000000009</v>
          </cell>
        </row>
        <row r="80">
          <cell r="A80">
            <v>938385</v>
          </cell>
          <cell r="B80" t="str">
            <v>Total</v>
          </cell>
          <cell r="I80">
            <v>63833.42</v>
          </cell>
        </row>
        <row r="81">
          <cell r="A81">
            <v>938390</v>
          </cell>
          <cell r="B81" t="str">
            <v>Total</v>
          </cell>
          <cell r="I81">
            <v>76883.23</v>
          </cell>
        </row>
        <row r="82">
          <cell r="A82">
            <v>938395</v>
          </cell>
          <cell r="B82" t="str">
            <v>Total</v>
          </cell>
          <cell r="I82">
            <v>179291.44</v>
          </cell>
        </row>
        <row r="83">
          <cell r="A83">
            <v>938400</v>
          </cell>
          <cell r="B83" t="str">
            <v>Total</v>
          </cell>
          <cell r="I83">
            <v>164801.31</v>
          </cell>
        </row>
        <row r="84">
          <cell r="A84">
            <v>938405</v>
          </cell>
          <cell r="B84" t="str">
            <v>Total</v>
          </cell>
          <cell r="I84">
            <v>210777.35</v>
          </cell>
        </row>
        <row r="85">
          <cell r="A85">
            <v>938410</v>
          </cell>
          <cell r="B85" t="str">
            <v>Total</v>
          </cell>
          <cell r="I85">
            <v>155137.77</v>
          </cell>
        </row>
        <row r="86">
          <cell r="A86">
            <v>938415</v>
          </cell>
          <cell r="B86" t="str">
            <v>Total</v>
          </cell>
          <cell r="I86">
            <v>115256.12</v>
          </cell>
        </row>
        <row r="87">
          <cell r="A87">
            <v>938420</v>
          </cell>
          <cell r="B87" t="str">
            <v>Total</v>
          </cell>
          <cell r="I87">
            <v>44384.09</v>
          </cell>
        </row>
        <row r="88">
          <cell r="A88">
            <v>938425</v>
          </cell>
          <cell r="B88" t="str">
            <v>Total</v>
          </cell>
          <cell r="I88">
            <v>24556.55</v>
          </cell>
        </row>
        <row r="89">
          <cell r="A89">
            <v>938430</v>
          </cell>
          <cell r="B89" t="str">
            <v>Total</v>
          </cell>
          <cell r="I89">
            <v>307393.1</v>
          </cell>
        </row>
        <row r="90">
          <cell r="A90">
            <v>938435</v>
          </cell>
          <cell r="B90" t="str">
            <v>Total</v>
          </cell>
          <cell r="I90">
            <v>305083.14</v>
          </cell>
        </row>
        <row r="91">
          <cell r="A91">
            <v>938437</v>
          </cell>
          <cell r="B91" t="str">
            <v>Total</v>
          </cell>
          <cell r="I91">
            <v>164276.43</v>
          </cell>
        </row>
        <row r="92">
          <cell r="A92">
            <v>938438</v>
          </cell>
          <cell r="B92" t="str">
            <v>Total</v>
          </cell>
          <cell r="I92">
            <v>149561.51</v>
          </cell>
        </row>
        <row r="93">
          <cell r="A93">
            <v>938440</v>
          </cell>
          <cell r="B93" t="str">
            <v>Total</v>
          </cell>
          <cell r="I93">
            <v>54967.14000000007</v>
          </cell>
        </row>
        <row r="94">
          <cell r="A94">
            <v>938445</v>
          </cell>
          <cell r="B94" t="str">
            <v>Total</v>
          </cell>
          <cell r="I94">
            <v>992180.48</v>
          </cell>
        </row>
        <row r="95">
          <cell r="A95">
            <v>938450</v>
          </cell>
          <cell r="B95" t="str">
            <v>Total</v>
          </cell>
          <cell r="I95">
            <v>355103.24</v>
          </cell>
        </row>
        <row r="96">
          <cell r="A96">
            <v>938455</v>
          </cell>
          <cell r="B96" t="str">
            <v>Total</v>
          </cell>
          <cell r="I96">
            <v>342179.63</v>
          </cell>
        </row>
        <row r="97">
          <cell r="A97">
            <v>938460</v>
          </cell>
          <cell r="B97" t="str">
            <v>Total</v>
          </cell>
          <cell r="I97">
            <v>1005428.82</v>
          </cell>
        </row>
        <row r="98">
          <cell r="A98">
            <v>938465</v>
          </cell>
          <cell r="B98" t="str">
            <v>Total</v>
          </cell>
          <cell r="I98">
            <v>556658.74</v>
          </cell>
        </row>
        <row r="99">
          <cell r="A99">
            <v>938470</v>
          </cell>
          <cell r="B99" t="str">
            <v>Total</v>
          </cell>
          <cell r="I99">
            <v>589550.9200000006</v>
          </cell>
        </row>
        <row r="100">
          <cell r="A100">
            <v>938475</v>
          </cell>
          <cell r="B100" t="str">
            <v>Total</v>
          </cell>
          <cell r="I100">
            <v>452101.84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440825.79</v>
          </cell>
        </row>
        <row r="103">
          <cell r="A103">
            <v>938490</v>
          </cell>
          <cell r="B103" t="str">
            <v>Total</v>
          </cell>
          <cell r="I103">
            <v>73774.94</v>
          </cell>
        </row>
        <row r="104">
          <cell r="A104">
            <v>938495</v>
          </cell>
          <cell r="B104" t="str">
            <v>Total</v>
          </cell>
          <cell r="I104">
            <v>221115.46</v>
          </cell>
        </row>
        <row r="105">
          <cell r="A105">
            <v>938500</v>
          </cell>
          <cell r="B105" t="str">
            <v>Total</v>
          </cell>
          <cell r="I105">
            <v>388747.2</v>
          </cell>
        </row>
        <row r="106">
          <cell r="A106">
            <v>938505</v>
          </cell>
          <cell r="B106" t="str">
            <v>Total</v>
          </cell>
          <cell r="I106">
            <v>219306.3</v>
          </cell>
        </row>
        <row r="107">
          <cell r="A107">
            <v>938510</v>
          </cell>
          <cell r="B107" t="str">
            <v>Total</v>
          </cell>
          <cell r="I107">
            <v>971986.85</v>
          </cell>
        </row>
        <row r="108">
          <cell r="A108">
            <v>938515</v>
          </cell>
          <cell r="B108" t="str">
            <v>Total</v>
          </cell>
          <cell r="I108">
            <v>140892.97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71091.16000000012</v>
          </cell>
        </row>
        <row r="111">
          <cell r="A111">
            <v>938525</v>
          </cell>
          <cell r="B111" t="str">
            <v>Total</v>
          </cell>
          <cell r="I111">
            <v>1281566.35</v>
          </cell>
        </row>
        <row r="112">
          <cell r="A112">
            <v>938530</v>
          </cell>
          <cell r="B112" t="str">
            <v>Total</v>
          </cell>
          <cell r="I112">
            <v>132979.31</v>
          </cell>
        </row>
        <row r="113">
          <cell r="A113">
            <v>938535</v>
          </cell>
          <cell r="B113" t="str">
            <v>Total</v>
          </cell>
          <cell r="I113">
            <v>497091</v>
          </cell>
        </row>
        <row r="114">
          <cell r="A114">
            <v>938540</v>
          </cell>
          <cell r="B114" t="str">
            <v>Total</v>
          </cell>
          <cell r="I114">
            <v>349602.59</v>
          </cell>
        </row>
        <row r="115">
          <cell r="A115">
            <v>938545</v>
          </cell>
          <cell r="B115" t="str">
            <v>Total</v>
          </cell>
          <cell r="I115">
            <v>3517.820000000007</v>
          </cell>
        </row>
        <row r="116">
          <cell r="A116">
            <v>938548</v>
          </cell>
          <cell r="B116" t="str">
            <v>Total</v>
          </cell>
          <cell r="I116">
            <v>96660.68</v>
          </cell>
        </row>
        <row r="117">
          <cell r="A117">
            <v>938550</v>
          </cell>
          <cell r="B117" t="str">
            <v>Total</v>
          </cell>
          <cell r="I117">
            <v>71965.28999999992</v>
          </cell>
        </row>
        <row r="118">
          <cell r="A118">
            <v>938555</v>
          </cell>
          <cell r="B118" t="str">
            <v>Total</v>
          </cell>
          <cell r="I118">
            <v>60753.24</v>
          </cell>
        </row>
        <row r="119">
          <cell r="A119">
            <v>938560</v>
          </cell>
          <cell r="B119" t="str">
            <v>Total</v>
          </cell>
          <cell r="I119">
            <v>240209.16</v>
          </cell>
        </row>
        <row r="120">
          <cell r="A120">
            <v>938565</v>
          </cell>
          <cell r="B120" t="str">
            <v>Total</v>
          </cell>
          <cell r="I120">
            <v>183742.86</v>
          </cell>
        </row>
        <row r="121">
          <cell r="A121">
            <v>938570</v>
          </cell>
          <cell r="B121" t="str">
            <v>Total</v>
          </cell>
          <cell r="I121">
            <v>407150.83</v>
          </cell>
        </row>
        <row r="122">
          <cell r="A122">
            <v>938575</v>
          </cell>
          <cell r="B122" t="str">
            <v>Total</v>
          </cell>
          <cell r="I122">
            <v>243233.65</v>
          </cell>
        </row>
        <row r="123">
          <cell r="A123">
            <v>938580</v>
          </cell>
          <cell r="B123" t="str">
            <v>Total</v>
          </cell>
          <cell r="I123">
            <v>387406.05</v>
          </cell>
        </row>
        <row r="124">
          <cell r="A124">
            <v>938585</v>
          </cell>
          <cell r="B124" t="str">
            <v>Total</v>
          </cell>
          <cell r="I124">
            <v>64600.41</v>
          </cell>
        </row>
        <row r="125">
          <cell r="I125">
            <v>26338773.979999993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 A P = C A B "/>
      <sheetName val="PERIOD 3 JUNE."/>
      <sheetName val="S A P. 14.07.10"/>
    </sheetNames>
    <sheetDataSet>
      <sheetData sheetId="1">
        <row r="1">
          <cell r="A1" t="str">
            <v>Account</v>
          </cell>
          <cell r="B1" t="str">
            <v>Cost Ctr</v>
          </cell>
          <cell r="C1" t="str">
            <v>Assignment</v>
          </cell>
          <cell r="D1" t="str">
            <v>DocumentNo</v>
          </cell>
          <cell r="E1" t="str">
            <v>Document Header Text</v>
          </cell>
          <cell r="F1" t="str">
            <v>Reference</v>
          </cell>
          <cell r="G1" t="str">
            <v>Text</v>
          </cell>
          <cell r="H1" t="str">
            <v>Doc. Date</v>
          </cell>
          <cell r="I1" t="str">
            <v>Amt in loc.cur.</v>
          </cell>
        </row>
        <row r="2">
          <cell r="A2">
            <v>938000</v>
          </cell>
          <cell r="B2" t="str">
            <v>Total</v>
          </cell>
          <cell r="I2">
            <v>174159.1</v>
          </cell>
        </row>
        <row r="3">
          <cell r="A3">
            <v>938005</v>
          </cell>
          <cell r="B3" t="str">
            <v>Total</v>
          </cell>
          <cell r="I3">
            <v>151588.75</v>
          </cell>
        </row>
        <row r="4">
          <cell r="A4">
            <v>938010</v>
          </cell>
          <cell r="B4" t="str">
            <v>Total</v>
          </cell>
          <cell r="I4">
            <v>174928.34</v>
          </cell>
        </row>
        <row r="5">
          <cell r="A5">
            <v>938015</v>
          </cell>
          <cell r="B5" t="str">
            <v>Total</v>
          </cell>
          <cell r="I5">
            <v>127057.79</v>
          </cell>
        </row>
        <row r="6">
          <cell r="A6">
            <v>938020</v>
          </cell>
          <cell r="B6" t="str">
            <v>Total</v>
          </cell>
          <cell r="I6">
            <v>113134.72</v>
          </cell>
        </row>
        <row r="7">
          <cell r="A7">
            <v>938025</v>
          </cell>
          <cell r="B7" t="str">
            <v>Total</v>
          </cell>
          <cell r="I7">
            <v>338556.73</v>
          </cell>
        </row>
        <row r="8">
          <cell r="A8">
            <v>938030</v>
          </cell>
          <cell r="B8" t="str">
            <v>Total</v>
          </cell>
          <cell r="I8">
            <v>278314.79</v>
          </cell>
        </row>
        <row r="9">
          <cell r="A9">
            <v>938035</v>
          </cell>
          <cell r="B9" t="str">
            <v>Total</v>
          </cell>
          <cell r="I9">
            <v>234865.23</v>
          </cell>
        </row>
        <row r="10">
          <cell r="A10">
            <v>938040</v>
          </cell>
          <cell r="B10" t="str">
            <v>Total</v>
          </cell>
          <cell r="I10">
            <v>266246.89</v>
          </cell>
        </row>
        <row r="11">
          <cell r="A11">
            <v>938045</v>
          </cell>
          <cell r="B11" t="str">
            <v>Total</v>
          </cell>
          <cell r="I11">
            <v>203495.02</v>
          </cell>
        </row>
        <row r="12">
          <cell r="A12">
            <v>938050</v>
          </cell>
          <cell r="B12" t="str">
            <v>Total</v>
          </cell>
          <cell r="I12">
            <v>433556.55</v>
          </cell>
        </row>
        <row r="13">
          <cell r="A13">
            <v>938055</v>
          </cell>
          <cell r="B13" t="str">
            <v>Total</v>
          </cell>
          <cell r="I13">
            <v>178412.19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694409.25</v>
          </cell>
        </row>
        <row r="17">
          <cell r="A17">
            <v>938075</v>
          </cell>
          <cell r="B17" t="str">
            <v>Total</v>
          </cell>
          <cell r="I17">
            <v>281819.9</v>
          </cell>
        </row>
        <row r="18">
          <cell r="A18">
            <v>938080</v>
          </cell>
          <cell r="B18" t="str">
            <v>Total</v>
          </cell>
          <cell r="I18">
            <v>178451.74</v>
          </cell>
        </row>
        <row r="19">
          <cell r="A19">
            <v>938085</v>
          </cell>
          <cell r="B19" t="str">
            <v>Total</v>
          </cell>
          <cell r="I19">
            <v>187321.16</v>
          </cell>
        </row>
        <row r="20">
          <cell r="A20">
            <v>938090</v>
          </cell>
          <cell r="B20" t="str">
            <v>Total</v>
          </cell>
          <cell r="I20">
            <v>314821.4</v>
          </cell>
        </row>
        <row r="21">
          <cell r="A21">
            <v>938095</v>
          </cell>
          <cell r="B21" t="str">
            <v>Total</v>
          </cell>
          <cell r="I21">
            <v>231556.12</v>
          </cell>
        </row>
        <row r="22">
          <cell r="A22">
            <v>938100</v>
          </cell>
          <cell r="B22" t="str">
            <v>Total</v>
          </cell>
          <cell r="I22">
            <v>228524.28</v>
          </cell>
        </row>
        <row r="23">
          <cell r="A23">
            <v>938105</v>
          </cell>
          <cell r="B23" t="str">
            <v>Total</v>
          </cell>
          <cell r="I23">
            <v>274435.19</v>
          </cell>
        </row>
        <row r="24">
          <cell r="A24">
            <v>938110</v>
          </cell>
          <cell r="B24" t="str">
            <v>Total</v>
          </cell>
          <cell r="I24">
            <v>246945.36</v>
          </cell>
        </row>
        <row r="25">
          <cell r="A25">
            <v>938115</v>
          </cell>
          <cell r="B25" t="str">
            <v>Total</v>
          </cell>
          <cell r="I25">
            <v>258707.3</v>
          </cell>
        </row>
        <row r="26">
          <cell r="A26">
            <v>938120</v>
          </cell>
          <cell r="B26" t="str">
            <v>Total</v>
          </cell>
          <cell r="I26">
            <v>226095.14</v>
          </cell>
        </row>
        <row r="27">
          <cell r="A27">
            <v>938125</v>
          </cell>
          <cell r="B27" t="str">
            <v>Total</v>
          </cell>
          <cell r="I27">
            <v>385161.91</v>
          </cell>
        </row>
        <row r="28">
          <cell r="A28">
            <v>938130</v>
          </cell>
          <cell r="B28" t="str">
            <v>Total</v>
          </cell>
          <cell r="I28">
            <v>238294.24</v>
          </cell>
        </row>
        <row r="29">
          <cell r="A29">
            <v>938135</v>
          </cell>
          <cell r="B29" t="str">
            <v>Total</v>
          </cell>
          <cell r="I29">
            <v>203377.32</v>
          </cell>
        </row>
        <row r="30">
          <cell r="A30">
            <v>938140</v>
          </cell>
          <cell r="B30" t="str">
            <v>Total</v>
          </cell>
          <cell r="I30">
            <v>488333.52</v>
          </cell>
        </row>
        <row r="31">
          <cell r="A31">
            <v>938145</v>
          </cell>
          <cell r="B31" t="str">
            <v>Total</v>
          </cell>
          <cell r="I31">
            <v>114937.9</v>
          </cell>
        </row>
        <row r="32">
          <cell r="A32">
            <v>938150</v>
          </cell>
          <cell r="B32" t="str">
            <v>Total</v>
          </cell>
          <cell r="I32">
            <v>198319.94</v>
          </cell>
        </row>
        <row r="33">
          <cell r="A33">
            <v>938155</v>
          </cell>
          <cell r="B33" t="str">
            <v>Total</v>
          </cell>
          <cell r="I33">
            <v>153618.67</v>
          </cell>
        </row>
        <row r="34">
          <cell r="A34">
            <v>938160</v>
          </cell>
          <cell r="B34" t="str">
            <v>Total</v>
          </cell>
          <cell r="I34">
            <v>432678.2</v>
          </cell>
        </row>
        <row r="35">
          <cell r="A35">
            <v>938165</v>
          </cell>
          <cell r="B35" t="str">
            <v>Total</v>
          </cell>
          <cell r="I35">
            <v>202242.95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4.729372449219227E-11</v>
          </cell>
        </row>
        <row r="38">
          <cell r="A38">
            <v>938180</v>
          </cell>
          <cell r="B38" t="str">
            <v>Total</v>
          </cell>
          <cell r="I38">
            <v>260931.92</v>
          </cell>
        </row>
        <row r="39">
          <cell r="A39">
            <v>938185</v>
          </cell>
          <cell r="B39" t="str">
            <v>Total</v>
          </cell>
          <cell r="I39">
            <v>292203.05</v>
          </cell>
        </row>
        <row r="40">
          <cell r="A40">
            <v>938190</v>
          </cell>
          <cell r="B40" t="str">
            <v>Total</v>
          </cell>
          <cell r="I40">
            <v>217750.72</v>
          </cell>
        </row>
        <row r="41">
          <cell r="A41">
            <v>938195</v>
          </cell>
          <cell r="B41" t="str">
            <v>Total</v>
          </cell>
          <cell r="I41">
            <v>258408.87</v>
          </cell>
        </row>
        <row r="42">
          <cell r="A42">
            <v>938200</v>
          </cell>
          <cell r="B42" t="str">
            <v>Total</v>
          </cell>
          <cell r="I42">
            <v>257835.36</v>
          </cell>
        </row>
        <row r="43">
          <cell r="A43">
            <v>938205</v>
          </cell>
          <cell r="B43" t="str">
            <v>Total</v>
          </cell>
          <cell r="I43">
            <v>210375.02</v>
          </cell>
        </row>
        <row r="44">
          <cell r="A44">
            <v>938210</v>
          </cell>
          <cell r="B44" t="str">
            <v>Total</v>
          </cell>
          <cell r="I44">
            <v>101487.77</v>
          </cell>
        </row>
        <row r="45">
          <cell r="A45">
            <v>938215</v>
          </cell>
          <cell r="B45" t="str">
            <v>Total</v>
          </cell>
          <cell r="I45">
            <v>136804.99</v>
          </cell>
        </row>
        <row r="46">
          <cell r="A46">
            <v>938220</v>
          </cell>
          <cell r="B46" t="str">
            <v>Total</v>
          </cell>
          <cell r="I46">
            <v>191061.51</v>
          </cell>
        </row>
        <row r="47">
          <cell r="A47">
            <v>938225</v>
          </cell>
          <cell r="B47" t="str">
            <v>Total</v>
          </cell>
          <cell r="I47">
            <v>448626.33</v>
          </cell>
        </row>
        <row r="48">
          <cell r="A48">
            <v>938230</v>
          </cell>
          <cell r="B48" t="str">
            <v>Total</v>
          </cell>
          <cell r="I48">
            <v>2.1827872842550278E-10</v>
          </cell>
        </row>
        <row r="49">
          <cell r="A49">
            <v>938235</v>
          </cell>
          <cell r="B49" t="str">
            <v>Total</v>
          </cell>
          <cell r="I49">
            <v>217009.54</v>
          </cell>
        </row>
        <row r="50">
          <cell r="A50">
            <v>938240</v>
          </cell>
          <cell r="B50" t="str">
            <v>Total</v>
          </cell>
          <cell r="I50">
            <v>149147.22</v>
          </cell>
        </row>
        <row r="51">
          <cell r="A51">
            <v>938245</v>
          </cell>
          <cell r="B51" t="str">
            <v>Total</v>
          </cell>
          <cell r="I51">
            <v>144221.81</v>
          </cell>
        </row>
        <row r="52">
          <cell r="A52">
            <v>938250</v>
          </cell>
          <cell r="B52" t="str">
            <v>Total</v>
          </cell>
          <cell r="I52">
            <v>233621.9</v>
          </cell>
        </row>
        <row r="53">
          <cell r="A53">
            <v>938255</v>
          </cell>
          <cell r="B53" t="str">
            <v>Total</v>
          </cell>
          <cell r="I53">
            <v>222680.4</v>
          </cell>
        </row>
        <row r="54">
          <cell r="A54">
            <v>938260</v>
          </cell>
          <cell r="B54" t="str">
            <v>Total</v>
          </cell>
          <cell r="I54">
            <v>310833.67</v>
          </cell>
        </row>
        <row r="55">
          <cell r="A55">
            <v>938265</v>
          </cell>
          <cell r="B55" t="str">
            <v>Total</v>
          </cell>
          <cell r="I55">
            <v>328762.98</v>
          </cell>
        </row>
        <row r="56">
          <cell r="A56">
            <v>938270</v>
          </cell>
          <cell r="B56" t="str">
            <v>Total</v>
          </cell>
          <cell r="I56">
            <v>227823.13</v>
          </cell>
        </row>
        <row r="57">
          <cell r="A57">
            <v>938275</v>
          </cell>
          <cell r="B57" t="str">
            <v>Total</v>
          </cell>
          <cell r="I57">
            <v>19326.77</v>
          </cell>
        </row>
        <row r="58">
          <cell r="A58">
            <v>938280</v>
          </cell>
          <cell r="B58" t="str">
            <v>Total</v>
          </cell>
          <cell r="I58">
            <v>112341.94</v>
          </cell>
        </row>
        <row r="59">
          <cell r="A59">
            <v>938282</v>
          </cell>
          <cell r="B59" t="str">
            <v>Total</v>
          </cell>
          <cell r="I59">
            <v>108032.62</v>
          </cell>
        </row>
        <row r="60">
          <cell r="A60">
            <v>938285</v>
          </cell>
          <cell r="B60" t="str">
            <v>Total</v>
          </cell>
          <cell r="I60">
            <v>126621.54</v>
          </cell>
        </row>
        <row r="61">
          <cell r="A61">
            <v>938290</v>
          </cell>
          <cell r="B61" t="str">
            <v>Total</v>
          </cell>
          <cell r="I61">
            <v>101972.14</v>
          </cell>
        </row>
        <row r="62">
          <cell r="A62">
            <v>938295</v>
          </cell>
          <cell r="B62" t="str">
            <v>Total</v>
          </cell>
          <cell r="I62">
            <v>82083.29</v>
          </cell>
        </row>
        <row r="63">
          <cell r="A63">
            <v>938300</v>
          </cell>
          <cell r="B63" t="str">
            <v>Total</v>
          </cell>
          <cell r="I63">
            <v>133204.75</v>
          </cell>
        </row>
        <row r="64">
          <cell r="A64">
            <v>938305</v>
          </cell>
          <cell r="B64" t="str">
            <v>Total</v>
          </cell>
          <cell r="I64">
            <v>8.114398042380344E-12</v>
          </cell>
        </row>
        <row r="65">
          <cell r="A65">
            <v>938310</v>
          </cell>
          <cell r="B65" t="str">
            <v>Total</v>
          </cell>
          <cell r="I65">
            <v>226779.69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262299.97</v>
          </cell>
        </row>
        <row r="68">
          <cell r="A68">
            <v>938325</v>
          </cell>
          <cell r="B68" t="str">
            <v>Total</v>
          </cell>
          <cell r="I68">
            <v>128430.59</v>
          </cell>
        </row>
        <row r="69">
          <cell r="A69">
            <v>938330</v>
          </cell>
          <cell r="B69" t="str">
            <v>Total</v>
          </cell>
          <cell r="I69">
            <v>136901.21</v>
          </cell>
        </row>
        <row r="70">
          <cell r="A70">
            <v>938335</v>
          </cell>
          <cell r="B70" t="str">
            <v>Total</v>
          </cell>
          <cell r="I70">
            <v>146629.38</v>
          </cell>
        </row>
        <row r="71">
          <cell r="A71">
            <v>938340</v>
          </cell>
          <cell r="B71" t="str">
            <v>Total</v>
          </cell>
          <cell r="I71">
            <v>59626.55</v>
          </cell>
        </row>
        <row r="72">
          <cell r="A72">
            <v>938345</v>
          </cell>
          <cell r="B72" t="str">
            <v>Total</v>
          </cell>
          <cell r="I72">
            <v>83047.47999999992</v>
          </cell>
        </row>
        <row r="73">
          <cell r="A73">
            <v>938350</v>
          </cell>
          <cell r="B73" t="str">
            <v>Total</v>
          </cell>
          <cell r="I73">
            <v>146607.35</v>
          </cell>
        </row>
        <row r="74">
          <cell r="A74">
            <v>938355</v>
          </cell>
          <cell r="B74" t="str">
            <v>Total</v>
          </cell>
          <cell r="I74">
            <v>179216.11</v>
          </cell>
        </row>
        <row r="75">
          <cell r="A75">
            <v>938360</v>
          </cell>
          <cell r="B75" t="str">
            <v>Total</v>
          </cell>
          <cell r="I75">
            <v>143964.94</v>
          </cell>
        </row>
        <row r="76">
          <cell r="A76">
            <v>938365</v>
          </cell>
          <cell r="B76" t="str">
            <v>Total</v>
          </cell>
          <cell r="I76">
            <v>188497.66</v>
          </cell>
        </row>
        <row r="77">
          <cell r="A77">
            <v>938370</v>
          </cell>
          <cell r="B77" t="str">
            <v>Total</v>
          </cell>
          <cell r="I77">
            <v>202606.24</v>
          </cell>
        </row>
        <row r="78">
          <cell r="A78">
            <v>938375</v>
          </cell>
          <cell r="B78" t="str">
            <v>Total</v>
          </cell>
          <cell r="I78">
            <v>184492.71</v>
          </cell>
        </row>
        <row r="79">
          <cell r="A79">
            <v>938380</v>
          </cell>
          <cell r="B79" t="str">
            <v>Total</v>
          </cell>
          <cell r="I79">
            <v>113304.92</v>
          </cell>
        </row>
        <row r="80">
          <cell r="A80">
            <v>938385</v>
          </cell>
          <cell r="B80" t="str">
            <v>Total</v>
          </cell>
          <cell r="I80">
            <v>87259.15</v>
          </cell>
        </row>
        <row r="81">
          <cell r="A81">
            <v>938390</v>
          </cell>
          <cell r="B81" t="str">
            <v>Total</v>
          </cell>
          <cell r="I81">
            <v>114574.48</v>
          </cell>
        </row>
        <row r="82">
          <cell r="A82">
            <v>938395</v>
          </cell>
          <cell r="B82" t="str">
            <v>Total</v>
          </cell>
          <cell r="I82">
            <v>214813.72</v>
          </cell>
        </row>
        <row r="83">
          <cell r="A83">
            <v>938400</v>
          </cell>
          <cell r="B83" t="str">
            <v>Total</v>
          </cell>
          <cell r="I83">
            <v>131538.85</v>
          </cell>
        </row>
        <row r="84">
          <cell r="A84">
            <v>938405</v>
          </cell>
          <cell r="B84" t="str">
            <v>Total</v>
          </cell>
          <cell r="I84">
            <v>231861.41</v>
          </cell>
        </row>
        <row r="85">
          <cell r="A85">
            <v>938410</v>
          </cell>
          <cell r="B85" t="str">
            <v>Total</v>
          </cell>
          <cell r="I85">
            <v>151933.54</v>
          </cell>
        </row>
        <row r="86">
          <cell r="A86">
            <v>938415</v>
          </cell>
          <cell r="B86" t="str">
            <v>Total</v>
          </cell>
          <cell r="I86">
            <v>130439.19</v>
          </cell>
        </row>
        <row r="87">
          <cell r="A87">
            <v>938420</v>
          </cell>
          <cell r="B87" t="str">
            <v>Total</v>
          </cell>
          <cell r="I87">
            <v>56182.45</v>
          </cell>
        </row>
        <row r="88">
          <cell r="A88">
            <v>938425</v>
          </cell>
          <cell r="B88" t="str">
            <v>Total</v>
          </cell>
          <cell r="I88">
            <v>1014.539999999979</v>
          </cell>
        </row>
        <row r="89">
          <cell r="A89">
            <v>938430</v>
          </cell>
          <cell r="B89" t="str">
            <v>Total</v>
          </cell>
          <cell r="I89">
            <v>349877.15</v>
          </cell>
        </row>
        <row r="90">
          <cell r="A90">
            <v>938435</v>
          </cell>
          <cell r="B90" t="str">
            <v>Total</v>
          </cell>
          <cell r="I90">
            <v>236063.27</v>
          </cell>
        </row>
        <row r="91">
          <cell r="A91">
            <v>938437</v>
          </cell>
          <cell r="B91" t="str">
            <v>Total</v>
          </cell>
          <cell r="I91">
            <v>224256.81</v>
          </cell>
        </row>
        <row r="92">
          <cell r="A92">
            <v>938438</v>
          </cell>
          <cell r="B92" t="str">
            <v>Total</v>
          </cell>
          <cell r="I92">
            <v>198041.36</v>
          </cell>
        </row>
        <row r="93">
          <cell r="A93">
            <v>938440</v>
          </cell>
          <cell r="B93" t="str">
            <v>Total</v>
          </cell>
          <cell r="I93">
            <v>167518.34</v>
          </cell>
        </row>
        <row r="94">
          <cell r="A94">
            <v>938445</v>
          </cell>
          <cell r="B94" t="str">
            <v>Total</v>
          </cell>
          <cell r="I94">
            <v>1180791.27</v>
          </cell>
        </row>
        <row r="95">
          <cell r="A95">
            <v>938450</v>
          </cell>
          <cell r="B95" t="str">
            <v>Total</v>
          </cell>
          <cell r="I95">
            <v>595908.56</v>
          </cell>
        </row>
        <row r="96">
          <cell r="A96">
            <v>938455</v>
          </cell>
          <cell r="B96" t="str">
            <v>Total</v>
          </cell>
          <cell r="I96">
            <v>554168.5</v>
          </cell>
        </row>
        <row r="97">
          <cell r="A97">
            <v>938460</v>
          </cell>
          <cell r="B97" t="str">
            <v>Total</v>
          </cell>
          <cell r="I97">
            <v>1160624.5</v>
          </cell>
        </row>
        <row r="98">
          <cell r="A98">
            <v>938465</v>
          </cell>
          <cell r="B98" t="str">
            <v>Total</v>
          </cell>
          <cell r="I98">
            <v>641765.16</v>
          </cell>
        </row>
        <row r="99">
          <cell r="A99">
            <v>938470</v>
          </cell>
          <cell r="B99" t="str">
            <v>Total</v>
          </cell>
          <cell r="I99">
            <v>889774.6000000006</v>
          </cell>
        </row>
        <row r="100">
          <cell r="A100">
            <v>938475</v>
          </cell>
          <cell r="B100" t="str">
            <v>Total</v>
          </cell>
          <cell r="I100">
            <v>682204.18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236382.69</v>
          </cell>
        </row>
        <row r="103">
          <cell r="A103">
            <v>938490</v>
          </cell>
          <cell r="B103" t="str">
            <v>Total</v>
          </cell>
          <cell r="I103">
            <v>97927.81</v>
          </cell>
        </row>
        <row r="104">
          <cell r="A104">
            <v>938495</v>
          </cell>
          <cell r="B104" t="str">
            <v>Total</v>
          </cell>
          <cell r="I104">
            <v>183594.33</v>
          </cell>
        </row>
        <row r="105">
          <cell r="A105">
            <v>938500</v>
          </cell>
          <cell r="B105" t="str">
            <v>Total</v>
          </cell>
          <cell r="I105">
            <v>577916.39</v>
          </cell>
        </row>
        <row r="106">
          <cell r="A106">
            <v>938505</v>
          </cell>
          <cell r="B106" t="str">
            <v>Total</v>
          </cell>
          <cell r="I106">
            <v>379682.06</v>
          </cell>
        </row>
        <row r="107">
          <cell r="A107">
            <v>938510</v>
          </cell>
          <cell r="B107" t="str">
            <v>Total</v>
          </cell>
          <cell r="I107">
            <v>1190880.9</v>
          </cell>
        </row>
        <row r="108">
          <cell r="A108">
            <v>938515</v>
          </cell>
          <cell r="B108" t="str">
            <v>Total</v>
          </cell>
          <cell r="I108">
            <v>363542.59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205462.84</v>
          </cell>
        </row>
        <row r="111">
          <cell r="A111">
            <v>938525</v>
          </cell>
          <cell r="B111" t="str">
            <v>Total</v>
          </cell>
          <cell r="I111">
            <v>1843979.95</v>
          </cell>
        </row>
        <row r="112">
          <cell r="A112">
            <v>938530</v>
          </cell>
          <cell r="B112" t="str">
            <v>Total</v>
          </cell>
          <cell r="I112">
            <v>312220.67</v>
          </cell>
        </row>
        <row r="113">
          <cell r="A113">
            <v>938535</v>
          </cell>
          <cell r="B113" t="str">
            <v>Total</v>
          </cell>
          <cell r="I113">
            <v>413522.01</v>
          </cell>
        </row>
        <row r="114">
          <cell r="A114">
            <v>938540</v>
          </cell>
          <cell r="B114" t="str">
            <v>Total</v>
          </cell>
          <cell r="I114">
            <v>205336.23</v>
          </cell>
        </row>
        <row r="115">
          <cell r="A115">
            <v>938545</v>
          </cell>
          <cell r="B115" t="str">
            <v>Total</v>
          </cell>
          <cell r="I115">
            <v>-2502.8599999999933</v>
          </cell>
        </row>
        <row r="116">
          <cell r="A116">
            <v>938548</v>
          </cell>
          <cell r="B116" t="str">
            <v>Total</v>
          </cell>
          <cell r="I116">
            <v>97802.54</v>
          </cell>
        </row>
        <row r="117">
          <cell r="A117">
            <v>938550</v>
          </cell>
          <cell r="B117" t="str">
            <v>Total</v>
          </cell>
          <cell r="I117">
            <v>97801.24999999993</v>
          </cell>
        </row>
        <row r="118">
          <cell r="A118">
            <v>938555</v>
          </cell>
          <cell r="B118" t="str">
            <v>Total</v>
          </cell>
          <cell r="I118">
            <v>31219.52</v>
          </cell>
        </row>
        <row r="119">
          <cell r="A119">
            <v>938560</v>
          </cell>
          <cell r="B119" t="str">
            <v>Total</v>
          </cell>
          <cell r="I119">
            <v>214044.01</v>
          </cell>
        </row>
        <row r="120">
          <cell r="A120">
            <v>938565</v>
          </cell>
          <cell r="B120" t="str">
            <v>Total</v>
          </cell>
          <cell r="I120">
            <v>216876.34</v>
          </cell>
        </row>
        <row r="121">
          <cell r="A121">
            <v>938570</v>
          </cell>
          <cell r="B121" t="str">
            <v>Total</v>
          </cell>
          <cell r="I121">
            <v>410339.91</v>
          </cell>
        </row>
        <row r="122">
          <cell r="A122">
            <v>938575</v>
          </cell>
          <cell r="B122" t="str">
            <v>Total</v>
          </cell>
          <cell r="I122">
            <v>374662.48</v>
          </cell>
        </row>
        <row r="123">
          <cell r="A123">
            <v>938580</v>
          </cell>
          <cell r="B123" t="str">
            <v>Total</v>
          </cell>
          <cell r="I123">
            <v>287770.77</v>
          </cell>
        </row>
        <row r="124">
          <cell r="A124">
            <v>938585</v>
          </cell>
          <cell r="B124" t="str">
            <v>Total</v>
          </cell>
          <cell r="I124">
            <v>131354.23</v>
          </cell>
        </row>
        <row r="125">
          <cell r="I125">
            <v>31180369.32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(1)Supp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 10"/>
    </sheetNames>
    <sheetDataSet>
      <sheetData sheetId="3">
        <row r="122">
          <cell r="C122">
            <v>626144.6800000003</v>
          </cell>
        </row>
      </sheetData>
      <sheetData sheetId="4">
        <row r="120">
          <cell r="C120">
            <v>353231.18000000005</v>
          </cell>
        </row>
      </sheetData>
      <sheetData sheetId="5">
        <row r="122">
          <cell r="C122">
            <v>634763.4499999998</v>
          </cell>
        </row>
      </sheetData>
      <sheetData sheetId="6">
        <row r="120">
          <cell r="C120">
            <v>495577.88000000006</v>
          </cell>
        </row>
      </sheetData>
      <sheetData sheetId="7">
        <row r="121">
          <cell r="C121">
            <v>1155954.1600000004</v>
          </cell>
        </row>
      </sheetData>
      <sheetData sheetId="8">
        <row r="123">
          <cell r="C123">
            <v>297825.63</v>
          </cell>
        </row>
      </sheetData>
      <sheetData sheetId="9">
        <row r="122">
          <cell r="C122">
            <v>455154.51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 A P = C A B "/>
      <sheetName val="JULY PERIOD 4"/>
      <sheetName val="09.08.10. P4"/>
    </sheetNames>
    <sheetDataSet>
      <sheetData sheetId="1">
        <row r="1">
          <cell r="A1" t="str">
            <v>Account</v>
          </cell>
          <cell r="B1" t="str">
            <v>Cost Ctr</v>
          </cell>
          <cell r="C1" t="str">
            <v>Assignment</v>
          </cell>
          <cell r="D1" t="str">
            <v>DocumentNo</v>
          </cell>
          <cell r="E1" t="str">
            <v>Document Header Text</v>
          </cell>
          <cell r="F1" t="str">
            <v>Reference</v>
          </cell>
          <cell r="G1" t="str">
            <v>Text</v>
          </cell>
          <cell r="H1" t="str">
            <v>Doc. Date</v>
          </cell>
          <cell r="I1" t="str">
            <v>Amt in loc.cur.</v>
          </cell>
        </row>
        <row r="2">
          <cell r="A2">
            <v>938000</v>
          </cell>
          <cell r="B2" t="str">
            <v>Total</v>
          </cell>
          <cell r="I2">
            <v>176650.04</v>
          </cell>
        </row>
        <row r="3">
          <cell r="A3">
            <v>938005</v>
          </cell>
          <cell r="B3" t="str">
            <v>Total</v>
          </cell>
          <cell r="I3">
            <v>180005.53</v>
          </cell>
        </row>
        <row r="4">
          <cell r="A4">
            <v>938010</v>
          </cell>
          <cell r="B4" t="str">
            <v>Total</v>
          </cell>
          <cell r="I4">
            <v>176909.3</v>
          </cell>
        </row>
        <row r="5">
          <cell r="A5">
            <v>938015</v>
          </cell>
          <cell r="B5" t="str">
            <v>Total</v>
          </cell>
          <cell r="I5">
            <v>146463.8</v>
          </cell>
        </row>
        <row r="6">
          <cell r="A6">
            <v>938020</v>
          </cell>
          <cell r="B6" t="str">
            <v>Total</v>
          </cell>
          <cell r="I6">
            <v>30085.030000000057</v>
          </cell>
        </row>
        <row r="7">
          <cell r="A7">
            <v>938025</v>
          </cell>
          <cell r="B7" t="str">
            <v>Total</v>
          </cell>
          <cell r="I7">
            <v>260347.97</v>
          </cell>
        </row>
        <row r="8">
          <cell r="A8">
            <v>938030</v>
          </cell>
          <cell r="B8" t="str">
            <v>Total</v>
          </cell>
          <cell r="I8">
            <v>257987.77</v>
          </cell>
        </row>
        <row r="9">
          <cell r="A9">
            <v>938035</v>
          </cell>
          <cell r="B9" t="str">
            <v>Total</v>
          </cell>
          <cell r="I9">
            <v>234630.59</v>
          </cell>
        </row>
        <row r="10">
          <cell r="A10">
            <v>938040</v>
          </cell>
          <cell r="B10" t="str">
            <v>Total</v>
          </cell>
          <cell r="I10">
            <v>243895.48</v>
          </cell>
        </row>
        <row r="11">
          <cell r="A11">
            <v>938045</v>
          </cell>
          <cell r="B11" t="str">
            <v>Total</v>
          </cell>
          <cell r="I11">
            <v>191354.64</v>
          </cell>
        </row>
        <row r="12">
          <cell r="A12">
            <v>938050</v>
          </cell>
          <cell r="B12" t="str">
            <v>Total</v>
          </cell>
          <cell r="I12">
            <v>399229.03</v>
          </cell>
        </row>
        <row r="13">
          <cell r="A13">
            <v>938055</v>
          </cell>
          <cell r="B13" t="str">
            <v>Total</v>
          </cell>
          <cell r="I13">
            <v>180084.81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370896.44</v>
          </cell>
        </row>
        <row r="17">
          <cell r="A17">
            <v>938075</v>
          </cell>
          <cell r="B17" t="str">
            <v>Total</v>
          </cell>
          <cell r="I17">
            <v>289666.99</v>
          </cell>
        </row>
        <row r="18">
          <cell r="A18">
            <v>938080</v>
          </cell>
          <cell r="B18" t="str">
            <v>Total</v>
          </cell>
          <cell r="I18">
            <v>180851.66</v>
          </cell>
        </row>
        <row r="19">
          <cell r="A19">
            <v>938085</v>
          </cell>
          <cell r="B19" t="str">
            <v>Total</v>
          </cell>
          <cell r="I19">
            <v>126982.78</v>
          </cell>
        </row>
        <row r="20">
          <cell r="A20">
            <v>938090</v>
          </cell>
          <cell r="B20" t="str">
            <v>Total</v>
          </cell>
          <cell r="I20">
            <v>196993.86</v>
          </cell>
        </row>
        <row r="21">
          <cell r="A21">
            <v>938095</v>
          </cell>
          <cell r="B21" t="str">
            <v>Total</v>
          </cell>
          <cell r="I21">
            <v>214196.54</v>
          </cell>
        </row>
        <row r="22">
          <cell r="A22">
            <v>938100</v>
          </cell>
          <cell r="B22" t="str">
            <v>Total</v>
          </cell>
          <cell r="I22">
            <v>207644.61</v>
          </cell>
        </row>
        <row r="23">
          <cell r="A23">
            <v>938105</v>
          </cell>
          <cell r="B23" t="str">
            <v>Total</v>
          </cell>
          <cell r="I23">
            <v>253800.72</v>
          </cell>
        </row>
        <row r="24">
          <cell r="A24">
            <v>938110</v>
          </cell>
          <cell r="B24" t="str">
            <v>Total</v>
          </cell>
          <cell r="I24">
            <v>222602.95</v>
          </cell>
        </row>
        <row r="25">
          <cell r="A25">
            <v>938115</v>
          </cell>
          <cell r="B25" t="str">
            <v>Total</v>
          </cell>
          <cell r="I25">
            <v>235910.46</v>
          </cell>
        </row>
        <row r="26">
          <cell r="A26">
            <v>938120</v>
          </cell>
          <cell r="B26" t="str">
            <v>Total</v>
          </cell>
          <cell r="I26">
            <v>205899.63</v>
          </cell>
        </row>
        <row r="27">
          <cell r="A27">
            <v>938125</v>
          </cell>
          <cell r="B27" t="str">
            <v>Total</v>
          </cell>
          <cell r="I27">
            <v>344222.12</v>
          </cell>
        </row>
        <row r="28">
          <cell r="A28">
            <v>938130</v>
          </cell>
          <cell r="B28" t="str">
            <v>Total</v>
          </cell>
          <cell r="I28">
            <v>217628.35</v>
          </cell>
        </row>
        <row r="29">
          <cell r="A29">
            <v>938135</v>
          </cell>
          <cell r="B29" t="str">
            <v>Total</v>
          </cell>
          <cell r="I29">
            <v>179431.33</v>
          </cell>
        </row>
        <row r="30">
          <cell r="A30">
            <v>938140</v>
          </cell>
          <cell r="B30" t="str">
            <v>Total</v>
          </cell>
          <cell r="I30">
            <v>489966.16</v>
          </cell>
        </row>
        <row r="31">
          <cell r="A31">
            <v>938145</v>
          </cell>
          <cell r="B31" t="str">
            <v>Total</v>
          </cell>
          <cell r="I31">
            <v>107837.53</v>
          </cell>
        </row>
        <row r="32">
          <cell r="A32">
            <v>938150</v>
          </cell>
          <cell r="B32" t="str">
            <v>Total</v>
          </cell>
          <cell r="I32">
            <v>120442.74</v>
          </cell>
        </row>
        <row r="33">
          <cell r="A33">
            <v>938155</v>
          </cell>
          <cell r="B33" t="str">
            <v>Total</v>
          </cell>
          <cell r="I33">
            <v>158817.26</v>
          </cell>
        </row>
        <row r="34">
          <cell r="A34">
            <v>938160</v>
          </cell>
          <cell r="B34" t="str">
            <v>Total</v>
          </cell>
          <cell r="I34">
            <v>434461.59</v>
          </cell>
        </row>
        <row r="35">
          <cell r="A35">
            <v>938165</v>
          </cell>
          <cell r="B35" t="str">
            <v>Total</v>
          </cell>
          <cell r="I35">
            <v>176624.45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4.729372449219227E-11</v>
          </cell>
        </row>
        <row r="38">
          <cell r="A38">
            <v>938180</v>
          </cell>
          <cell r="B38" t="str">
            <v>Total</v>
          </cell>
          <cell r="I38">
            <v>164662.93</v>
          </cell>
        </row>
        <row r="39">
          <cell r="A39">
            <v>938185</v>
          </cell>
          <cell r="B39" t="str">
            <v>Total</v>
          </cell>
          <cell r="I39">
            <v>124403.93</v>
          </cell>
        </row>
        <row r="40">
          <cell r="A40">
            <v>938190</v>
          </cell>
          <cell r="B40" t="str">
            <v>Total</v>
          </cell>
          <cell r="I40">
            <v>202145.34</v>
          </cell>
        </row>
        <row r="41">
          <cell r="A41">
            <v>938195</v>
          </cell>
          <cell r="B41" t="str">
            <v>Total</v>
          </cell>
          <cell r="I41">
            <v>218753.94</v>
          </cell>
        </row>
        <row r="42">
          <cell r="A42">
            <v>938200</v>
          </cell>
          <cell r="B42" t="str">
            <v>Total</v>
          </cell>
          <cell r="I42">
            <v>243745.02</v>
          </cell>
        </row>
        <row r="43">
          <cell r="A43">
            <v>938205</v>
          </cell>
          <cell r="B43" t="str">
            <v>Total</v>
          </cell>
          <cell r="I43">
            <v>212565.17</v>
          </cell>
        </row>
        <row r="44">
          <cell r="A44">
            <v>938210</v>
          </cell>
          <cell r="B44" t="str">
            <v>Total</v>
          </cell>
          <cell r="I44">
            <v>84071.8</v>
          </cell>
        </row>
        <row r="45">
          <cell r="A45">
            <v>938215</v>
          </cell>
          <cell r="B45" t="str">
            <v>Total</v>
          </cell>
          <cell r="I45">
            <v>136363.74</v>
          </cell>
        </row>
        <row r="46">
          <cell r="A46">
            <v>938220</v>
          </cell>
          <cell r="B46" t="str">
            <v>Total</v>
          </cell>
          <cell r="I46">
            <v>136442.1</v>
          </cell>
        </row>
        <row r="47">
          <cell r="A47">
            <v>938225</v>
          </cell>
          <cell r="B47" t="str">
            <v>Total</v>
          </cell>
          <cell r="I47">
            <v>433725.32</v>
          </cell>
        </row>
        <row r="48">
          <cell r="A48">
            <v>938230</v>
          </cell>
          <cell r="B48" t="str">
            <v>Total</v>
          </cell>
          <cell r="I48">
            <v>2.1827872842550278E-10</v>
          </cell>
        </row>
        <row r="49">
          <cell r="A49">
            <v>938235</v>
          </cell>
          <cell r="B49" t="str">
            <v>Total</v>
          </cell>
          <cell r="I49">
            <v>193980.56</v>
          </cell>
        </row>
        <row r="50">
          <cell r="A50">
            <v>938240</v>
          </cell>
          <cell r="B50" t="str">
            <v>Total</v>
          </cell>
          <cell r="I50">
            <v>147913.19</v>
          </cell>
        </row>
        <row r="51">
          <cell r="A51">
            <v>938245</v>
          </cell>
          <cell r="B51" t="str">
            <v>Total</v>
          </cell>
          <cell r="I51">
            <v>146981.65</v>
          </cell>
        </row>
        <row r="52">
          <cell r="A52">
            <v>938250</v>
          </cell>
          <cell r="B52" t="str">
            <v>Total</v>
          </cell>
          <cell r="I52">
            <v>228611.49</v>
          </cell>
        </row>
        <row r="53">
          <cell r="A53">
            <v>938255</v>
          </cell>
          <cell r="B53" t="str">
            <v>Total</v>
          </cell>
          <cell r="I53">
            <v>234763.69</v>
          </cell>
        </row>
        <row r="54">
          <cell r="A54">
            <v>938260</v>
          </cell>
          <cell r="B54" t="str">
            <v>Total</v>
          </cell>
          <cell r="I54">
            <v>337777.25</v>
          </cell>
        </row>
        <row r="55">
          <cell r="A55">
            <v>938265</v>
          </cell>
          <cell r="B55" t="str">
            <v>Total</v>
          </cell>
          <cell r="I55">
            <v>301298.82</v>
          </cell>
        </row>
        <row r="56">
          <cell r="A56">
            <v>938270</v>
          </cell>
          <cell r="B56" t="str">
            <v>Total</v>
          </cell>
          <cell r="I56">
            <v>175303.95</v>
          </cell>
        </row>
        <row r="57">
          <cell r="A57">
            <v>938275</v>
          </cell>
          <cell r="B57" t="str">
            <v>Total</v>
          </cell>
          <cell r="I57">
            <v>22483.86</v>
          </cell>
        </row>
        <row r="58">
          <cell r="A58">
            <v>938280</v>
          </cell>
          <cell r="B58" t="str">
            <v>Total</v>
          </cell>
          <cell r="I58">
            <v>56808.66</v>
          </cell>
        </row>
        <row r="59">
          <cell r="A59">
            <v>938282</v>
          </cell>
          <cell r="B59" t="str">
            <v>Total</v>
          </cell>
          <cell r="I59">
            <v>88366.41000000008</v>
          </cell>
        </row>
        <row r="60">
          <cell r="A60">
            <v>938285</v>
          </cell>
          <cell r="B60" t="str">
            <v>Total</v>
          </cell>
          <cell r="I60">
            <v>118427.28</v>
          </cell>
        </row>
        <row r="61">
          <cell r="A61">
            <v>938290</v>
          </cell>
          <cell r="B61" t="str">
            <v>Total</v>
          </cell>
          <cell r="I61">
            <v>95136.59999999995</v>
          </cell>
        </row>
        <row r="62">
          <cell r="A62">
            <v>938295</v>
          </cell>
          <cell r="B62" t="str">
            <v>Total</v>
          </cell>
          <cell r="I62">
            <v>56338.82</v>
          </cell>
        </row>
        <row r="63">
          <cell r="A63">
            <v>938300</v>
          </cell>
          <cell r="B63" t="str">
            <v>Total</v>
          </cell>
          <cell r="I63">
            <v>130526.79</v>
          </cell>
        </row>
        <row r="64">
          <cell r="A64">
            <v>938305</v>
          </cell>
          <cell r="B64" t="str">
            <v>Total</v>
          </cell>
          <cell r="I64">
            <v>8.114398042380344E-12</v>
          </cell>
        </row>
        <row r="65">
          <cell r="A65">
            <v>938310</v>
          </cell>
          <cell r="B65" t="str">
            <v>Total</v>
          </cell>
          <cell r="I65">
            <v>200539.87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183358.37</v>
          </cell>
        </row>
        <row r="68">
          <cell r="A68">
            <v>938325</v>
          </cell>
          <cell r="B68" t="str">
            <v>Total</v>
          </cell>
          <cell r="I68">
            <v>118753.11</v>
          </cell>
        </row>
        <row r="69">
          <cell r="A69">
            <v>938330</v>
          </cell>
          <cell r="B69" t="str">
            <v>Total</v>
          </cell>
          <cell r="I69">
            <v>126473.55</v>
          </cell>
        </row>
        <row r="70">
          <cell r="A70">
            <v>938335</v>
          </cell>
          <cell r="B70" t="str">
            <v>Total</v>
          </cell>
          <cell r="I70">
            <v>105118.08</v>
          </cell>
        </row>
        <row r="71">
          <cell r="A71">
            <v>938340</v>
          </cell>
          <cell r="B71" t="str">
            <v>Total</v>
          </cell>
          <cell r="I71">
            <v>72975.2</v>
          </cell>
        </row>
        <row r="72">
          <cell r="A72">
            <v>938345</v>
          </cell>
          <cell r="B72" t="str">
            <v>Total</v>
          </cell>
          <cell r="I72">
            <v>83707.39999999992</v>
          </cell>
        </row>
        <row r="73">
          <cell r="A73">
            <v>938350</v>
          </cell>
          <cell r="B73" t="str">
            <v>Total</v>
          </cell>
          <cell r="I73">
            <v>148547.03</v>
          </cell>
        </row>
        <row r="74">
          <cell r="A74">
            <v>938355</v>
          </cell>
          <cell r="B74" t="str">
            <v>Total</v>
          </cell>
          <cell r="I74">
            <v>179652.79</v>
          </cell>
        </row>
        <row r="75">
          <cell r="A75">
            <v>938360</v>
          </cell>
          <cell r="B75" t="str">
            <v>Total</v>
          </cell>
          <cell r="I75">
            <v>133839.67</v>
          </cell>
        </row>
        <row r="76">
          <cell r="A76">
            <v>938365</v>
          </cell>
          <cell r="B76" t="str">
            <v>Total</v>
          </cell>
          <cell r="I76">
            <v>186310.7</v>
          </cell>
        </row>
        <row r="77">
          <cell r="A77">
            <v>938370</v>
          </cell>
          <cell r="B77" t="str">
            <v>Total</v>
          </cell>
          <cell r="I77">
            <v>173222.84</v>
          </cell>
        </row>
        <row r="78">
          <cell r="A78">
            <v>938375</v>
          </cell>
          <cell r="B78" t="str">
            <v>Total</v>
          </cell>
          <cell r="I78">
            <v>167590.93</v>
          </cell>
        </row>
        <row r="79">
          <cell r="A79">
            <v>938380</v>
          </cell>
          <cell r="B79" t="str">
            <v>Total</v>
          </cell>
          <cell r="I79">
            <v>105220.75</v>
          </cell>
        </row>
        <row r="80">
          <cell r="A80">
            <v>938385</v>
          </cell>
          <cell r="B80" t="str">
            <v>Total</v>
          </cell>
          <cell r="I80">
            <v>67383.92</v>
          </cell>
        </row>
        <row r="81">
          <cell r="A81">
            <v>938390</v>
          </cell>
          <cell r="B81" t="str">
            <v>Total</v>
          </cell>
          <cell r="I81">
            <v>123357.99</v>
          </cell>
        </row>
        <row r="82">
          <cell r="A82">
            <v>938395</v>
          </cell>
          <cell r="B82" t="str">
            <v>Total</v>
          </cell>
          <cell r="I82">
            <v>208143.46</v>
          </cell>
        </row>
        <row r="83">
          <cell r="A83">
            <v>938400</v>
          </cell>
          <cell r="B83" t="str">
            <v>Total</v>
          </cell>
          <cell r="I83">
            <v>125836.35</v>
          </cell>
        </row>
        <row r="84">
          <cell r="A84">
            <v>938405</v>
          </cell>
          <cell r="B84" t="str">
            <v>Total</v>
          </cell>
          <cell r="I84">
            <v>232250.11</v>
          </cell>
        </row>
        <row r="85">
          <cell r="A85">
            <v>938410</v>
          </cell>
          <cell r="B85" t="str">
            <v>Total</v>
          </cell>
          <cell r="I85">
            <v>154203.66</v>
          </cell>
        </row>
        <row r="86">
          <cell r="A86">
            <v>938415</v>
          </cell>
          <cell r="B86" t="str">
            <v>Total</v>
          </cell>
          <cell r="I86">
            <v>118355.94</v>
          </cell>
        </row>
        <row r="87">
          <cell r="A87">
            <v>938420</v>
          </cell>
          <cell r="B87" t="str">
            <v>Total</v>
          </cell>
          <cell r="I87">
            <v>41824.71</v>
          </cell>
        </row>
        <row r="88">
          <cell r="A88">
            <v>938425</v>
          </cell>
          <cell r="B88" t="str">
            <v>Total</v>
          </cell>
          <cell r="I88">
            <v>1162.8799999999792</v>
          </cell>
        </row>
        <row r="89">
          <cell r="A89">
            <v>938430</v>
          </cell>
          <cell r="B89" t="str">
            <v>Total</v>
          </cell>
          <cell r="I89">
            <v>287609.33</v>
          </cell>
        </row>
        <row r="90">
          <cell r="A90">
            <v>938435</v>
          </cell>
          <cell r="B90" t="str">
            <v>Total</v>
          </cell>
          <cell r="I90">
            <v>255320.32</v>
          </cell>
        </row>
        <row r="91">
          <cell r="A91">
            <v>938437</v>
          </cell>
          <cell r="B91" t="str">
            <v>Total</v>
          </cell>
          <cell r="I91">
            <v>205018.03</v>
          </cell>
        </row>
        <row r="92">
          <cell r="A92">
            <v>938438</v>
          </cell>
          <cell r="B92" t="str">
            <v>Total</v>
          </cell>
          <cell r="I92">
            <v>142073.16</v>
          </cell>
        </row>
        <row r="93">
          <cell r="A93">
            <v>938440</v>
          </cell>
          <cell r="B93" t="str">
            <v>Total</v>
          </cell>
          <cell r="I93">
            <v>71222.5000000001</v>
          </cell>
        </row>
        <row r="94">
          <cell r="A94">
            <v>938445</v>
          </cell>
          <cell r="B94" t="str">
            <v>Total</v>
          </cell>
          <cell r="I94">
            <v>1041246.31</v>
          </cell>
        </row>
        <row r="95">
          <cell r="A95">
            <v>938450</v>
          </cell>
          <cell r="B95" t="str">
            <v>Total</v>
          </cell>
          <cell r="I95">
            <v>608950.99</v>
          </cell>
        </row>
        <row r="96">
          <cell r="A96">
            <v>938455</v>
          </cell>
          <cell r="B96" t="str">
            <v>Total</v>
          </cell>
          <cell r="I96">
            <v>570011.05</v>
          </cell>
        </row>
        <row r="97">
          <cell r="A97">
            <v>938460</v>
          </cell>
          <cell r="B97" t="str">
            <v>Total</v>
          </cell>
          <cell r="I97">
            <v>1001044.27</v>
          </cell>
        </row>
        <row r="98">
          <cell r="A98">
            <v>938465</v>
          </cell>
          <cell r="B98" t="str">
            <v>Total</v>
          </cell>
          <cell r="I98">
            <v>534490.05</v>
          </cell>
        </row>
        <row r="99">
          <cell r="A99">
            <v>938470</v>
          </cell>
          <cell r="B99" t="str">
            <v>Total</v>
          </cell>
          <cell r="I99">
            <v>895660.7800000006</v>
          </cell>
        </row>
        <row r="100">
          <cell r="A100">
            <v>938475</v>
          </cell>
          <cell r="B100" t="str">
            <v>Total</v>
          </cell>
          <cell r="I100">
            <v>673591.12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251719.66</v>
          </cell>
        </row>
        <row r="103">
          <cell r="A103">
            <v>938490</v>
          </cell>
          <cell r="B103" t="str">
            <v>Total</v>
          </cell>
          <cell r="I103">
            <v>63578.41</v>
          </cell>
        </row>
        <row r="104">
          <cell r="A104">
            <v>938495</v>
          </cell>
          <cell r="B104" t="str">
            <v>Total</v>
          </cell>
          <cell r="I104">
            <v>170922.35</v>
          </cell>
        </row>
        <row r="105">
          <cell r="A105">
            <v>938500</v>
          </cell>
          <cell r="B105" t="str">
            <v>Total</v>
          </cell>
          <cell r="I105">
            <v>496040.55</v>
          </cell>
        </row>
        <row r="106">
          <cell r="A106">
            <v>938505</v>
          </cell>
          <cell r="B106" t="str">
            <v>Total</v>
          </cell>
          <cell r="I106">
            <v>400284.01</v>
          </cell>
        </row>
        <row r="107">
          <cell r="A107">
            <v>938510</v>
          </cell>
          <cell r="B107" t="str">
            <v>Total</v>
          </cell>
          <cell r="I107">
            <v>932590.87</v>
          </cell>
        </row>
        <row r="108">
          <cell r="A108">
            <v>938515</v>
          </cell>
          <cell r="B108" t="str">
            <v>Total</v>
          </cell>
          <cell r="I108">
            <v>890283.19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214504.93</v>
          </cell>
        </row>
        <row r="111">
          <cell r="A111">
            <v>938525</v>
          </cell>
          <cell r="B111" t="str">
            <v>Total</v>
          </cell>
          <cell r="I111">
            <v>1536814.8</v>
          </cell>
        </row>
        <row r="112">
          <cell r="A112">
            <v>938530</v>
          </cell>
          <cell r="B112" t="str">
            <v>Total</v>
          </cell>
          <cell r="I112">
            <v>233851.71</v>
          </cell>
        </row>
        <row r="113">
          <cell r="A113">
            <v>938535</v>
          </cell>
          <cell r="B113" t="str">
            <v>Total</v>
          </cell>
          <cell r="I113">
            <v>339104.99</v>
          </cell>
        </row>
        <row r="114">
          <cell r="A114">
            <v>938540</v>
          </cell>
          <cell r="B114" t="str">
            <v>Total</v>
          </cell>
          <cell r="I114">
            <v>217347.58</v>
          </cell>
        </row>
        <row r="115">
          <cell r="A115">
            <v>938545</v>
          </cell>
          <cell r="B115" t="str">
            <v>Total</v>
          </cell>
          <cell r="I115">
            <v>5013.720000000007</v>
          </cell>
        </row>
        <row r="116">
          <cell r="A116">
            <v>938548</v>
          </cell>
          <cell r="B116" t="str">
            <v>Total</v>
          </cell>
          <cell r="I116">
            <v>74301.2</v>
          </cell>
        </row>
        <row r="117">
          <cell r="A117">
            <v>938550</v>
          </cell>
          <cell r="B117" t="str">
            <v>Total</v>
          </cell>
          <cell r="I117">
            <v>148499.82</v>
          </cell>
        </row>
        <row r="118">
          <cell r="A118">
            <v>938555</v>
          </cell>
          <cell r="B118" t="str">
            <v>Total</v>
          </cell>
          <cell r="I118">
            <v>13820.58</v>
          </cell>
        </row>
        <row r="119">
          <cell r="A119">
            <v>938560</v>
          </cell>
          <cell r="B119" t="str">
            <v>Total</v>
          </cell>
          <cell r="I119">
            <v>173308.82</v>
          </cell>
        </row>
        <row r="120">
          <cell r="A120">
            <v>938565</v>
          </cell>
          <cell r="B120" t="str">
            <v>Total</v>
          </cell>
          <cell r="I120">
            <v>205530.36</v>
          </cell>
        </row>
        <row r="121">
          <cell r="A121">
            <v>938570</v>
          </cell>
          <cell r="B121" t="str">
            <v>Total</v>
          </cell>
          <cell r="I121">
            <v>387160.65</v>
          </cell>
        </row>
        <row r="122">
          <cell r="A122">
            <v>938575</v>
          </cell>
          <cell r="B122" t="str">
            <v>Total</v>
          </cell>
          <cell r="I122">
            <v>310331.88</v>
          </cell>
        </row>
        <row r="123">
          <cell r="A123">
            <v>938580</v>
          </cell>
          <cell r="B123" t="str">
            <v>Total</v>
          </cell>
          <cell r="I123">
            <v>259193.57</v>
          </cell>
        </row>
        <row r="124">
          <cell r="A124">
            <v>938585</v>
          </cell>
          <cell r="B124" t="str">
            <v>Total</v>
          </cell>
          <cell r="I124">
            <v>105979.68</v>
          </cell>
        </row>
        <row r="125">
          <cell r="I125">
            <v>28278371.019999996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 AP = C A B."/>
      <sheetName val="PERIOD 5 AUG"/>
      <sheetName val="10.09.10"/>
    </sheetNames>
    <sheetDataSet>
      <sheetData sheetId="1">
        <row r="2">
          <cell r="A2">
            <v>938000</v>
          </cell>
          <cell r="B2" t="str">
            <v>Total</v>
          </cell>
          <cell r="I2">
            <v>177533.89</v>
          </cell>
        </row>
        <row r="3">
          <cell r="A3">
            <v>938005</v>
          </cell>
          <cell r="B3" t="str">
            <v>Total</v>
          </cell>
          <cell r="I3">
            <v>180497.06</v>
          </cell>
        </row>
        <row r="4">
          <cell r="A4">
            <v>938010</v>
          </cell>
          <cell r="B4" t="str">
            <v>Total</v>
          </cell>
          <cell r="I4">
            <v>177073.05</v>
          </cell>
        </row>
        <row r="5">
          <cell r="A5">
            <v>938015</v>
          </cell>
          <cell r="B5" t="str">
            <v>Total</v>
          </cell>
          <cell r="I5">
            <v>146928.65</v>
          </cell>
        </row>
        <row r="6">
          <cell r="A6">
            <v>938020</v>
          </cell>
          <cell r="B6" t="str">
            <v>Total</v>
          </cell>
          <cell r="I6">
            <v>40720.6700000001</v>
          </cell>
        </row>
        <row r="7">
          <cell r="A7">
            <v>938025</v>
          </cell>
          <cell r="B7" t="str">
            <v>Total</v>
          </cell>
          <cell r="I7">
            <v>270258.1</v>
          </cell>
        </row>
        <row r="8">
          <cell r="A8">
            <v>938030</v>
          </cell>
          <cell r="B8" t="str">
            <v>Total</v>
          </cell>
          <cell r="I8">
            <v>264361.17</v>
          </cell>
        </row>
        <row r="9">
          <cell r="A9">
            <v>938035</v>
          </cell>
          <cell r="B9" t="str">
            <v>Total</v>
          </cell>
          <cell r="I9">
            <v>236714.76</v>
          </cell>
        </row>
        <row r="10">
          <cell r="A10">
            <v>938040</v>
          </cell>
          <cell r="B10" t="str">
            <v>Total</v>
          </cell>
          <cell r="I10">
            <v>246338.58</v>
          </cell>
        </row>
        <row r="11">
          <cell r="A11">
            <v>938045</v>
          </cell>
          <cell r="B11" t="str">
            <v>Total</v>
          </cell>
          <cell r="I11">
            <v>192765.84</v>
          </cell>
        </row>
        <row r="12">
          <cell r="A12">
            <v>938050</v>
          </cell>
          <cell r="B12" t="str">
            <v>Total</v>
          </cell>
          <cell r="I12">
            <v>403212.27</v>
          </cell>
        </row>
        <row r="13">
          <cell r="A13">
            <v>938055</v>
          </cell>
          <cell r="B13" t="str">
            <v>Total</v>
          </cell>
          <cell r="I13">
            <v>136567.08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373327.12</v>
          </cell>
        </row>
        <row r="17">
          <cell r="A17">
            <v>938075</v>
          </cell>
          <cell r="B17" t="str">
            <v>Total</v>
          </cell>
          <cell r="I17">
            <v>257217.89</v>
          </cell>
        </row>
        <row r="18">
          <cell r="A18">
            <v>938080</v>
          </cell>
          <cell r="B18" t="str">
            <v>Total</v>
          </cell>
          <cell r="I18">
            <v>181413.84</v>
          </cell>
        </row>
        <row r="19">
          <cell r="A19">
            <v>938085</v>
          </cell>
          <cell r="B19" t="str">
            <v>Total</v>
          </cell>
          <cell r="I19">
            <v>133233.9</v>
          </cell>
        </row>
        <row r="20">
          <cell r="A20">
            <v>938090</v>
          </cell>
          <cell r="B20" t="str">
            <v>Total</v>
          </cell>
          <cell r="I20">
            <v>203028.95</v>
          </cell>
        </row>
        <row r="21">
          <cell r="A21">
            <v>938095</v>
          </cell>
          <cell r="B21" t="str">
            <v>Total</v>
          </cell>
          <cell r="I21">
            <v>217414.5</v>
          </cell>
        </row>
        <row r="22">
          <cell r="A22">
            <v>938100</v>
          </cell>
          <cell r="B22" t="str">
            <v>Total</v>
          </cell>
          <cell r="I22">
            <v>210823.79</v>
          </cell>
        </row>
        <row r="23">
          <cell r="A23">
            <v>938105</v>
          </cell>
          <cell r="B23" t="str">
            <v>Total</v>
          </cell>
          <cell r="I23">
            <v>254592.21</v>
          </cell>
        </row>
        <row r="24">
          <cell r="A24">
            <v>938110</v>
          </cell>
          <cell r="B24" t="str">
            <v>Total</v>
          </cell>
          <cell r="I24">
            <v>211926.76</v>
          </cell>
        </row>
        <row r="25">
          <cell r="A25">
            <v>938115</v>
          </cell>
          <cell r="B25" t="str">
            <v>Total</v>
          </cell>
          <cell r="I25">
            <v>222332.16</v>
          </cell>
        </row>
        <row r="26">
          <cell r="A26">
            <v>938120</v>
          </cell>
          <cell r="B26" t="str">
            <v>Total</v>
          </cell>
          <cell r="I26">
            <v>208934.82</v>
          </cell>
        </row>
        <row r="27">
          <cell r="A27">
            <v>938125</v>
          </cell>
          <cell r="B27" t="str">
            <v>Total</v>
          </cell>
          <cell r="I27">
            <v>347982.67</v>
          </cell>
        </row>
        <row r="28">
          <cell r="A28">
            <v>938130</v>
          </cell>
          <cell r="B28" t="str">
            <v>Total</v>
          </cell>
          <cell r="I28">
            <v>221820.98</v>
          </cell>
        </row>
        <row r="29">
          <cell r="A29">
            <v>938135</v>
          </cell>
          <cell r="B29" t="str">
            <v>Total</v>
          </cell>
          <cell r="I29">
            <v>181482.81</v>
          </cell>
        </row>
        <row r="30">
          <cell r="A30">
            <v>938140</v>
          </cell>
          <cell r="B30" t="str">
            <v>Total</v>
          </cell>
          <cell r="I30">
            <v>304354.3</v>
          </cell>
        </row>
        <row r="31">
          <cell r="A31">
            <v>938145</v>
          </cell>
          <cell r="B31" t="str">
            <v>Total</v>
          </cell>
          <cell r="I31">
            <v>108083.71</v>
          </cell>
        </row>
        <row r="32">
          <cell r="A32">
            <v>938150</v>
          </cell>
          <cell r="B32" t="str">
            <v>Total</v>
          </cell>
          <cell r="I32">
            <v>130433.41</v>
          </cell>
        </row>
        <row r="33">
          <cell r="A33">
            <v>938155</v>
          </cell>
          <cell r="B33" t="str">
            <v>Total</v>
          </cell>
          <cell r="I33">
            <v>158817.26</v>
          </cell>
        </row>
        <row r="34">
          <cell r="A34">
            <v>938160</v>
          </cell>
          <cell r="B34" t="str">
            <v>Total</v>
          </cell>
          <cell r="I34">
            <v>285754.43</v>
          </cell>
        </row>
        <row r="35">
          <cell r="A35">
            <v>938165</v>
          </cell>
          <cell r="B35" t="str">
            <v>Total</v>
          </cell>
          <cell r="I35">
            <v>178257.1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4.72937244921923E-11</v>
          </cell>
        </row>
        <row r="38">
          <cell r="A38">
            <v>938180</v>
          </cell>
          <cell r="B38" t="str">
            <v>Total</v>
          </cell>
          <cell r="I38">
            <v>167590.6</v>
          </cell>
        </row>
        <row r="39">
          <cell r="A39">
            <v>938185</v>
          </cell>
          <cell r="B39" t="str">
            <v>Total</v>
          </cell>
          <cell r="I39">
            <v>144719.53</v>
          </cell>
        </row>
        <row r="40">
          <cell r="A40">
            <v>938190</v>
          </cell>
          <cell r="B40" t="str">
            <v>Total</v>
          </cell>
          <cell r="I40">
            <v>206497.22</v>
          </cell>
        </row>
        <row r="41">
          <cell r="A41">
            <v>938195</v>
          </cell>
          <cell r="B41" t="str">
            <v>Total</v>
          </cell>
          <cell r="I41">
            <v>220735.24</v>
          </cell>
        </row>
        <row r="42">
          <cell r="A42">
            <v>938200</v>
          </cell>
          <cell r="B42" t="str">
            <v>Total</v>
          </cell>
          <cell r="I42">
            <v>246433.68</v>
          </cell>
        </row>
        <row r="43">
          <cell r="A43">
            <v>938205</v>
          </cell>
          <cell r="B43" t="str">
            <v>Total</v>
          </cell>
          <cell r="I43">
            <v>189827.57</v>
          </cell>
        </row>
        <row r="44">
          <cell r="A44">
            <v>938210</v>
          </cell>
          <cell r="B44" t="str">
            <v>Total</v>
          </cell>
          <cell r="I44">
            <v>87181.4600000001</v>
          </cell>
        </row>
        <row r="45">
          <cell r="A45">
            <v>938215</v>
          </cell>
          <cell r="B45" t="str">
            <v>Total</v>
          </cell>
          <cell r="I45">
            <v>136913.44</v>
          </cell>
        </row>
        <row r="46">
          <cell r="A46">
            <v>938220</v>
          </cell>
          <cell r="B46" t="str">
            <v>Total</v>
          </cell>
          <cell r="I46">
            <v>145323.37</v>
          </cell>
        </row>
        <row r="47">
          <cell r="A47">
            <v>938225</v>
          </cell>
          <cell r="B47" t="str">
            <v>Total</v>
          </cell>
          <cell r="I47">
            <v>435252.53</v>
          </cell>
        </row>
        <row r="48">
          <cell r="A48">
            <v>938230</v>
          </cell>
          <cell r="B48" t="str">
            <v>Total</v>
          </cell>
          <cell r="I48">
            <v>2.18278728425503E-10</v>
          </cell>
        </row>
        <row r="49">
          <cell r="A49">
            <v>938235</v>
          </cell>
          <cell r="B49" t="str">
            <v>Total</v>
          </cell>
          <cell r="I49">
            <v>196115.56</v>
          </cell>
        </row>
        <row r="50">
          <cell r="A50">
            <v>938240</v>
          </cell>
          <cell r="B50" t="str">
            <v>Total</v>
          </cell>
          <cell r="I50">
            <v>148695.72</v>
          </cell>
        </row>
        <row r="51">
          <cell r="A51">
            <v>938245</v>
          </cell>
          <cell r="B51" t="str">
            <v>Total</v>
          </cell>
          <cell r="I51">
            <v>120763.93</v>
          </cell>
        </row>
        <row r="52">
          <cell r="A52">
            <v>938250</v>
          </cell>
          <cell r="B52" t="str">
            <v>Total</v>
          </cell>
          <cell r="I52">
            <v>231267.96</v>
          </cell>
        </row>
        <row r="53">
          <cell r="A53">
            <v>938255</v>
          </cell>
          <cell r="B53" t="str">
            <v>Total</v>
          </cell>
          <cell r="I53">
            <v>227714.93</v>
          </cell>
        </row>
        <row r="54">
          <cell r="A54">
            <v>938260</v>
          </cell>
          <cell r="B54" t="str">
            <v>Total</v>
          </cell>
          <cell r="I54">
            <v>347844.02</v>
          </cell>
        </row>
        <row r="55">
          <cell r="A55">
            <v>938265</v>
          </cell>
          <cell r="B55" t="str">
            <v>Total</v>
          </cell>
          <cell r="I55">
            <v>305629.2</v>
          </cell>
        </row>
        <row r="56">
          <cell r="A56">
            <v>938270</v>
          </cell>
          <cell r="B56" t="str">
            <v>Total</v>
          </cell>
          <cell r="I56">
            <v>180579.68</v>
          </cell>
        </row>
        <row r="57">
          <cell r="A57">
            <v>938275</v>
          </cell>
          <cell r="B57" t="str">
            <v>Total</v>
          </cell>
          <cell r="I57">
            <v>8935.68</v>
          </cell>
        </row>
        <row r="58">
          <cell r="A58">
            <v>938280</v>
          </cell>
          <cell r="B58" t="str">
            <v>Total</v>
          </cell>
          <cell r="I58">
            <v>62744.84</v>
          </cell>
        </row>
        <row r="59">
          <cell r="A59">
            <v>938282</v>
          </cell>
          <cell r="B59" t="str">
            <v>Total</v>
          </cell>
          <cell r="I59">
            <v>90340.9400000001</v>
          </cell>
        </row>
        <row r="60">
          <cell r="A60">
            <v>938285</v>
          </cell>
          <cell r="B60" t="str">
            <v>Total</v>
          </cell>
          <cell r="I60">
            <v>118777.32</v>
          </cell>
        </row>
        <row r="61">
          <cell r="A61">
            <v>938290</v>
          </cell>
          <cell r="B61" t="str">
            <v>Total</v>
          </cell>
          <cell r="I61">
            <v>96252.2699999999</v>
          </cell>
        </row>
        <row r="62">
          <cell r="A62">
            <v>938295</v>
          </cell>
          <cell r="B62" t="str">
            <v>Total</v>
          </cell>
          <cell r="I62">
            <v>57153.9</v>
          </cell>
        </row>
        <row r="63">
          <cell r="A63">
            <v>938300</v>
          </cell>
          <cell r="B63" t="str">
            <v>Total</v>
          </cell>
          <cell r="I63">
            <v>132494.81</v>
          </cell>
        </row>
        <row r="64">
          <cell r="A64">
            <v>938305</v>
          </cell>
          <cell r="B64" t="str">
            <v>Total</v>
          </cell>
          <cell r="I64">
            <v>8.11439804238034E-12</v>
          </cell>
        </row>
        <row r="65">
          <cell r="A65">
            <v>938310</v>
          </cell>
          <cell r="B65" t="str">
            <v>Total</v>
          </cell>
          <cell r="I65">
            <v>201124.46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189913.93</v>
          </cell>
        </row>
        <row r="68">
          <cell r="A68">
            <v>938325</v>
          </cell>
          <cell r="B68" t="str">
            <v>Total</v>
          </cell>
          <cell r="I68">
            <v>119689.03</v>
          </cell>
        </row>
        <row r="69">
          <cell r="A69">
            <v>938330</v>
          </cell>
          <cell r="B69" t="str">
            <v>Total</v>
          </cell>
          <cell r="I69">
            <v>127642.72</v>
          </cell>
        </row>
        <row r="70">
          <cell r="A70">
            <v>938335</v>
          </cell>
          <cell r="B70" t="str">
            <v>Total</v>
          </cell>
          <cell r="I70">
            <v>108728.13</v>
          </cell>
        </row>
        <row r="71">
          <cell r="A71">
            <v>938340</v>
          </cell>
          <cell r="B71" t="str">
            <v>Total</v>
          </cell>
          <cell r="I71">
            <v>75584.33</v>
          </cell>
        </row>
        <row r="72">
          <cell r="A72">
            <v>938345</v>
          </cell>
          <cell r="B72" t="str">
            <v>Total</v>
          </cell>
          <cell r="I72">
            <v>84328.4999999999</v>
          </cell>
        </row>
        <row r="73">
          <cell r="A73">
            <v>938350</v>
          </cell>
          <cell r="B73" t="str">
            <v>Total</v>
          </cell>
          <cell r="I73">
            <v>134783.42</v>
          </cell>
        </row>
        <row r="74">
          <cell r="A74">
            <v>938355</v>
          </cell>
          <cell r="B74" t="str">
            <v>Total</v>
          </cell>
          <cell r="I74">
            <v>174251.23</v>
          </cell>
        </row>
        <row r="75">
          <cell r="A75">
            <v>938360</v>
          </cell>
          <cell r="B75" t="str">
            <v>Total</v>
          </cell>
          <cell r="I75">
            <v>134652.41</v>
          </cell>
        </row>
        <row r="76">
          <cell r="A76">
            <v>938365</v>
          </cell>
          <cell r="B76" t="str">
            <v>Total</v>
          </cell>
          <cell r="I76">
            <v>187080.78</v>
          </cell>
        </row>
        <row r="77">
          <cell r="A77">
            <v>938370</v>
          </cell>
          <cell r="B77" t="str">
            <v>Total</v>
          </cell>
          <cell r="I77">
            <v>175037.79</v>
          </cell>
        </row>
        <row r="78">
          <cell r="A78">
            <v>938375</v>
          </cell>
          <cell r="B78" t="str">
            <v>Total</v>
          </cell>
          <cell r="I78">
            <v>169813.35</v>
          </cell>
        </row>
        <row r="79">
          <cell r="A79">
            <v>938380</v>
          </cell>
          <cell r="B79" t="str">
            <v>Total</v>
          </cell>
          <cell r="I79">
            <v>106611.07</v>
          </cell>
        </row>
        <row r="80">
          <cell r="A80">
            <v>938385</v>
          </cell>
          <cell r="B80" t="str">
            <v>Total</v>
          </cell>
          <cell r="I80">
            <v>68290.83</v>
          </cell>
        </row>
        <row r="81">
          <cell r="A81">
            <v>938390</v>
          </cell>
          <cell r="B81" t="str">
            <v>Total</v>
          </cell>
          <cell r="I81">
            <v>124086.4</v>
          </cell>
        </row>
        <row r="82">
          <cell r="A82">
            <v>938395</v>
          </cell>
          <cell r="B82" t="str">
            <v>Total</v>
          </cell>
          <cell r="I82">
            <v>210382.37</v>
          </cell>
        </row>
        <row r="83">
          <cell r="A83">
            <v>938400</v>
          </cell>
          <cell r="B83" t="str">
            <v>Total</v>
          </cell>
          <cell r="I83">
            <v>127237.44</v>
          </cell>
        </row>
        <row r="84">
          <cell r="A84">
            <v>938405</v>
          </cell>
          <cell r="B84" t="str">
            <v>Total</v>
          </cell>
          <cell r="I84">
            <v>233228.47</v>
          </cell>
        </row>
        <row r="85">
          <cell r="A85">
            <v>938410</v>
          </cell>
          <cell r="B85" t="str">
            <v>Total</v>
          </cell>
          <cell r="I85">
            <v>96017.3800000002</v>
          </cell>
        </row>
        <row r="86">
          <cell r="A86">
            <v>938415</v>
          </cell>
          <cell r="B86" t="str">
            <v>Total</v>
          </cell>
          <cell r="I86">
            <v>120306.16</v>
          </cell>
        </row>
        <row r="87">
          <cell r="A87">
            <v>938420</v>
          </cell>
          <cell r="B87" t="str">
            <v>Total</v>
          </cell>
          <cell r="I87">
            <v>41770.01</v>
          </cell>
        </row>
        <row r="88">
          <cell r="A88">
            <v>938425</v>
          </cell>
          <cell r="B88" t="str">
            <v>Total</v>
          </cell>
          <cell r="I88">
            <v>1265.68999999998</v>
          </cell>
        </row>
        <row r="89">
          <cell r="A89">
            <v>938430</v>
          </cell>
          <cell r="B89" t="str">
            <v>Total</v>
          </cell>
          <cell r="I89">
            <v>293059.65</v>
          </cell>
        </row>
        <row r="90">
          <cell r="A90">
            <v>938435</v>
          </cell>
          <cell r="B90" t="str">
            <v>Total</v>
          </cell>
          <cell r="I90">
            <v>257519.15</v>
          </cell>
        </row>
        <row r="91">
          <cell r="A91">
            <v>938437</v>
          </cell>
          <cell r="B91" t="str">
            <v>Total</v>
          </cell>
          <cell r="I91">
            <v>207289.48</v>
          </cell>
        </row>
        <row r="92">
          <cell r="A92">
            <v>938438</v>
          </cell>
          <cell r="B92" t="str">
            <v>Total</v>
          </cell>
          <cell r="I92">
            <v>150056.06</v>
          </cell>
        </row>
        <row r="93">
          <cell r="A93">
            <v>938440</v>
          </cell>
          <cell r="B93" t="str">
            <v>Total</v>
          </cell>
          <cell r="I93">
            <v>85773.4900000001</v>
          </cell>
        </row>
        <row r="94">
          <cell r="A94">
            <v>938445</v>
          </cell>
          <cell r="B94" t="str">
            <v>Total</v>
          </cell>
          <cell r="I94">
            <v>1059177.43</v>
          </cell>
        </row>
        <row r="95">
          <cell r="A95">
            <v>938450</v>
          </cell>
          <cell r="B95" t="str">
            <v>Total</v>
          </cell>
          <cell r="I95">
            <v>236072.18</v>
          </cell>
        </row>
        <row r="96">
          <cell r="A96">
            <v>938455</v>
          </cell>
          <cell r="B96" t="str">
            <v>Total</v>
          </cell>
          <cell r="I96">
            <v>354489.11</v>
          </cell>
        </row>
        <row r="97">
          <cell r="A97">
            <v>938460</v>
          </cell>
          <cell r="B97" t="str">
            <v>Total</v>
          </cell>
          <cell r="I97">
            <v>1015460.7</v>
          </cell>
        </row>
        <row r="98">
          <cell r="A98">
            <v>938465</v>
          </cell>
          <cell r="B98" t="str">
            <v>Total</v>
          </cell>
          <cell r="I98">
            <v>549089.32</v>
          </cell>
        </row>
        <row r="99">
          <cell r="A99">
            <v>938470</v>
          </cell>
          <cell r="B99" t="str">
            <v>Total</v>
          </cell>
          <cell r="I99">
            <v>631023.510000001</v>
          </cell>
        </row>
        <row r="100">
          <cell r="A100">
            <v>938475</v>
          </cell>
          <cell r="B100" t="str">
            <v>Total</v>
          </cell>
          <cell r="I100">
            <v>681258.65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167491.35</v>
          </cell>
        </row>
        <row r="103">
          <cell r="A103">
            <v>938490</v>
          </cell>
          <cell r="B103" t="str">
            <v>Total</v>
          </cell>
          <cell r="I103">
            <v>69753.86</v>
          </cell>
        </row>
        <row r="104">
          <cell r="A104">
            <v>938495</v>
          </cell>
          <cell r="B104" t="str">
            <v>Total</v>
          </cell>
          <cell r="I104">
            <v>175690.94</v>
          </cell>
        </row>
        <row r="105">
          <cell r="A105">
            <v>938500</v>
          </cell>
          <cell r="B105" t="str">
            <v>Total</v>
          </cell>
          <cell r="I105">
            <v>506368.91</v>
          </cell>
        </row>
        <row r="106">
          <cell r="A106">
            <v>938505</v>
          </cell>
          <cell r="B106" t="str">
            <v>Total</v>
          </cell>
          <cell r="I106">
            <v>246535.06</v>
          </cell>
        </row>
        <row r="107">
          <cell r="A107">
            <v>938510</v>
          </cell>
          <cell r="B107" t="str">
            <v>Total</v>
          </cell>
          <cell r="I107">
            <v>1007451.55</v>
          </cell>
        </row>
        <row r="108">
          <cell r="A108">
            <v>938515</v>
          </cell>
          <cell r="B108" t="str">
            <v>Total</v>
          </cell>
          <cell r="I108">
            <v>901051.81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167073.84</v>
          </cell>
        </row>
        <row r="111">
          <cell r="A111">
            <v>938525</v>
          </cell>
          <cell r="B111" t="str">
            <v>Total</v>
          </cell>
          <cell r="I111">
            <v>1541876.67</v>
          </cell>
        </row>
        <row r="112">
          <cell r="A112">
            <v>938530</v>
          </cell>
          <cell r="B112" t="str">
            <v>Total</v>
          </cell>
          <cell r="I112">
            <v>265558.82</v>
          </cell>
        </row>
        <row r="113">
          <cell r="A113">
            <v>938535</v>
          </cell>
          <cell r="B113" t="str">
            <v>Total</v>
          </cell>
          <cell r="I113">
            <v>272280.45</v>
          </cell>
        </row>
        <row r="114">
          <cell r="A114">
            <v>938540</v>
          </cell>
          <cell r="B114" t="str">
            <v>Total</v>
          </cell>
          <cell r="I114">
            <v>153697.84</v>
          </cell>
        </row>
        <row r="115">
          <cell r="A115">
            <v>938545</v>
          </cell>
          <cell r="B115" t="str">
            <v>Total</v>
          </cell>
          <cell r="I115">
            <v>21692.68</v>
          </cell>
        </row>
        <row r="116">
          <cell r="A116">
            <v>938548</v>
          </cell>
          <cell r="B116" t="str">
            <v>Total</v>
          </cell>
          <cell r="I116">
            <v>76687.89</v>
          </cell>
        </row>
        <row r="117">
          <cell r="A117">
            <v>938550</v>
          </cell>
          <cell r="B117" t="str">
            <v>Total</v>
          </cell>
          <cell r="I117">
            <v>151394.74</v>
          </cell>
        </row>
        <row r="118">
          <cell r="A118">
            <v>938555</v>
          </cell>
          <cell r="B118" t="str">
            <v>Total</v>
          </cell>
          <cell r="I118">
            <v>8172.02</v>
          </cell>
        </row>
        <row r="119">
          <cell r="A119">
            <v>938560</v>
          </cell>
          <cell r="B119" t="str">
            <v>Total</v>
          </cell>
          <cell r="I119">
            <v>181145.04</v>
          </cell>
        </row>
        <row r="120">
          <cell r="A120">
            <v>938565</v>
          </cell>
          <cell r="B120" t="str">
            <v>Total</v>
          </cell>
          <cell r="I120">
            <v>207253.68</v>
          </cell>
        </row>
        <row r="121">
          <cell r="A121">
            <v>938570</v>
          </cell>
          <cell r="B121" t="str">
            <v>Total</v>
          </cell>
          <cell r="I121">
            <v>389956.49</v>
          </cell>
        </row>
        <row r="122">
          <cell r="A122">
            <v>938575</v>
          </cell>
          <cell r="B122" t="str">
            <v>Total</v>
          </cell>
          <cell r="I122">
            <v>316694.19</v>
          </cell>
        </row>
        <row r="123">
          <cell r="A123">
            <v>938580</v>
          </cell>
          <cell r="B123" t="str">
            <v>Total</v>
          </cell>
          <cell r="I123">
            <v>263502.67</v>
          </cell>
        </row>
        <row r="124">
          <cell r="A124">
            <v>938585</v>
          </cell>
          <cell r="B124" t="str">
            <v>Total</v>
          </cell>
          <cell r="I124">
            <v>107338.82</v>
          </cell>
        </row>
        <row r="125">
          <cell r="I125">
            <v>26900753.08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 A P =C A B "/>
      <sheetName val="Period 6. SEPT"/>
      <sheetName val="13.10.10."/>
    </sheetNames>
    <sheetDataSet>
      <sheetData sheetId="1">
        <row r="2">
          <cell r="A2">
            <v>938000</v>
          </cell>
          <cell r="B2" t="str">
            <v>Total</v>
          </cell>
          <cell r="I2">
            <v>161040.94</v>
          </cell>
        </row>
        <row r="3">
          <cell r="A3">
            <v>938005</v>
          </cell>
          <cell r="B3" t="str">
            <v>Total</v>
          </cell>
          <cell r="I3">
            <v>183500.89</v>
          </cell>
        </row>
        <row r="4">
          <cell r="A4">
            <v>938010</v>
          </cell>
          <cell r="B4" t="str">
            <v>Total</v>
          </cell>
          <cell r="I4">
            <v>154258.01</v>
          </cell>
        </row>
        <row r="5">
          <cell r="A5">
            <v>938015</v>
          </cell>
          <cell r="B5" t="str">
            <v>Total</v>
          </cell>
          <cell r="I5">
            <v>140194.81</v>
          </cell>
        </row>
        <row r="6">
          <cell r="A6">
            <v>938020</v>
          </cell>
          <cell r="B6" t="str">
            <v>Total</v>
          </cell>
          <cell r="I6">
            <v>74239.2500000001</v>
          </cell>
        </row>
        <row r="7">
          <cell r="A7">
            <v>938025</v>
          </cell>
          <cell r="B7" t="str">
            <v>Total</v>
          </cell>
          <cell r="I7">
            <v>322591.79</v>
          </cell>
        </row>
        <row r="8">
          <cell r="A8">
            <v>938030</v>
          </cell>
          <cell r="B8" t="str">
            <v>Total</v>
          </cell>
          <cell r="I8">
            <v>199753.66</v>
          </cell>
        </row>
        <row r="9">
          <cell r="A9">
            <v>938035</v>
          </cell>
          <cell r="B9" t="str">
            <v>Total</v>
          </cell>
          <cell r="I9">
            <v>184996.8</v>
          </cell>
        </row>
        <row r="10">
          <cell r="A10">
            <v>938040</v>
          </cell>
          <cell r="B10" t="str">
            <v>Total</v>
          </cell>
          <cell r="I10">
            <v>242252.78</v>
          </cell>
        </row>
        <row r="11">
          <cell r="A11">
            <v>938045</v>
          </cell>
          <cell r="B11" t="str">
            <v>Total</v>
          </cell>
          <cell r="I11">
            <v>191992.39</v>
          </cell>
        </row>
        <row r="12">
          <cell r="A12">
            <v>938050</v>
          </cell>
          <cell r="B12" t="str">
            <v>Total</v>
          </cell>
          <cell r="I12">
            <v>362327.28</v>
          </cell>
        </row>
        <row r="13">
          <cell r="A13">
            <v>938055</v>
          </cell>
          <cell r="B13" t="str">
            <v>Total</v>
          </cell>
          <cell r="I13">
            <v>127919.84</v>
          </cell>
        </row>
        <row r="14">
          <cell r="A14">
            <v>938060</v>
          </cell>
          <cell r="B14" t="str">
            <v>Total</v>
          </cell>
          <cell r="I14">
            <v>0</v>
          </cell>
        </row>
        <row r="15">
          <cell r="A15">
            <v>938065</v>
          </cell>
          <cell r="B15" t="str">
            <v>Total</v>
          </cell>
          <cell r="I15">
            <v>0</v>
          </cell>
        </row>
        <row r="16">
          <cell r="A16">
            <v>938070</v>
          </cell>
          <cell r="B16" t="str">
            <v>Total</v>
          </cell>
          <cell r="I16">
            <v>318920.01</v>
          </cell>
        </row>
        <row r="17">
          <cell r="A17">
            <v>938075</v>
          </cell>
          <cell r="B17" t="str">
            <v>Total</v>
          </cell>
          <cell r="I17">
            <v>295584.93</v>
          </cell>
        </row>
        <row r="18">
          <cell r="A18">
            <v>938080</v>
          </cell>
          <cell r="B18" t="str">
            <v>Total</v>
          </cell>
          <cell r="I18">
            <v>53834.3100000001</v>
          </cell>
        </row>
        <row r="19">
          <cell r="A19">
            <v>938085</v>
          </cell>
          <cell r="B19" t="str">
            <v>Total</v>
          </cell>
          <cell r="I19">
            <v>95295.5400000001</v>
          </cell>
        </row>
        <row r="20">
          <cell r="A20">
            <v>938090</v>
          </cell>
          <cell r="B20" t="str">
            <v>Total</v>
          </cell>
          <cell r="I20">
            <v>239423.43</v>
          </cell>
        </row>
        <row r="21">
          <cell r="A21">
            <v>938095</v>
          </cell>
          <cell r="B21" t="str">
            <v>Total</v>
          </cell>
          <cell r="I21">
            <v>106577.28</v>
          </cell>
        </row>
        <row r="22">
          <cell r="A22">
            <v>938100</v>
          </cell>
          <cell r="B22" t="str">
            <v>Total</v>
          </cell>
          <cell r="I22">
            <v>207303.53</v>
          </cell>
        </row>
        <row r="23">
          <cell r="A23">
            <v>938105</v>
          </cell>
          <cell r="B23" t="str">
            <v>Total</v>
          </cell>
          <cell r="I23">
            <v>199497.63</v>
          </cell>
        </row>
        <row r="24">
          <cell r="A24">
            <v>938110</v>
          </cell>
          <cell r="B24" t="str">
            <v>Total</v>
          </cell>
          <cell r="I24">
            <v>219022.72</v>
          </cell>
        </row>
        <row r="25">
          <cell r="A25">
            <v>938115</v>
          </cell>
          <cell r="B25" t="str">
            <v>Total</v>
          </cell>
          <cell r="I25">
            <v>245377.22</v>
          </cell>
        </row>
        <row r="26">
          <cell r="A26">
            <v>938120</v>
          </cell>
          <cell r="B26" t="str">
            <v>Total</v>
          </cell>
          <cell r="I26">
            <v>208388.87</v>
          </cell>
        </row>
        <row r="27">
          <cell r="A27">
            <v>938125</v>
          </cell>
          <cell r="B27" t="str">
            <v>Total</v>
          </cell>
          <cell r="I27">
            <v>274710.02</v>
          </cell>
        </row>
        <row r="28">
          <cell r="A28">
            <v>938130</v>
          </cell>
          <cell r="B28" t="str">
            <v>Total</v>
          </cell>
          <cell r="I28">
            <v>162356.01</v>
          </cell>
        </row>
        <row r="29">
          <cell r="A29">
            <v>938135</v>
          </cell>
          <cell r="B29" t="str">
            <v>Total</v>
          </cell>
          <cell r="I29">
            <v>35371.52</v>
          </cell>
        </row>
        <row r="30">
          <cell r="A30">
            <v>938140</v>
          </cell>
          <cell r="B30" t="str">
            <v>Total</v>
          </cell>
          <cell r="I30">
            <v>326060.88</v>
          </cell>
        </row>
        <row r="31">
          <cell r="A31">
            <v>938145</v>
          </cell>
          <cell r="B31" t="str">
            <v>Total</v>
          </cell>
          <cell r="I31">
            <v>103657.4</v>
          </cell>
        </row>
        <row r="32">
          <cell r="A32">
            <v>938150</v>
          </cell>
          <cell r="B32" t="str">
            <v>Total</v>
          </cell>
          <cell r="I32">
            <v>17613.7699999999</v>
          </cell>
        </row>
        <row r="33">
          <cell r="A33">
            <v>938155</v>
          </cell>
          <cell r="B33" t="str">
            <v>Total</v>
          </cell>
          <cell r="I33">
            <v>136337.86</v>
          </cell>
        </row>
        <row r="34">
          <cell r="A34">
            <v>938160</v>
          </cell>
          <cell r="B34" t="str">
            <v>Total</v>
          </cell>
          <cell r="I34">
            <v>188705.22</v>
          </cell>
        </row>
        <row r="35">
          <cell r="A35">
            <v>938165</v>
          </cell>
          <cell r="B35" t="str">
            <v>Total</v>
          </cell>
          <cell r="I35">
            <v>196863.33</v>
          </cell>
        </row>
        <row r="36">
          <cell r="A36">
            <v>938170</v>
          </cell>
          <cell r="B36" t="str">
            <v>Total</v>
          </cell>
          <cell r="I36">
            <v>-4.18367562815547E-11</v>
          </cell>
        </row>
        <row r="37">
          <cell r="A37">
            <v>938175</v>
          </cell>
          <cell r="B37" t="str">
            <v>Total</v>
          </cell>
          <cell r="I37">
            <v>4.72937244921923E-11</v>
          </cell>
        </row>
        <row r="38">
          <cell r="A38">
            <v>938180</v>
          </cell>
          <cell r="B38" t="str">
            <v>Total</v>
          </cell>
          <cell r="I38">
            <v>154996.16</v>
          </cell>
        </row>
        <row r="39">
          <cell r="A39">
            <v>938185</v>
          </cell>
          <cell r="B39" t="str">
            <v>Total</v>
          </cell>
          <cell r="I39">
            <v>177663.88</v>
          </cell>
        </row>
        <row r="40">
          <cell r="A40">
            <v>938190</v>
          </cell>
          <cell r="B40" t="str">
            <v>Total</v>
          </cell>
          <cell r="I40">
            <v>102006.96</v>
          </cell>
        </row>
        <row r="41">
          <cell r="A41">
            <v>938195</v>
          </cell>
          <cell r="B41" t="str">
            <v>Total</v>
          </cell>
          <cell r="I41">
            <v>216265.62</v>
          </cell>
        </row>
        <row r="42">
          <cell r="A42">
            <v>938200</v>
          </cell>
          <cell r="B42" t="str">
            <v>Total</v>
          </cell>
          <cell r="I42">
            <v>325694.66</v>
          </cell>
        </row>
        <row r="43">
          <cell r="A43">
            <v>938205</v>
          </cell>
          <cell r="B43" t="str">
            <v>Total</v>
          </cell>
          <cell r="I43">
            <v>201768.35</v>
          </cell>
        </row>
        <row r="44">
          <cell r="A44">
            <v>938210</v>
          </cell>
          <cell r="B44" t="str">
            <v>Total</v>
          </cell>
          <cell r="I44">
            <v>61064.17</v>
          </cell>
        </row>
        <row r="45">
          <cell r="A45">
            <v>938215</v>
          </cell>
          <cell r="B45" t="str">
            <v>Total</v>
          </cell>
          <cell r="I45">
            <v>175747.07</v>
          </cell>
        </row>
        <row r="46">
          <cell r="A46">
            <v>938220</v>
          </cell>
          <cell r="B46" t="str">
            <v>Total</v>
          </cell>
          <cell r="I46">
            <v>115051.81</v>
          </cell>
        </row>
        <row r="47">
          <cell r="A47">
            <v>938225</v>
          </cell>
          <cell r="B47" t="str">
            <v>Total</v>
          </cell>
          <cell r="I47">
            <v>432171.33</v>
          </cell>
        </row>
        <row r="48">
          <cell r="A48">
            <v>938230</v>
          </cell>
          <cell r="B48" t="str">
            <v>Total</v>
          </cell>
          <cell r="I48">
            <v>2.18278728425503E-10</v>
          </cell>
        </row>
        <row r="49">
          <cell r="A49">
            <v>938235</v>
          </cell>
          <cell r="B49" t="str">
            <v>Total</v>
          </cell>
          <cell r="I49">
            <v>178666.94</v>
          </cell>
        </row>
        <row r="50">
          <cell r="A50">
            <v>938240</v>
          </cell>
          <cell r="B50" t="str">
            <v>Total</v>
          </cell>
          <cell r="I50">
            <v>144221.88</v>
          </cell>
        </row>
        <row r="51">
          <cell r="A51">
            <v>938245</v>
          </cell>
          <cell r="B51" t="str">
            <v>Total</v>
          </cell>
          <cell r="I51">
            <v>82402.55</v>
          </cell>
        </row>
        <row r="52">
          <cell r="A52">
            <v>938250</v>
          </cell>
          <cell r="B52" t="str">
            <v>Total</v>
          </cell>
          <cell r="I52">
            <v>268453.28</v>
          </cell>
        </row>
        <row r="53">
          <cell r="A53">
            <v>938255</v>
          </cell>
          <cell r="B53" t="str">
            <v>Total</v>
          </cell>
          <cell r="I53">
            <v>336353.76</v>
          </cell>
        </row>
        <row r="54">
          <cell r="A54">
            <v>938260</v>
          </cell>
          <cell r="B54" t="str">
            <v>Total</v>
          </cell>
          <cell r="I54">
            <v>310325.07</v>
          </cell>
        </row>
        <row r="55">
          <cell r="A55">
            <v>938265</v>
          </cell>
          <cell r="B55" t="str">
            <v>Total</v>
          </cell>
          <cell r="I55">
            <v>329640.76</v>
          </cell>
        </row>
        <row r="56">
          <cell r="A56">
            <v>938270</v>
          </cell>
          <cell r="B56" t="str">
            <v>Total</v>
          </cell>
          <cell r="I56">
            <v>183327.03</v>
          </cell>
        </row>
        <row r="57">
          <cell r="A57">
            <v>938275</v>
          </cell>
          <cell r="B57" t="str">
            <v>Total</v>
          </cell>
          <cell r="I57">
            <v>2110.55</v>
          </cell>
        </row>
        <row r="58">
          <cell r="A58">
            <v>938280</v>
          </cell>
          <cell r="B58" t="str">
            <v>Total</v>
          </cell>
          <cell r="I58">
            <v>3882.21000000001</v>
          </cell>
        </row>
        <row r="59">
          <cell r="A59">
            <v>938282</v>
          </cell>
          <cell r="B59" t="str">
            <v>Total</v>
          </cell>
          <cell r="I59">
            <v>69091.9800000001</v>
          </cell>
        </row>
        <row r="60">
          <cell r="A60">
            <v>938285</v>
          </cell>
          <cell r="B60" t="str">
            <v>Total</v>
          </cell>
          <cell r="I60">
            <v>107417.67</v>
          </cell>
        </row>
        <row r="61">
          <cell r="A61">
            <v>938290</v>
          </cell>
          <cell r="B61" t="str">
            <v>Total</v>
          </cell>
          <cell r="I61">
            <v>93545.6099999999</v>
          </cell>
        </row>
        <row r="62">
          <cell r="A62">
            <v>938295</v>
          </cell>
          <cell r="B62" t="str">
            <v>Total</v>
          </cell>
          <cell r="I62">
            <v>53657.94</v>
          </cell>
        </row>
        <row r="63">
          <cell r="A63">
            <v>938300</v>
          </cell>
          <cell r="B63" t="str">
            <v>Total</v>
          </cell>
          <cell r="I63">
            <v>141073.8</v>
          </cell>
        </row>
        <row r="64">
          <cell r="A64">
            <v>938305</v>
          </cell>
          <cell r="B64" t="str">
            <v>Total</v>
          </cell>
          <cell r="I64">
            <v>8.11439804238034E-12</v>
          </cell>
        </row>
        <row r="65">
          <cell r="A65">
            <v>938310</v>
          </cell>
          <cell r="B65" t="str">
            <v>Total</v>
          </cell>
          <cell r="I65">
            <v>152506.55</v>
          </cell>
        </row>
        <row r="66">
          <cell r="A66">
            <v>938315</v>
          </cell>
          <cell r="B66" t="str">
            <v>Total</v>
          </cell>
          <cell r="I66">
            <v>0</v>
          </cell>
        </row>
        <row r="67">
          <cell r="A67">
            <v>938320</v>
          </cell>
          <cell r="B67" t="str">
            <v>Total</v>
          </cell>
          <cell r="I67">
            <v>178200.62</v>
          </cell>
        </row>
        <row r="68">
          <cell r="A68">
            <v>938325</v>
          </cell>
          <cell r="B68" t="str">
            <v>Total</v>
          </cell>
          <cell r="I68">
            <v>103558.13</v>
          </cell>
        </row>
        <row r="69">
          <cell r="A69">
            <v>938330</v>
          </cell>
          <cell r="B69" t="str">
            <v>Total</v>
          </cell>
          <cell r="I69">
            <v>119136.5</v>
          </cell>
        </row>
        <row r="70">
          <cell r="A70">
            <v>938335</v>
          </cell>
          <cell r="B70" t="str">
            <v>Total</v>
          </cell>
          <cell r="I70">
            <v>154029.89</v>
          </cell>
        </row>
        <row r="71">
          <cell r="A71">
            <v>938340</v>
          </cell>
          <cell r="B71" t="str">
            <v>Total</v>
          </cell>
          <cell r="I71">
            <v>42997.84</v>
          </cell>
        </row>
        <row r="72">
          <cell r="A72">
            <v>938345</v>
          </cell>
          <cell r="B72" t="str">
            <v>Total</v>
          </cell>
          <cell r="I72">
            <v>82625.5999999999</v>
          </cell>
        </row>
        <row r="73">
          <cell r="A73">
            <v>938350</v>
          </cell>
          <cell r="B73" t="str">
            <v>Total</v>
          </cell>
          <cell r="I73">
            <v>125597.53</v>
          </cell>
        </row>
        <row r="74">
          <cell r="A74">
            <v>938355</v>
          </cell>
          <cell r="B74" t="str">
            <v>Total</v>
          </cell>
          <cell r="I74">
            <v>149238.39</v>
          </cell>
        </row>
        <row r="75">
          <cell r="A75">
            <v>938360</v>
          </cell>
          <cell r="B75" t="str">
            <v>Total</v>
          </cell>
          <cell r="I75">
            <v>113299.7</v>
          </cell>
        </row>
        <row r="76">
          <cell r="A76">
            <v>938365</v>
          </cell>
          <cell r="B76" t="str">
            <v>Total</v>
          </cell>
          <cell r="I76">
            <v>180049.08</v>
          </cell>
        </row>
        <row r="77">
          <cell r="A77">
            <v>938370</v>
          </cell>
          <cell r="B77" t="str">
            <v>Total</v>
          </cell>
          <cell r="I77">
            <v>154019.66</v>
          </cell>
        </row>
        <row r="78">
          <cell r="A78">
            <v>938375</v>
          </cell>
          <cell r="B78" t="str">
            <v>Total</v>
          </cell>
          <cell r="I78">
            <v>133659.09</v>
          </cell>
        </row>
        <row r="79">
          <cell r="A79">
            <v>938380</v>
          </cell>
          <cell r="B79" t="str">
            <v>Total</v>
          </cell>
          <cell r="I79">
            <v>99327.0600000001</v>
          </cell>
        </row>
        <row r="80">
          <cell r="A80">
            <v>938385</v>
          </cell>
          <cell r="B80" t="str">
            <v>Total</v>
          </cell>
          <cell r="I80">
            <v>55215.06</v>
          </cell>
        </row>
        <row r="81">
          <cell r="A81">
            <v>938390</v>
          </cell>
          <cell r="B81" t="str">
            <v>Total</v>
          </cell>
          <cell r="I81">
            <v>113142.11</v>
          </cell>
        </row>
        <row r="82">
          <cell r="A82">
            <v>938395</v>
          </cell>
          <cell r="B82" t="str">
            <v>Total</v>
          </cell>
          <cell r="I82">
            <v>189274.79</v>
          </cell>
        </row>
        <row r="83">
          <cell r="A83">
            <v>938400</v>
          </cell>
          <cell r="B83" t="str">
            <v>Total</v>
          </cell>
          <cell r="I83">
            <v>126079.59</v>
          </cell>
        </row>
        <row r="84">
          <cell r="A84">
            <v>938405</v>
          </cell>
          <cell r="B84" t="str">
            <v>Total</v>
          </cell>
          <cell r="I84">
            <v>198504.81</v>
          </cell>
        </row>
        <row r="85">
          <cell r="A85">
            <v>938410</v>
          </cell>
          <cell r="B85" t="str">
            <v>Total</v>
          </cell>
          <cell r="I85">
            <v>114837.72</v>
          </cell>
        </row>
        <row r="86">
          <cell r="A86">
            <v>938415</v>
          </cell>
          <cell r="B86" t="str">
            <v>Total</v>
          </cell>
          <cell r="I86">
            <v>84859.9699999999</v>
          </cell>
        </row>
        <row r="87">
          <cell r="A87">
            <v>938420</v>
          </cell>
          <cell r="B87" t="str">
            <v>Total</v>
          </cell>
          <cell r="I87">
            <v>23166.8</v>
          </cell>
        </row>
        <row r="88">
          <cell r="A88">
            <v>938425</v>
          </cell>
          <cell r="B88" t="str">
            <v>Total</v>
          </cell>
          <cell r="I88">
            <v>19812.06</v>
          </cell>
        </row>
        <row r="89">
          <cell r="A89">
            <v>938430</v>
          </cell>
          <cell r="B89" t="str">
            <v>Total</v>
          </cell>
          <cell r="I89">
            <v>150151.19</v>
          </cell>
        </row>
        <row r="90">
          <cell r="A90">
            <v>938435</v>
          </cell>
          <cell r="B90" t="str">
            <v>Total</v>
          </cell>
          <cell r="I90">
            <v>183248.41</v>
          </cell>
        </row>
        <row r="91">
          <cell r="A91">
            <v>938437</v>
          </cell>
          <cell r="B91" t="str">
            <v>Total</v>
          </cell>
          <cell r="I91">
            <v>142655.21</v>
          </cell>
        </row>
        <row r="92">
          <cell r="A92">
            <v>938438</v>
          </cell>
          <cell r="B92" t="str">
            <v>Total</v>
          </cell>
          <cell r="I92">
            <v>176839.97</v>
          </cell>
        </row>
        <row r="93">
          <cell r="A93">
            <v>938440</v>
          </cell>
          <cell r="B93" t="str">
            <v>Total</v>
          </cell>
          <cell r="I93">
            <v>377260.83</v>
          </cell>
        </row>
        <row r="94">
          <cell r="A94">
            <v>938445</v>
          </cell>
          <cell r="B94" t="str">
            <v>Total</v>
          </cell>
          <cell r="I94">
            <v>1358645.36</v>
          </cell>
        </row>
        <row r="95">
          <cell r="A95">
            <v>938450</v>
          </cell>
          <cell r="B95" t="str">
            <v>Total</v>
          </cell>
          <cell r="I95">
            <v>757946.48</v>
          </cell>
        </row>
        <row r="96">
          <cell r="A96">
            <v>938455</v>
          </cell>
          <cell r="B96" t="str">
            <v>Total</v>
          </cell>
          <cell r="I96">
            <v>522691.97</v>
          </cell>
        </row>
        <row r="97">
          <cell r="A97">
            <v>938460</v>
          </cell>
          <cell r="B97" t="str">
            <v>Total</v>
          </cell>
          <cell r="I97">
            <v>1048205.92</v>
          </cell>
        </row>
        <row r="98">
          <cell r="A98">
            <v>938465</v>
          </cell>
          <cell r="B98" t="str">
            <v>Total</v>
          </cell>
          <cell r="I98">
            <v>297239.88</v>
          </cell>
        </row>
        <row r="99">
          <cell r="A99">
            <v>938470</v>
          </cell>
          <cell r="B99" t="str">
            <v>Total</v>
          </cell>
          <cell r="I99">
            <v>643666.290000001</v>
          </cell>
        </row>
        <row r="100">
          <cell r="A100">
            <v>938475</v>
          </cell>
          <cell r="B100" t="str">
            <v>Total</v>
          </cell>
          <cell r="I100">
            <v>1020218.08</v>
          </cell>
        </row>
        <row r="101">
          <cell r="A101">
            <v>938480</v>
          </cell>
          <cell r="B101" t="str">
            <v>Total</v>
          </cell>
          <cell r="I101">
            <v>0</v>
          </cell>
        </row>
        <row r="102">
          <cell r="A102">
            <v>938485</v>
          </cell>
          <cell r="B102" t="str">
            <v>Total</v>
          </cell>
          <cell r="I102">
            <v>125331.65</v>
          </cell>
        </row>
        <row r="103">
          <cell r="A103">
            <v>938490</v>
          </cell>
          <cell r="B103" t="str">
            <v>Total</v>
          </cell>
          <cell r="I103">
            <v>64405.54</v>
          </cell>
        </row>
        <row r="104">
          <cell r="A104">
            <v>938495</v>
          </cell>
          <cell r="B104" t="str">
            <v>Total</v>
          </cell>
          <cell r="I104">
            <v>178585.46</v>
          </cell>
        </row>
        <row r="105">
          <cell r="A105">
            <v>938500</v>
          </cell>
          <cell r="B105" t="str">
            <v>Total</v>
          </cell>
          <cell r="I105">
            <v>626970.91</v>
          </cell>
        </row>
        <row r="106">
          <cell r="A106">
            <v>938505</v>
          </cell>
          <cell r="B106" t="str">
            <v>Total</v>
          </cell>
          <cell r="I106">
            <v>298150.23</v>
          </cell>
        </row>
        <row r="107">
          <cell r="A107">
            <v>938510</v>
          </cell>
          <cell r="B107" t="str">
            <v>Total</v>
          </cell>
          <cell r="I107">
            <v>1017117.03</v>
          </cell>
        </row>
        <row r="108">
          <cell r="A108">
            <v>938515</v>
          </cell>
          <cell r="B108" t="str">
            <v>Total</v>
          </cell>
          <cell r="I108">
            <v>137139.82</v>
          </cell>
        </row>
        <row r="109">
          <cell r="A109">
            <v>938517</v>
          </cell>
          <cell r="B109" t="str">
            <v>Total</v>
          </cell>
          <cell r="I109">
            <v>0</v>
          </cell>
        </row>
        <row r="110">
          <cell r="A110">
            <v>938520</v>
          </cell>
          <cell r="B110" t="str">
            <v>Total</v>
          </cell>
          <cell r="I110">
            <v>203514.7</v>
          </cell>
        </row>
        <row r="111">
          <cell r="A111">
            <v>938525</v>
          </cell>
          <cell r="B111" t="str">
            <v>Total</v>
          </cell>
          <cell r="I111">
            <v>803791.44</v>
          </cell>
        </row>
        <row r="112">
          <cell r="A112">
            <v>938530</v>
          </cell>
          <cell r="B112" t="str">
            <v>Total</v>
          </cell>
          <cell r="I112">
            <v>286851.92</v>
          </cell>
        </row>
        <row r="113">
          <cell r="A113">
            <v>938535</v>
          </cell>
          <cell r="B113" t="str">
            <v>Total</v>
          </cell>
          <cell r="I113">
            <v>449869.8</v>
          </cell>
        </row>
        <row r="114">
          <cell r="A114">
            <v>938540</v>
          </cell>
          <cell r="B114" t="str">
            <v>Total</v>
          </cell>
          <cell r="I114">
            <v>245560.41</v>
          </cell>
        </row>
        <row r="115">
          <cell r="A115">
            <v>938545</v>
          </cell>
          <cell r="B115" t="str">
            <v>Total</v>
          </cell>
          <cell r="I115">
            <v>93175.54</v>
          </cell>
        </row>
        <row r="116">
          <cell r="A116">
            <v>938548</v>
          </cell>
          <cell r="B116" t="str">
            <v>Total</v>
          </cell>
          <cell r="I116">
            <v>430100.9</v>
          </cell>
        </row>
        <row r="117">
          <cell r="A117">
            <v>938550</v>
          </cell>
          <cell r="B117" t="str">
            <v>Total</v>
          </cell>
          <cell r="I117">
            <v>146664.15</v>
          </cell>
        </row>
        <row r="118">
          <cell r="A118">
            <v>938555</v>
          </cell>
          <cell r="B118" t="str">
            <v>Total</v>
          </cell>
          <cell r="I118">
            <v>3745.71</v>
          </cell>
        </row>
        <row r="119">
          <cell r="A119">
            <v>938560</v>
          </cell>
          <cell r="B119" t="str">
            <v>Total</v>
          </cell>
          <cell r="I119">
            <v>76558.8499999999</v>
          </cell>
        </row>
        <row r="120">
          <cell r="A120">
            <v>938565</v>
          </cell>
          <cell r="B120" t="str">
            <v>Total</v>
          </cell>
          <cell r="I120">
            <v>195903.62</v>
          </cell>
        </row>
        <row r="121">
          <cell r="A121">
            <v>938570</v>
          </cell>
          <cell r="B121" t="str">
            <v>Total</v>
          </cell>
          <cell r="I121">
            <v>494775.64</v>
          </cell>
        </row>
        <row r="122">
          <cell r="A122">
            <v>938575</v>
          </cell>
          <cell r="B122" t="str">
            <v>Total</v>
          </cell>
          <cell r="I122">
            <v>338878.19</v>
          </cell>
        </row>
        <row r="123">
          <cell r="A123">
            <v>938580</v>
          </cell>
          <cell r="B123" t="str">
            <v>Total</v>
          </cell>
          <cell r="I123">
            <v>142159.4</v>
          </cell>
        </row>
        <row r="124">
          <cell r="A124">
            <v>938585</v>
          </cell>
          <cell r="B124" t="str">
            <v>Total</v>
          </cell>
          <cell r="I124">
            <v>195570.17</v>
          </cell>
        </row>
        <row r="125">
          <cell r="I125">
            <v>26189300.180000007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S119"/>
  <sheetViews>
    <sheetView tabSelected="1" zoomScale="66" zoomScaleNormal="66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8.88671875" defaultRowHeight="15"/>
  <cols>
    <col min="1" max="1" width="33.99609375" style="54" customWidth="1"/>
    <col min="2" max="2" width="14.4453125" style="0" customWidth="1"/>
    <col min="3" max="4" width="14.77734375" style="0" bestFit="1" customWidth="1"/>
    <col min="5" max="5" width="14.88671875" style="0" customWidth="1"/>
    <col min="6" max="6" width="14.3359375" style="0" customWidth="1"/>
    <col min="7" max="7" width="14.4453125" style="0" customWidth="1"/>
    <col min="8" max="9" width="14.10546875" style="0" customWidth="1"/>
    <col min="10" max="10" width="14.4453125" style="0" customWidth="1"/>
    <col min="11" max="11" width="14.21484375" style="0" customWidth="1"/>
    <col min="12" max="12" width="14.4453125" style="0" customWidth="1"/>
    <col min="13" max="13" width="14.21484375" style="0" customWidth="1"/>
    <col min="17" max="17" width="9.99609375" style="0" bestFit="1" customWidth="1"/>
    <col min="18" max="18" width="26.88671875" style="0" customWidth="1"/>
    <col min="19" max="19" width="6.3359375" style="0" customWidth="1"/>
  </cols>
  <sheetData>
    <row r="1" spans="1:13" ht="28.5" customHeight="1" thickBot="1" thickTop="1">
      <c r="A1" s="120" t="s">
        <v>206</v>
      </c>
      <c r="B1" s="121">
        <v>1000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" customHeight="1" thickTop="1">
      <c r="A2" s="65"/>
      <c r="B2" s="67">
        <v>2032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4.75" customHeight="1">
      <c r="A3" s="122" t="str">
        <f>VLOOKUP(B1,April10!A3:I117,4,0)</f>
        <v>Brookhill Nursery School</v>
      </c>
      <c r="B3" s="68"/>
      <c r="C3" s="68"/>
      <c r="D3" s="68" t="s">
        <v>129</v>
      </c>
      <c r="E3" s="69" t="s">
        <v>207</v>
      </c>
      <c r="F3" s="70"/>
      <c r="G3" s="69"/>
      <c r="H3" s="70"/>
      <c r="I3" s="69"/>
      <c r="J3" s="70"/>
      <c r="K3" s="69"/>
      <c r="L3" s="70"/>
      <c r="M3" s="69"/>
    </row>
    <row r="4" spans="1:19" ht="18.75" thickBot="1">
      <c r="A4" s="71"/>
      <c r="B4" s="188" t="s">
        <v>0</v>
      </c>
      <c r="C4" s="188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88" t="s">
        <v>6</v>
      </c>
      <c r="I4" s="188" t="s">
        <v>7</v>
      </c>
      <c r="J4" s="189" t="s">
        <v>8</v>
      </c>
      <c r="K4" s="190" t="s">
        <v>9</v>
      </c>
      <c r="L4" s="191" t="s">
        <v>10</v>
      </c>
      <c r="M4" s="192" t="s">
        <v>11</v>
      </c>
      <c r="R4" s="103" t="s">
        <v>178</v>
      </c>
      <c r="S4" s="104">
        <v>1000</v>
      </c>
    </row>
    <row r="5" spans="1:19" ht="18.75" thickBot="1">
      <c r="A5" s="72" t="s">
        <v>208</v>
      </c>
      <c r="B5" s="3">
        <f>VLOOKUP(B1,April10!A3:I117,5,0)</f>
        <v>190620.59</v>
      </c>
      <c r="C5" s="30">
        <f>B5</f>
        <v>190620.59</v>
      </c>
      <c r="D5" s="3">
        <f>B5</f>
        <v>190620.59</v>
      </c>
      <c r="E5" s="3">
        <f>B5</f>
        <v>190620.59</v>
      </c>
      <c r="F5" s="3">
        <f>B5</f>
        <v>190620.59</v>
      </c>
      <c r="G5" s="3">
        <f>B5</f>
        <v>190620.59</v>
      </c>
      <c r="H5" s="30">
        <f>B5</f>
        <v>190620.59</v>
      </c>
      <c r="I5" s="3">
        <f>B5</f>
        <v>190620.59</v>
      </c>
      <c r="J5" s="23">
        <f>B5</f>
        <v>190620.59</v>
      </c>
      <c r="K5" s="14">
        <f>B5</f>
        <v>190620.59</v>
      </c>
      <c r="L5" s="170">
        <f>B5</f>
        <v>190620.59</v>
      </c>
      <c r="M5" s="171">
        <f>B5</f>
        <v>190620.59</v>
      </c>
      <c r="Q5" s="13"/>
      <c r="R5" s="103" t="s">
        <v>179</v>
      </c>
      <c r="S5" s="104">
        <v>1001</v>
      </c>
    </row>
    <row r="6" spans="1:19" ht="18.75" thickBot="1">
      <c r="A6" s="73"/>
      <c r="B6" s="4"/>
      <c r="C6" s="31"/>
      <c r="D6" s="4"/>
      <c r="E6" s="4"/>
      <c r="F6" s="4"/>
      <c r="G6" s="4"/>
      <c r="H6" s="31"/>
      <c r="I6" s="4"/>
      <c r="J6" s="24"/>
      <c r="K6" s="15"/>
      <c r="L6" s="172"/>
      <c r="M6" s="173"/>
      <c r="Q6" s="13"/>
      <c r="R6" s="103" t="s">
        <v>180</v>
      </c>
      <c r="S6" s="104">
        <v>1002</v>
      </c>
    </row>
    <row r="7" spans="1:19" ht="18.75" thickBot="1">
      <c r="A7" s="72" t="s">
        <v>148</v>
      </c>
      <c r="B7" s="5"/>
      <c r="C7" s="5"/>
      <c r="D7" s="30">
        <f>VLOOKUP(B1,June10!A3:I117,5,0)</f>
        <v>-24741</v>
      </c>
      <c r="E7" s="3">
        <f>D7</f>
        <v>-24741</v>
      </c>
      <c r="F7" s="3">
        <f>D7</f>
        <v>-24741</v>
      </c>
      <c r="G7" s="3">
        <f>D7</f>
        <v>-24741</v>
      </c>
      <c r="H7" s="30">
        <f>VLOOKUP(B1,Oct10!A3:I117,5,0)+D7</f>
        <v>-24741</v>
      </c>
      <c r="I7" s="3">
        <f>H7</f>
        <v>-24741</v>
      </c>
      <c r="J7" s="30">
        <f>+I7</f>
        <v>-24741</v>
      </c>
      <c r="K7" s="14">
        <f>H7</f>
        <v>-24741</v>
      </c>
      <c r="L7" s="170">
        <f>H7</f>
        <v>-24741</v>
      </c>
      <c r="M7" s="171">
        <f>H7</f>
        <v>-24741</v>
      </c>
      <c r="Q7" s="13"/>
      <c r="R7" s="103" t="s">
        <v>181</v>
      </c>
      <c r="S7" s="104">
        <v>1003</v>
      </c>
    </row>
    <row r="8" spans="1:19" ht="18.75" thickBot="1">
      <c r="A8" s="74"/>
      <c r="B8" s="7"/>
      <c r="C8" s="7"/>
      <c r="D8" s="7"/>
      <c r="E8" s="7"/>
      <c r="F8" s="7"/>
      <c r="G8" s="7"/>
      <c r="H8" s="7"/>
      <c r="I8" s="7"/>
      <c r="J8" s="7"/>
      <c r="K8" s="7"/>
      <c r="L8" s="174"/>
      <c r="M8" s="174"/>
      <c r="Q8" s="13"/>
      <c r="R8" s="103" t="s">
        <v>69</v>
      </c>
      <c r="S8" s="103">
        <v>2000</v>
      </c>
    </row>
    <row r="9" spans="1:19" s="1" customFormat="1" ht="18.75" thickBot="1">
      <c r="A9" s="75" t="s">
        <v>127</v>
      </c>
      <c r="B9" s="50">
        <f>+B5</f>
        <v>190620.59</v>
      </c>
      <c r="C9" s="50">
        <f>+C5</f>
        <v>190620.59</v>
      </c>
      <c r="D9" s="51">
        <f aca="true" t="shared" si="0" ref="D9:K9">D5+D7</f>
        <v>165879.59</v>
      </c>
      <c r="E9" s="51">
        <f t="shared" si="0"/>
        <v>165879.59</v>
      </c>
      <c r="F9" s="51">
        <f t="shared" si="0"/>
        <v>165879.59</v>
      </c>
      <c r="G9" s="51">
        <f t="shared" si="0"/>
        <v>165879.59</v>
      </c>
      <c r="H9" s="50">
        <f t="shared" si="0"/>
        <v>165879.59</v>
      </c>
      <c r="I9" s="51">
        <f t="shared" si="0"/>
        <v>165879.59</v>
      </c>
      <c r="J9" s="52">
        <f t="shared" si="0"/>
        <v>165879.59</v>
      </c>
      <c r="K9" s="53">
        <f t="shared" si="0"/>
        <v>165879.59</v>
      </c>
      <c r="L9" s="175">
        <f>L5+L7+L8</f>
        <v>165879.59</v>
      </c>
      <c r="M9" s="175">
        <f>M5+M7+M8</f>
        <v>165879.59</v>
      </c>
      <c r="Q9" s="44"/>
      <c r="R9" s="106" t="s">
        <v>22</v>
      </c>
      <c r="S9" s="106">
        <v>2002</v>
      </c>
    </row>
    <row r="10" spans="1:19" ht="18">
      <c r="A10" s="76"/>
      <c r="B10" s="9"/>
      <c r="C10" s="32"/>
      <c r="D10" s="9"/>
      <c r="E10" s="9"/>
      <c r="F10" s="9"/>
      <c r="G10" s="9"/>
      <c r="H10" s="32"/>
      <c r="I10" s="9"/>
      <c r="J10" s="25"/>
      <c r="K10" s="17"/>
      <c r="L10" s="176"/>
      <c r="M10" s="177"/>
      <c r="Q10" s="13"/>
      <c r="R10" s="106" t="s">
        <v>23</v>
      </c>
      <c r="S10" s="106">
        <v>2003</v>
      </c>
    </row>
    <row r="11" spans="1:19" ht="18">
      <c r="A11" s="77" t="s">
        <v>12</v>
      </c>
      <c r="B11" s="6"/>
      <c r="C11" s="33">
        <f aca="true" t="shared" si="1" ref="C11:M11">B15</f>
        <v>0</v>
      </c>
      <c r="D11" s="7">
        <f t="shared" si="1"/>
        <v>7236.69</v>
      </c>
      <c r="E11" s="7">
        <f t="shared" si="1"/>
        <v>9578.2</v>
      </c>
      <c r="F11" s="7">
        <f t="shared" si="1"/>
        <v>10462.050000000001</v>
      </c>
      <c r="G11" s="7">
        <f t="shared" si="1"/>
        <v>10462.050000000001</v>
      </c>
      <c r="H11" s="33">
        <f t="shared" si="1"/>
        <v>12681.86</v>
      </c>
      <c r="I11" s="7">
        <f t="shared" si="1"/>
        <v>12954.34</v>
      </c>
      <c r="J11" s="26">
        <f t="shared" si="1"/>
        <v>15209.87</v>
      </c>
      <c r="K11" s="18">
        <f t="shared" si="1"/>
        <v>15439.12</v>
      </c>
      <c r="L11" s="174">
        <f t="shared" si="1"/>
        <v>16870.3</v>
      </c>
      <c r="M11" s="178">
        <f t="shared" si="1"/>
        <v>16870.3</v>
      </c>
      <c r="Q11" s="13"/>
      <c r="R11" s="103" t="s">
        <v>25</v>
      </c>
      <c r="S11" s="103">
        <v>2007</v>
      </c>
    </row>
    <row r="12" spans="1:19" ht="18">
      <c r="A12" s="77" t="s">
        <v>13</v>
      </c>
      <c r="B12" s="7">
        <f>VLOOKUP($B$1,April10!$A$3:$I$117,6,0)</f>
        <v>0</v>
      </c>
      <c r="C12" s="7">
        <f>VLOOKUP($B$1,May10!$A:$I,6,0)</f>
        <v>7236.69</v>
      </c>
      <c r="D12" s="7">
        <f>VLOOKUP($B$1,June10!$A$3:$I$117,6,0)</f>
        <v>2341.51</v>
      </c>
      <c r="E12" s="7">
        <f>VLOOKUP($B$1,July10!$A$3:$I$117,6,0)</f>
        <v>883.85</v>
      </c>
      <c r="F12" s="7">
        <f>VLOOKUP($B$1,Aug10!$A$3:$I$117,6,0)</f>
        <v>0</v>
      </c>
      <c r="G12" s="7">
        <f>VLOOKUP($B$1,Sept10!$A$3:$I$117,6,0)</f>
        <v>2219.81</v>
      </c>
      <c r="H12" s="7">
        <f>VLOOKUP($B$1,Oct10!$A$3:$I$117,6,0)</f>
        <v>272.48</v>
      </c>
      <c r="I12" s="7">
        <f>VLOOKUP($B$1,Nov10!$A$3:$I$117,6,0)</f>
        <v>2255.53</v>
      </c>
      <c r="J12" s="7">
        <f>VLOOKUP($B$1,Dec10!$A$3:$I$117,6,0)</f>
        <v>229.25</v>
      </c>
      <c r="K12" s="7">
        <f>VLOOKUP($B$1,Jan11!$A$3:$I$117,6,0)</f>
        <v>1431.1799999999998</v>
      </c>
      <c r="L12" s="193"/>
      <c r="M12" s="193"/>
      <c r="Q12" s="13"/>
      <c r="R12" s="103" t="s">
        <v>26</v>
      </c>
      <c r="S12" s="103">
        <v>2008</v>
      </c>
    </row>
    <row r="13" spans="1:19" ht="18">
      <c r="A13" s="77" t="s">
        <v>166</v>
      </c>
      <c r="B13" s="7">
        <f>VLOOKUP(B1,April10!A3:I117,9,0)</f>
        <v>0</v>
      </c>
      <c r="C13" s="33">
        <f>VLOOKUP(B1,May10!A3:I117,9,0)</f>
        <v>0</v>
      </c>
      <c r="D13" s="7">
        <f>VLOOKUP(B1,June10!A3:I117,9,0)</f>
        <v>0</v>
      </c>
      <c r="E13" s="7">
        <f>VLOOKUP(B1,July10!A3:I117,9,0)</f>
        <v>0</v>
      </c>
      <c r="F13" s="7">
        <f>VLOOKUP(B1,Aug10!A3:I117,9,0)</f>
        <v>0</v>
      </c>
      <c r="G13" s="7">
        <f>VLOOKUP(B1,Sept10!A3:I117,9,0)</f>
        <v>0</v>
      </c>
      <c r="H13" s="33">
        <f>VLOOKUP(B1,Oct10!A3:I117,9,0)</f>
        <v>0</v>
      </c>
      <c r="I13" s="7">
        <f>VLOOKUP(B1,Nov10!A3:I117,9,0)</f>
        <v>0</v>
      </c>
      <c r="J13" s="26">
        <f>VLOOKUP(B1,Dec10!A3:I117,9,0)</f>
        <v>0</v>
      </c>
      <c r="K13" s="18">
        <f>VLOOKUP(B1,Jan11!A3:I117,9,0)</f>
        <v>0</v>
      </c>
      <c r="L13" s="193"/>
      <c r="M13" s="194"/>
      <c r="Q13" s="13"/>
      <c r="R13" s="103" t="s">
        <v>27</v>
      </c>
      <c r="S13" s="103">
        <v>2009</v>
      </c>
    </row>
    <row r="14" spans="1:19" ht="18.75" thickBot="1">
      <c r="A14" s="78"/>
      <c r="B14" s="10"/>
      <c r="C14" s="34"/>
      <c r="D14" s="10"/>
      <c r="E14" s="10"/>
      <c r="F14" s="10"/>
      <c r="G14" s="10"/>
      <c r="H14" s="34"/>
      <c r="I14" s="10"/>
      <c r="J14" s="27"/>
      <c r="K14" s="19"/>
      <c r="L14" s="179"/>
      <c r="M14" s="180"/>
      <c r="Q14" s="13"/>
      <c r="R14" s="103" t="s">
        <v>29</v>
      </c>
      <c r="S14" s="103">
        <v>2010</v>
      </c>
    </row>
    <row r="15" spans="1:19" s="1" customFormat="1" ht="18.75" thickBot="1">
      <c r="A15" s="75" t="s">
        <v>149</v>
      </c>
      <c r="B15" s="51">
        <f aca="true" t="shared" si="2" ref="B15:M15">SUM(B11:B13)</f>
        <v>0</v>
      </c>
      <c r="C15" s="50">
        <f t="shared" si="2"/>
        <v>7236.69</v>
      </c>
      <c r="D15" s="51">
        <f t="shared" si="2"/>
        <v>9578.2</v>
      </c>
      <c r="E15" s="51">
        <f t="shared" si="2"/>
        <v>10462.050000000001</v>
      </c>
      <c r="F15" s="51">
        <f t="shared" si="2"/>
        <v>10462.050000000001</v>
      </c>
      <c r="G15" s="51">
        <f t="shared" si="2"/>
        <v>12681.86</v>
      </c>
      <c r="H15" s="50">
        <f t="shared" si="2"/>
        <v>12954.34</v>
      </c>
      <c r="I15" s="51">
        <f t="shared" si="2"/>
        <v>15209.87</v>
      </c>
      <c r="J15" s="52">
        <f t="shared" si="2"/>
        <v>15439.12</v>
      </c>
      <c r="K15" s="53">
        <f t="shared" si="2"/>
        <v>16870.3</v>
      </c>
      <c r="L15" s="175">
        <f t="shared" si="2"/>
        <v>16870.3</v>
      </c>
      <c r="M15" s="181">
        <f t="shared" si="2"/>
        <v>16870.3</v>
      </c>
      <c r="Q15" s="44"/>
      <c r="R15" s="103" t="s">
        <v>31</v>
      </c>
      <c r="S15" s="103">
        <v>2011</v>
      </c>
    </row>
    <row r="16" spans="1:19" ht="18">
      <c r="A16" s="76"/>
      <c r="B16" s="9"/>
      <c r="C16" s="32"/>
      <c r="D16" s="9"/>
      <c r="E16" s="9"/>
      <c r="F16" s="9"/>
      <c r="G16" s="9"/>
      <c r="H16" s="32"/>
      <c r="I16" s="9"/>
      <c r="J16" s="25"/>
      <c r="K16" s="17"/>
      <c r="L16" s="176"/>
      <c r="M16" s="177"/>
      <c r="Q16" s="13"/>
      <c r="R16" s="103" t="s">
        <v>32</v>
      </c>
      <c r="S16" s="103">
        <v>2014</v>
      </c>
    </row>
    <row r="17" spans="1:19" ht="18">
      <c r="A17" s="77" t="s">
        <v>14</v>
      </c>
      <c r="B17" s="6"/>
      <c r="C17" s="33">
        <f aca="true" t="shared" si="3" ref="C17:M17">B21</f>
        <v>0</v>
      </c>
      <c r="D17" s="7">
        <f t="shared" si="3"/>
        <v>13906.02</v>
      </c>
      <c r="E17" s="7">
        <f t="shared" si="3"/>
        <v>-1042.8199999999997</v>
      </c>
      <c r="F17" s="7">
        <f t="shared" si="3"/>
        <v>-1192.2499999999998</v>
      </c>
      <c r="G17" s="7">
        <f t="shared" si="3"/>
        <v>-1192.2499999999998</v>
      </c>
      <c r="H17" s="33">
        <f t="shared" si="3"/>
        <v>15300.7</v>
      </c>
      <c r="I17" s="7">
        <f t="shared" si="3"/>
        <v>16434.75</v>
      </c>
      <c r="J17" s="26">
        <f t="shared" si="3"/>
        <v>30355.879999999997</v>
      </c>
      <c r="K17" s="18">
        <f t="shared" si="3"/>
        <v>29238.479999999996</v>
      </c>
      <c r="L17" s="174">
        <f t="shared" si="3"/>
        <v>-8104.720000000001</v>
      </c>
      <c r="M17" s="178">
        <f t="shared" si="3"/>
        <v>-8104.720000000001</v>
      </c>
      <c r="Q17" s="13"/>
      <c r="R17" s="103" t="s">
        <v>33</v>
      </c>
      <c r="S17" s="103">
        <v>2015</v>
      </c>
    </row>
    <row r="18" spans="1:19" ht="18">
      <c r="A18" s="77" t="s">
        <v>15</v>
      </c>
      <c r="B18" s="7">
        <f>VLOOKUP(B1,April10!A3:I121,7,0)</f>
        <v>0</v>
      </c>
      <c r="C18" s="33">
        <f>VLOOKUP(B1,May10!A3:I121,7,0)</f>
        <v>13906.02</v>
      </c>
      <c r="D18" s="7">
        <f>VLOOKUP(B1,June10!A3:I121,7,0)</f>
        <v>-14948.84</v>
      </c>
      <c r="E18" s="7">
        <f>VLOOKUP(B1,July10!A3:I121,7,0)</f>
        <v>-149.43</v>
      </c>
      <c r="F18" s="7">
        <f>VLOOKUP(B1,Aug10!A3:I121,7,0)</f>
        <v>0</v>
      </c>
      <c r="G18" s="7">
        <f>VLOOKUP(B1,Sept10!A3:J121,7,0)</f>
        <v>16492.95</v>
      </c>
      <c r="H18" s="33">
        <f>VLOOKUP(B1,Oct10!A3:I119,7,0)</f>
        <v>1134.05</v>
      </c>
      <c r="I18" s="7">
        <f>VLOOKUP(B1,Nov10!A3:I119,7,0)</f>
        <v>13921.13</v>
      </c>
      <c r="J18" s="26">
        <f>VLOOKUP(B1,Dec10!A3:I119,7,0)</f>
        <v>-1117.4</v>
      </c>
      <c r="K18" s="18">
        <f>VLOOKUP(B1,Jan11!A3:I119,7,0)</f>
        <v>-37343.2</v>
      </c>
      <c r="L18" s="193"/>
      <c r="M18" s="194"/>
      <c r="Q18" s="13"/>
      <c r="R18" s="103" t="s">
        <v>34</v>
      </c>
      <c r="S18" s="103">
        <v>2016</v>
      </c>
    </row>
    <row r="19" spans="1:19" ht="18">
      <c r="A19" s="77" t="s">
        <v>170</v>
      </c>
      <c r="B19" s="7">
        <f>VLOOKUP(B1,April10!A3:M117,10,0)</f>
        <v>0</v>
      </c>
      <c r="C19" s="33">
        <f>VLOOKUP(B1,May10!A3:M117,10,0)</f>
        <v>0</v>
      </c>
      <c r="D19" s="7">
        <f>VLOOKUP(B1,June10!A3:M117,10,0)</f>
        <v>0</v>
      </c>
      <c r="E19" s="7">
        <f>VLOOKUP(B1,July10!A3:M117,10,0)</f>
        <v>0</v>
      </c>
      <c r="F19" s="7">
        <f>VLOOKUP(B1,Aug10!A3:M117,10,0)</f>
        <v>0</v>
      </c>
      <c r="G19" s="7">
        <f>VLOOKUP(B1,Sept10!A3:M117,10,0)</f>
        <v>0</v>
      </c>
      <c r="H19" s="33">
        <f>VLOOKUP(B1,Oct10!A3:M117,10,0)</f>
        <v>0</v>
      </c>
      <c r="I19" s="7">
        <f>VLOOKUP(B1,Nov10!A3:M117,10,0)</f>
        <v>0</v>
      </c>
      <c r="J19" s="26">
        <f>VLOOKUP(B1,Dec10!A3:M117,10,0)</f>
        <v>0</v>
      </c>
      <c r="K19" s="18">
        <f>VLOOKUP(B1,Jan11!A3:M117,10,0)</f>
        <v>0</v>
      </c>
      <c r="L19" s="193"/>
      <c r="M19" s="194"/>
      <c r="Q19" s="13"/>
      <c r="R19" s="103" t="s">
        <v>35</v>
      </c>
      <c r="S19" s="103">
        <v>2017</v>
      </c>
    </row>
    <row r="20" spans="1:19" ht="18.75" thickBot="1">
      <c r="A20" s="78"/>
      <c r="B20" s="10"/>
      <c r="C20" s="34"/>
      <c r="D20" s="10"/>
      <c r="E20" s="10"/>
      <c r="F20" s="10"/>
      <c r="G20" s="10"/>
      <c r="H20" s="34"/>
      <c r="I20" s="10"/>
      <c r="J20" s="27"/>
      <c r="K20" s="19"/>
      <c r="L20" s="179"/>
      <c r="M20" s="180"/>
      <c r="Q20" s="13"/>
      <c r="R20" s="107" t="s">
        <v>37</v>
      </c>
      <c r="S20" s="103">
        <v>2018</v>
      </c>
    </row>
    <row r="21" spans="1:19" s="1" customFormat="1" ht="18.75" thickBot="1">
      <c r="A21" s="75" t="s">
        <v>150</v>
      </c>
      <c r="B21" s="51">
        <f aca="true" t="shared" si="4" ref="B21:M21">SUM(B17:B19)</f>
        <v>0</v>
      </c>
      <c r="C21" s="50">
        <f t="shared" si="4"/>
        <v>13906.02</v>
      </c>
      <c r="D21" s="51">
        <f t="shared" si="4"/>
        <v>-1042.8199999999997</v>
      </c>
      <c r="E21" s="51">
        <f t="shared" si="4"/>
        <v>-1192.2499999999998</v>
      </c>
      <c r="F21" s="51">
        <f t="shared" si="4"/>
        <v>-1192.2499999999998</v>
      </c>
      <c r="G21" s="51">
        <f t="shared" si="4"/>
        <v>15300.7</v>
      </c>
      <c r="H21" s="50">
        <f t="shared" si="4"/>
        <v>16434.75</v>
      </c>
      <c r="I21" s="51">
        <f t="shared" si="4"/>
        <v>30355.879999999997</v>
      </c>
      <c r="J21" s="52">
        <f t="shared" si="4"/>
        <v>29238.479999999996</v>
      </c>
      <c r="K21" s="53">
        <f t="shared" si="4"/>
        <v>-8104.720000000001</v>
      </c>
      <c r="L21" s="175">
        <f t="shared" si="4"/>
        <v>-8104.720000000001</v>
      </c>
      <c r="M21" s="181">
        <f t="shared" si="4"/>
        <v>-8104.720000000001</v>
      </c>
      <c r="Q21" s="44"/>
      <c r="R21" s="103" t="s">
        <v>38</v>
      </c>
      <c r="S21" s="103">
        <v>2019</v>
      </c>
    </row>
    <row r="22" spans="1:19" ht="18.75" thickBot="1">
      <c r="A22" s="79"/>
      <c r="B22" s="11"/>
      <c r="C22" s="35"/>
      <c r="D22" s="11"/>
      <c r="E22" s="11"/>
      <c r="F22" s="11"/>
      <c r="G22" s="11"/>
      <c r="H22" s="35"/>
      <c r="I22" s="11"/>
      <c r="J22" s="24"/>
      <c r="K22" s="20"/>
      <c r="L22" s="182"/>
      <c r="M22" s="173"/>
      <c r="Q22" s="13"/>
      <c r="R22" s="103" t="s">
        <v>40</v>
      </c>
      <c r="S22" s="103">
        <v>2021</v>
      </c>
    </row>
    <row r="23" spans="1:19" ht="18.75" thickBot="1">
      <c r="A23" s="75" t="s">
        <v>128</v>
      </c>
      <c r="B23" s="8">
        <f aca="true" t="shared" si="5" ref="B23:M23">+B9+B15-B21</f>
        <v>190620.59</v>
      </c>
      <c r="C23" s="29">
        <f t="shared" si="5"/>
        <v>183951.26</v>
      </c>
      <c r="D23" s="8">
        <f t="shared" si="5"/>
        <v>176500.61000000002</v>
      </c>
      <c r="E23" s="8">
        <f t="shared" si="5"/>
        <v>177533.88999999998</v>
      </c>
      <c r="F23" s="8">
        <f t="shared" si="5"/>
        <v>177533.88999999998</v>
      </c>
      <c r="G23" s="8">
        <f t="shared" si="5"/>
        <v>163260.75</v>
      </c>
      <c r="H23" s="29">
        <f t="shared" si="5"/>
        <v>162399.18</v>
      </c>
      <c r="I23" s="8">
        <f t="shared" si="5"/>
        <v>150733.58</v>
      </c>
      <c r="J23" s="23">
        <f t="shared" si="5"/>
        <v>152080.22999999998</v>
      </c>
      <c r="K23" s="16">
        <f t="shared" si="5"/>
        <v>190854.61</v>
      </c>
      <c r="L23" s="183">
        <f t="shared" si="5"/>
        <v>190854.61</v>
      </c>
      <c r="M23" s="171">
        <f t="shared" si="5"/>
        <v>190854.61</v>
      </c>
      <c r="Q23" s="13"/>
      <c r="R23" s="103" t="s">
        <v>41</v>
      </c>
      <c r="S23" s="103">
        <v>2022</v>
      </c>
    </row>
    <row r="24" spans="1:19" ht="18.75" thickBot="1">
      <c r="A24" s="79"/>
      <c r="B24" s="11"/>
      <c r="C24" s="35"/>
      <c r="D24" s="11"/>
      <c r="E24" s="11"/>
      <c r="F24" s="11"/>
      <c r="G24" s="11"/>
      <c r="H24" s="35"/>
      <c r="I24" s="11"/>
      <c r="J24" s="24"/>
      <c r="K24" s="20"/>
      <c r="L24" s="182"/>
      <c r="M24" s="173"/>
      <c r="Q24" s="13"/>
      <c r="R24" s="103" t="s">
        <v>42</v>
      </c>
      <c r="S24" s="103">
        <v>2023</v>
      </c>
    </row>
    <row r="25" spans="1:19" ht="18.75" thickBot="1">
      <c r="A25" s="75" t="s">
        <v>125</v>
      </c>
      <c r="B25" s="8">
        <f>VLOOKUP(B1,April10!A3:M117,8,0)</f>
        <v>0</v>
      </c>
      <c r="C25" s="29">
        <f>VLOOKUP(B1,May10!A3:M117,8,0)</f>
        <v>183951.26</v>
      </c>
      <c r="D25" s="8">
        <f>VLOOKUP(B1,June10!A3:M117,8,0)</f>
        <v>176500.61</v>
      </c>
      <c r="E25" s="8">
        <f>VLOOKUP(B1,July10!A3:M117,8,0)</f>
        <v>177533.89</v>
      </c>
      <c r="F25" s="8">
        <f>VLOOKUP(B1,Aug10!A3:M117,8,0)</f>
        <v>0</v>
      </c>
      <c r="G25" s="8">
        <f>VLOOKUP(B1,Sept10!A3:M117,8,0)</f>
        <v>163260.75</v>
      </c>
      <c r="H25" s="29">
        <f>VLOOKUP(B1,Oct10!A3:M117,8,0)</f>
        <v>162399.18</v>
      </c>
      <c r="I25" s="8">
        <f>VLOOKUP(B1,Nov10!A3:M117,8,0)</f>
        <v>150733.58</v>
      </c>
      <c r="J25" s="23">
        <f>VLOOKUP(B1,Dec10!A3:M117,8,0)</f>
        <v>152080.23</v>
      </c>
      <c r="K25" s="16">
        <f>VLOOKUP(B1,Jan11!A3:M117,8,0)</f>
        <v>190854.61</v>
      </c>
      <c r="L25" s="195"/>
      <c r="M25" s="196"/>
      <c r="Q25" s="13"/>
      <c r="R25" s="163" t="s">
        <v>183</v>
      </c>
      <c r="S25" s="163">
        <v>2024</v>
      </c>
    </row>
    <row r="26" spans="1:19" ht="18.75" thickBot="1">
      <c r="A26" s="79"/>
      <c r="B26" s="11"/>
      <c r="C26" s="35"/>
      <c r="D26" s="11"/>
      <c r="E26" s="11"/>
      <c r="F26" s="11"/>
      <c r="G26" s="11"/>
      <c r="H26" s="35"/>
      <c r="I26" s="11"/>
      <c r="J26" s="24"/>
      <c r="K26" s="20"/>
      <c r="L26" s="182"/>
      <c r="M26" s="173"/>
      <c r="Q26" s="13"/>
      <c r="R26" s="103" t="s">
        <v>44</v>
      </c>
      <c r="S26" s="103">
        <v>2025</v>
      </c>
    </row>
    <row r="27" spans="1:19" s="1" customFormat="1" ht="19.5" thickBot="1" thickTop="1">
      <c r="A27" s="94" t="s">
        <v>16</v>
      </c>
      <c r="B27" s="93">
        <f aca="true" t="shared" si="6" ref="B27:M27">B23-B25</f>
        <v>190620.59</v>
      </c>
      <c r="C27" s="93">
        <f t="shared" si="6"/>
        <v>0</v>
      </c>
      <c r="D27" s="93">
        <f t="shared" si="6"/>
        <v>0</v>
      </c>
      <c r="E27" s="93">
        <f t="shared" si="6"/>
        <v>0</v>
      </c>
      <c r="F27" s="93">
        <f t="shared" si="6"/>
        <v>177533.88999999998</v>
      </c>
      <c r="G27" s="93">
        <f t="shared" si="6"/>
        <v>0</v>
      </c>
      <c r="H27" s="93">
        <f t="shared" si="6"/>
        <v>0</v>
      </c>
      <c r="I27" s="93">
        <f t="shared" si="6"/>
        <v>0</v>
      </c>
      <c r="J27" s="93">
        <f t="shared" si="6"/>
        <v>0</v>
      </c>
      <c r="K27" s="93">
        <f t="shared" si="6"/>
        <v>0</v>
      </c>
      <c r="L27" s="184">
        <f t="shared" si="6"/>
        <v>190854.61</v>
      </c>
      <c r="M27" s="185">
        <f t="shared" si="6"/>
        <v>190854.61</v>
      </c>
      <c r="Q27" s="44"/>
      <c r="R27" s="103" t="s">
        <v>45</v>
      </c>
      <c r="S27" s="103">
        <v>2026</v>
      </c>
    </row>
    <row r="28" spans="1:19" ht="19.5" thickBot="1" thickTop="1">
      <c r="A28" s="80"/>
      <c r="B28" s="12"/>
      <c r="C28" s="12"/>
      <c r="D28" s="12"/>
      <c r="E28" s="12"/>
      <c r="F28" s="12"/>
      <c r="G28" s="12"/>
      <c r="H28" s="12"/>
      <c r="I28" s="12"/>
      <c r="J28" s="28"/>
      <c r="K28" s="21"/>
      <c r="L28" s="186"/>
      <c r="M28" s="187"/>
      <c r="Q28" s="13"/>
      <c r="R28" s="103" t="s">
        <v>46</v>
      </c>
      <c r="S28" s="103">
        <v>2027</v>
      </c>
    </row>
    <row r="29" spans="1:19" ht="15.7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Q29" s="13"/>
      <c r="R29" s="103" t="s">
        <v>47</v>
      </c>
      <c r="S29" s="103">
        <v>2028</v>
      </c>
    </row>
    <row r="30" spans="17:19" ht="15">
      <c r="Q30" s="13"/>
      <c r="R30" s="103" t="s">
        <v>48</v>
      </c>
      <c r="S30" s="103">
        <v>2029</v>
      </c>
    </row>
    <row r="31" spans="18:19" ht="15">
      <c r="R31" s="103" t="s">
        <v>50</v>
      </c>
      <c r="S31" s="103">
        <v>2030</v>
      </c>
    </row>
    <row r="32" spans="18:19" ht="15">
      <c r="R32" s="106" t="s">
        <v>52</v>
      </c>
      <c r="S32" s="103">
        <v>2031</v>
      </c>
    </row>
    <row r="33" spans="1:19" s="1" customFormat="1" ht="15.75">
      <c r="A33" s="54"/>
      <c r="B33"/>
      <c r="C33"/>
      <c r="D33"/>
      <c r="E33"/>
      <c r="F33"/>
      <c r="G33"/>
      <c r="H33"/>
      <c r="I33"/>
      <c r="J33"/>
      <c r="K33"/>
      <c r="L33"/>
      <c r="M33"/>
      <c r="R33" s="103" t="s">
        <v>53</v>
      </c>
      <c r="S33" s="103">
        <v>2032</v>
      </c>
    </row>
    <row r="34" spans="18:19" ht="15">
      <c r="R34" s="103" t="s">
        <v>57</v>
      </c>
      <c r="S34" s="103">
        <v>2036</v>
      </c>
    </row>
    <row r="35" spans="18:19" ht="15">
      <c r="R35" s="103" t="s">
        <v>58</v>
      </c>
      <c r="S35" s="103">
        <v>2037</v>
      </c>
    </row>
    <row r="36" spans="18:19" ht="15">
      <c r="R36" s="103" t="s">
        <v>63</v>
      </c>
      <c r="S36" s="103">
        <v>2042</v>
      </c>
    </row>
    <row r="37" spans="18:19" ht="15">
      <c r="R37" s="103" t="s">
        <v>64</v>
      </c>
      <c r="S37" s="103">
        <v>2043</v>
      </c>
    </row>
    <row r="38" spans="18:19" ht="15">
      <c r="R38" s="106" t="s">
        <v>65</v>
      </c>
      <c r="S38" s="103">
        <v>2044</v>
      </c>
    </row>
    <row r="39" spans="18:19" ht="15">
      <c r="R39" s="103" t="s">
        <v>66</v>
      </c>
      <c r="S39" s="103">
        <v>2045</v>
      </c>
    </row>
    <row r="40" spans="18:19" ht="15">
      <c r="R40" s="103" t="s">
        <v>87</v>
      </c>
      <c r="S40" s="103">
        <v>2052</v>
      </c>
    </row>
    <row r="41" spans="18:19" ht="15">
      <c r="R41" s="103" t="s">
        <v>95</v>
      </c>
      <c r="S41" s="103">
        <v>2054</v>
      </c>
    </row>
    <row r="42" spans="18:19" ht="15">
      <c r="R42" s="103" t="s">
        <v>90</v>
      </c>
      <c r="S42" s="103">
        <v>2055</v>
      </c>
    </row>
    <row r="43" spans="18:19" ht="15">
      <c r="R43" s="103" t="s">
        <v>91</v>
      </c>
      <c r="S43" s="103">
        <v>2056</v>
      </c>
    </row>
    <row r="44" spans="18:19" ht="15">
      <c r="R44" s="103" t="s">
        <v>92</v>
      </c>
      <c r="S44" s="103">
        <v>2057</v>
      </c>
    </row>
    <row r="45" spans="18:19" ht="15">
      <c r="R45" s="103" t="s">
        <v>94</v>
      </c>
      <c r="S45" s="103">
        <v>2060</v>
      </c>
    </row>
    <row r="46" spans="18:19" ht="15">
      <c r="R46" s="106" t="s">
        <v>21</v>
      </c>
      <c r="S46" s="103">
        <v>2064</v>
      </c>
    </row>
    <row r="47" spans="18:19" ht="15">
      <c r="R47" s="103" t="s">
        <v>28</v>
      </c>
      <c r="S47" s="103">
        <v>2067</v>
      </c>
    </row>
    <row r="48" spans="18:19" ht="15">
      <c r="R48" s="103" t="s">
        <v>88</v>
      </c>
      <c r="S48" s="103">
        <v>2070</v>
      </c>
    </row>
    <row r="49" spans="18:19" ht="15">
      <c r="R49" s="103" t="s">
        <v>71</v>
      </c>
      <c r="S49" s="103">
        <v>2071</v>
      </c>
    </row>
    <row r="50" spans="18:19" ht="15">
      <c r="R50" s="103" t="s">
        <v>70</v>
      </c>
      <c r="S50" s="103">
        <v>2072</v>
      </c>
    </row>
    <row r="51" spans="18:19" ht="15">
      <c r="R51" s="103" t="s">
        <v>36</v>
      </c>
      <c r="S51" s="103">
        <v>2073</v>
      </c>
    </row>
    <row r="52" spans="18:19" ht="15">
      <c r="R52" s="103" t="s">
        <v>184</v>
      </c>
      <c r="S52" s="103">
        <v>2074</v>
      </c>
    </row>
    <row r="53" spans="18:19" ht="15">
      <c r="R53" s="103" t="s">
        <v>93</v>
      </c>
      <c r="S53" s="103">
        <v>2076</v>
      </c>
    </row>
    <row r="54" spans="18:19" ht="15">
      <c r="R54" s="103" t="s">
        <v>186</v>
      </c>
      <c r="S54" s="103">
        <v>2077</v>
      </c>
    </row>
    <row r="55" spans="18:19" ht="15">
      <c r="R55" s="106" t="s">
        <v>187</v>
      </c>
      <c r="S55" s="103">
        <v>2078</v>
      </c>
    </row>
    <row r="56" spans="18:19" ht="15">
      <c r="R56" s="103" t="s">
        <v>124</v>
      </c>
      <c r="S56" s="106">
        <v>2079</v>
      </c>
    </row>
    <row r="57" spans="18:19" ht="15">
      <c r="R57" s="106" t="s">
        <v>17</v>
      </c>
      <c r="S57" s="103">
        <v>3300</v>
      </c>
    </row>
    <row r="58" spans="18:19" ht="15">
      <c r="R58" s="103" t="s">
        <v>30</v>
      </c>
      <c r="S58" s="103">
        <v>3302</v>
      </c>
    </row>
    <row r="59" spans="18:19" ht="15">
      <c r="R59" s="103" t="s">
        <v>54</v>
      </c>
      <c r="S59" s="103">
        <v>3304</v>
      </c>
    </row>
    <row r="60" spans="18:19" ht="15">
      <c r="R60" s="103" t="s">
        <v>62</v>
      </c>
      <c r="S60" s="103">
        <v>3305</v>
      </c>
    </row>
    <row r="61" spans="18:19" ht="15">
      <c r="R61" s="103" t="s">
        <v>77</v>
      </c>
      <c r="S61" s="103">
        <v>3307</v>
      </c>
    </row>
    <row r="62" spans="18:19" ht="15">
      <c r="R62" s="108" t="s">
        <v>78</v>
      </c>
      <c r="S62" s="108">
        <v>3309</v>
      </c>
    </row>
    <row r="63" spans="18:19" ht="15">
      <c r="R63" s="103" t="s">
        <v>81</v>
      </c>
      <c r="S63" s="103">
        <v>3311</v>
      </c>
    </row>
    <row r="64" spans="18:19" ht="15">
      <c r="R64" s="103" t="s">
        <v>82</v>
      </c>
      <c r="S64" s="103">
        <v>3312</v>
      </c>
    </row>
    <row r="65" spans="18:19" ht="15">
      <c r="R65" s="103" t="s">
        <v>189</v>
      </c>
      <c r="S65" s="103">
        <v>3313</v>
      </c>
    </row>
    <row r="66" spans="18:19" ht="15">
      <c r="R66" s="103" t="s">
        <v>190</v>
      </c>
      <c r="S66" s="103">
        <v>3314</v>
      </c>
    </row>
    <row r="67" spans="18:19" ht="15">
      <c r="R67" s="103" t="s">
        <v>75</v>
      </c>
      <c r="S67" s="103">
        <v>3315</v>
      </c>
    </row>
    <row r="68" spans="18:19" ht="15">
      <c r="R68" s="103" t="s">
        <v>89</v>
      </c>
      <c r="S68" s="103">
        <v>3316</v>
      </c>
    </row>
    <row r="69" spans="18:19" ht="15">
      <c r="R69" s="106" t="s">
        <v>18</v>
      </c>
      <c r="S69" s="103">
        <v>3317</v>
      </c>
    </row>
    <row r="70" spans="18:19" ht="15">
      <c r="R70" s="106" t="s">
        <v>20</v>
      </c>
      <c r="S70" s="103">
        <v>3500</v>
      </c>
    </row>
    <row r="71" spans="18:19" ht="15">
      <c r="R71" s="103" t="s">
        <v>67</v>
      </c>
      <c r="S71" s="103">
        <v>3501</v>
      </c>
    </row>
    <row r="72" spans="18:19" ht="15">
      <c r="R72" s="103" t="s">
        <v>74</v>
      </c>
      <c r="S72" s="103">
        <v>3502</v>
      </c>
    </row>
    <row r="73" spans="18:19" ht="15">
      <c r="R73" s="103" t="s">
        <v>76</v>
      </c>
      <c r="S73" s="103">
        <v>3504</v>
      </c>
    </row>
    <row r="74" spans="18:19" ht="15">
      <c r="R74" s="103" t="s">
        <v>86</v>
      </c>
      <c r="S74" s="103">
        <v>3506</v>
      </c>
    </row>
    <row r="75" spans="18:19" ht="15">
      <c r="R75" s="103" t="s">
        <v>85</v>
      </c>
      <c r="S75" s="103">
        <v>3507</v>
      </c>
    </row>
    <row r="76" spans="18:19" ht="15">
      <c r="R76" s="103" t="s">
        <v>80</v>
      </c>
      <c r="S76" s="103">
        <v>3508</v>
      </c>
    </row>
    <row r="77" spans="18:19" ht="15">
      <c r="R77" s="103" t="s">
        <v>79</v>
      </c>
      <c r="S77" s="103">
        <v>3509</v>
      </c>
    </row>
    <row r="78" spans="18:19" ht="15">
      <c r="R78" s="103" t="s">
        <v>73</v>
      </c>
      <c r="S78" s="103">
        <v>3510</v>
      </c>
    </row>
    <row r="79" spans="18:19" ht="15">
      <c r="R79" s="106" t="s">
        <v>24</v>
      </c>
      <c r="S79" s="106">
        <v>3511</v>
      </c>
    </row>
    <row r="80" spans="18:19" ht="15">
      <c r="R80" s="103" t="s">
        <v>72</v>
      </c>
      <c r="S80" s="103">
        <v>3512</v>
      </c>
    </row>
    <row r="81" spans="18:19" ht="15">
      <c r="R81" s="103" t="s">
        <v>60</v>
      </c>
      <c r="S81" s="103">
        <v>3513</v>
      </c>
    </row>
    <row r="82" spans="18:19" ht="15">
      <c r="R82" s="106" t="s">
        <v>19</v>
      </c>
      <c r="S82" s="103">
        <v>3514</v>
      </c>
    </row>
    <row r="83" spans="18:19" ht="15">
      <c r="R83" s="103" t="s">
        <v>56</v>
      </c>
      <c r="S83" s="103">
        <v>3515</v>
      </c>
    </row>
    <row r="84" spans="18:19" ht="15">
      <c r="R84" s="103" t="s">
        <v>51</v>
      </c>
      <c r="S84" s="103">
        <v>3516</v>
      </c>
    </row>
    <row r="85" spans="18:19" ht="15">
      <c r="R85" s="103" t="s">
        <v>191</v>
      </c>
      <c r="S85" s="103">
        <v>3518</v>
      </c>
    </row>
    <row r="86" spans="18:19" ht="15">
      <c r="R86" s="103" t="s">
        <v>182</v>
      </c>
      <c r="S86" s="103">
        <v>3519</v>
      </c>
    </row>
    <row r="87" spans="18:19" ht="15">
      <c r="R87" s="105" t="s">
        <v>176</v>
      </c>
      <c r="S87" s="106">
        <v>3520</v>
      </c>
    </row>
    <row r="88" spans="18:19" ht="15">
      <c r="R88" s="108" t="s">
        <v>188</v>
      </c>
      <c r="S88" s="108">
        <v>3521</v>
      </c>
    </row>
    <row r="89" spans="18:19" ht="15">
      <c r="R89" s="103" t="s">
        <v>140</v>
      </c>
      <c r="S89" s="103">
        <v>3522</v>
      </c>
    </row>
    <row r="90" spans="18:19" ht="15">
      <c r="R90" s="103" t="s">
        <v>185</v>
      </c>
      <c r="S90" s="103">
        <v>3523</v>
      </c>
    </row>
    <row r="91" spans="18:19" ht="15">
      <c r="R91" s="162" t="s">
        <v>396</v>
      </c>
      <c r="S91" s="162">
        <v>3524</v>
      </c>
    </row>
    <row r="92" spans="18:19" ht="15">
      <c r="R92" s="103" t="s">
        <v>103</v>
      </c>
      <c r="S92" s="103">
        <v>4003</v>
      </c>
    </row>
    <row r="93" spans="18:19" ht="15">
      <c r="R93" s="103" t="s">
        <v>110</v>
      </c>
      <c r="S93" s="103">
        <v>4009</v>
      </c>
    </row>
    <row r="94" spans="18:19" ht="15">
      <c r="R94" s="103" t="s">
        <v>113</v>
      </c>
      <c r="S94" s="103">
        <v>4012</v>
      </c>
    </row>
    <row r="95" spans="18:19" ht="15">
      <c r="R95" s="103" t="s">
        <v>109</v>
      </c>
      <c r="S95" s="103">
        <v>4208</v>
      </c>
    </row>
    <row r="96" spans="18:19" ht="15">
      <c r="R96" s="103" t="s">
        <v>100</v>
      </c>
      <c r="S96" s="103">
        <v>4210</v>
      </c>
    </row>
    <row r="97" spans="18:19" ht="15">
      <c r="R97" s="103" t="s">
        <v>98</v>
      </c>
      <c r="S97" s="103">
        <v>4211</v>
      </c>
    </row>
    <row r="98" spans="18:19" ht="15">
      <c r="R98" s="103" t="s">
        <v>101</v>
      </c>
      <c r="S98" s="103">
        <v>4212</v>
      </c>
    </row>
    <row r="99" spans="18:19" ht="15">
      <c r="R99" s="103" t="s">
        <v>192</v>
      </c>
      <c r="S99" s="103">
        <v>4215</v>
      </c>
    </row>
    <row r="100" spans="18:19" ht="15">
      <c r="R100" s="103" t="s">
        <v>106</v>
      </c>
      <c r="S100" s="103">
        <v>4752</v>
      </c>
    </row>
    <row r="101" spans="18:19" ht="15">
      <c r="R101" s="106" t="s">
        <v>39</v>
      </c>
      <c r="S101" s="103">
        <v>5200</v>
      </c>
    </row>
    <row r="102" spans="18:19" ht="15">
      <c r="R102" s="103" t="s">
        <v>68</v>
      </c>
      <c r="S102" s="103">
        <v>5201</v>
      </c>
    </row>
    <row r="103" spans="18:19" ht="15">
      <c r="R103" s="103" t="s">
        <v>105</v>
      </c>
      <c r="S103" s="103">
        <v>5400</v>
      </c>
    </row>
    <row r="104" spans="18:19" ht="15">
      <c r="R104" s="103" t="s">
        <v>108</v>
      </c>
      <c r="S104" s="103">
        <v>5401</v>
      </c>
    </row>
    <row r="105" spans="18:19" ht="15">
      <c r="R105" s="103" t="s">
        <v>107</v>
      </c>
      <c r="S105" s="103">
        <v>5402</v>
      </c>
    </row>
    <row r="106" spans="18:19" ht="15">
      <c r="R106" s="103" t="s">
        <v>112</v>
      </c>
      <c r="S106" s="103">
        <v>5403</v>
      </c>
    </row>
    <row r="107" spans="18:19" ht="15">
      <c r="R107" s="106" t="s">
        <v>126</v>
      </c>
      <c r="S107" s="103">
        <v>5404</v>
      </c>
    </row>
    <row r="108" spans="18:19" ht="15">
      <c r="R108" s="103" t="s">
        <v>102</v>
      </c>
      <c r="S108" s="103">
        <v>5405</v>
      </c>
    </row>
    <row r="109" spans="18:19" ht="15">
      <c r="R109" s="106" t="s">
        <v>96</v>
      </c>
      <c r="S109" s="103">
        <v>5406</v>
      </c>
    </row>
    <row r="110" spans="18:19" ht="15">
      <c r="R110" s="103" t="s">
        <v>111</v>
      </c>
      <c r="S110" s="103">
        <v>5407</v>
      </c>
    </row>
    <row r="111" spans="18:19" ht="15">
      <c r="R111" s="103" t="s">
        <v>97</v>
      </c>
      <c r="S111" s="103">
        <v>5408</v>
      </c>
    </row>
    <row r="112" spans="18:19" ht="15">
      <c r="R112" s="103" t="s">
        <v>104</v>
      </c>
      <c r="S112" s="103">
        <v>5409</v>
      </c>
    </row>
    <row r="113" spans="18:19" ht="15">
      <c r="R113" s="123" t="s">
        <v>193</v>
      </c>
      <c r="S113" s="123">
        <v>5427</v>
      </c>
    </row>
    <row r="114" spans="18:19" ht="15">
      <c r="R114" s="106" t="s">
        <v>59</v>
      </c>
      <c r="S114" s="103">
        <v>5948</v>
      </c>
    </row>
    <row r="115" spans="18:19" ht="15">
      <c r="R115" s="103" t="s">
        <v>61</v>
      </c>
      <c r="S115" s="103">
        <v>5949</v>
      </c>
    </row>
    <row r="116" spans="18:19" ht="15">
      <c r="R116" s="103" t="s">
        <v>117</v>
      </c>
      <c r="S116" s="103">
        <v>7000</v>
      </c>
    </row>
    <row r="117" spans="18:19" ht="15">
      <c r="R117" s="103" t="s">
        <v>115</v>
      </c>
      <c r="S117" s="103">
        <v>7005</v>
      </c>
    </row>
    <row r="118" spans="18:19" ht="15">
      <c r="R118" s="103" t="s">
        <v>116</v>
      </c>
      <c r="S118" s="103">
        <v>7009</v>
      </c>
    </row>
    <row r="119" spans="18:19" ht="15">
      <c r="R119" s="106" t="s">
        <v>114</v>
      </c>
      <c r="S119" s="103">
        <v>7010</v>
      </c>
    </row>
  </sheetData>
  <sheetProtection sheet="1" objects="1" scenarios="1"/>
  <conditionalFormatting sqref="B27:M27">
    <cfRule type="cellIs" priority="1" dxfId="0" operator="notEqual" stopIfTrue="1">
      <formula>0</formula>
    </cfRule>
  </conditionalFormatting>
  <dataValidations count="1">
    <dataValidation type="list" allowBlank="1" showInputMessage="1" showErrorMessage="1" sqref="B1">
      <formula1>$S$4:$S$119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8" r:id="rId1"/>
  <headerFooter alignWithMargins="0">
    <oddFooter>&amp;L&amp;Z&amp;F&amp;A&amp;R&amp;D</oddFooter>
  </headerFooter>
  <ignoredErrors>
    <ignoredError sqref="A3 B5:K27 L26:L27 L5:L11 M5:M11 L14:L17 M14:M17 L20:L24 M20:M24 M26:M27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33"/>
    <pageSetUpPr fitToPage="1"/>
  </sheetPr>
  <dimension ref="A1:IV195"/>
  <sheetViews>
    <sheetView zoomScale="75" zoomScaleNormal="75" zoomScaleSheetLayoutView="70" workbookViewId="0" topLeftCell="A1">
      <pane xSplit="4" ySplit="2" topLeftCell="E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4.3359375" style="37" customWidth="1"/>
    <col min="5" max="5" width="11.99609375" style="36" hidden="1" customWidth="1"/>
    <col min="6" max="7" width="15.5546875" style="37" customWidth="1"/>
    <col min="8" max="8" width="17.3359375" style="37" customWidth="1"/>
    <col min="9" max="9" width="11.3359375" style="37" customWidth="1"/>
    <col min="10" max="10" width="12.10546875" style="37" customWidth="1"/>
    <col min="11" max="11" width="19.5546875" style="37" customWidth="1"/>
    <col min="12" max="12" width="11.5546875" style="37" customWidth="1"/>
    <col min="13" max="13" width="19.99609375" style="37" customWidth="1"/>
    <col min="14" max="14" width="6.5546875" style="37" customWidth="1"/>
    <col min="15" max="16384" width="8.88671875" style="37" customWidth="1"/>
  </cols>
  <sheetData>
    <row r="1" spans="1:256" s="59" customFormat="1" ht="15.75" customHeight="1">
      <c r="A1" s="56" t="s">
        <v>118</v>
      </c>
      <c r="B1" s="56" t="s">
        <v>120</v>
      </c>
      <c r="C1" s="56" t="s">
        <v>163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s="59" customFormat="1" ht="16.5" customHeight="1">
      <c r="A2" s="57" t="s">
        <v>119</v>
      </c>
      <c r="B2" s="57" t="s">
        <v>137</v>
      </c>
      <c r="C2" s="57" t="s">
        <v>172</v>
      </c>
      <c r="D2" s="57" t="s">
        <v>255</v>
      </c>
      <c r="E2" s="197"/>
      <c r="F2" s="197"/>
      <c r="G2" s="197"/>
      <c r="H2" s="197"/>
      <c r="I2" s="197"/>
      <c r="J2" s="197"/>
      <c r="K2" s="197"/>
      <c r="L2" s="197"/>
      <c r="M2" s="197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s="59" customFormat="1" ht="16.5" customHeight="1">
      <c r="A3" s="37">
        <v>3520</v>
      </c>
      <c r="B3" s="36">
        <v>11094</v>
      </c>
      <c r="C3" s="22">
        <v>938585</v>
      </c>
      <c r="D3" s="40" t="s">
        <v>176</v>
      </c>
      <c r="E3" s="39"/>
      <c r="F3" s="101">
        <f>5483.4-21.01</f>
        <v>5462.389999999999</v>
      </c>
      <c r="G3" s="92">
        <v>-88231.35</v>
      </c>
      <c r="H3" s="101">
        <v>201032.56</v>
      </c>
      <c r="I3" s="39"/>
      <c r="J3" s="39"/>
      <c r="K3" s="45">
        <f>VLOOKUP(C3,'[9]Period 6. SEPT'!$A$2:$I$128,9,0)</f>
        <v>195570.17</v>
      </c>
      <c r="L3" s="40" t="s">
        <v>313</v>
      </c>
      <c r="M3" s="40">
        <v>100736399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4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83">
        <f>3939.56-9.8</f>
        <v>3929.7599999999998</v>
      </c>
      <c r="G4" s="92">
        <v>11509.08</v>
      </c>
      <c r="H4" s="83">
        <v>129527.14</v>
      </c>
      <c r="I4" s="39"/>
      <c r="J4" s="39"/>
      <c r="K4" s="45">
        <f>VLOOKUP(C4,'[9]Period 6. SEPT'!$A$2:$I$128,9,0)</f>
        <v>125597.53</v>
      </c>
      <c r="L4" s="40" t="s">
        <v>311</v>
      </c>
      <c r="M4" s="40">
        <v>100736357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6.5" thickBot="1">
      <c r="A5" s="37">
        <v>3300</v>
      </c>
      <c r="B5" s="37">
        <v>10040</v>
      </c>
      <c r="C5" s="47">
        <v>938282</v>
      </c>
      <c r="D5" s="40" t="s">
        <v>17</v>
      </c>
      <c r="E5" s="39"/>
      <c r="F5" s="87">
        <f>3789.13-3.17</f>
        <v>3785.96</v>
      </c>
      <c r="G5" s="92">
        <v>21248.96</v>
      </c>
      <c r="H5" s="83">
        <v>72877.94</v>
      </c>
      <c r="I5" s="39"/>
      <c r="J5" s="40"/>
      <c r="K5" s="45">
        <f>VLOOKUP(C5,'[9]Period 6. SEPT'!$A$2:$I$128,9,0)</f>
        <v>69091.9800000001</v>
      </c>
      <c r="L5" s="40" t="s">
        <v>314</v>
      </c>
      <c r="M5" s="40">
        <v>100736357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83">
        <v>513.02</v>
      </c>
      <c r="G6" s="92">
        <v>25298.41</v>
      </c>
      <c r="H6" s="83">
        <v>149751.41</v>
      </c>
      <c r="I6" s="39"/>
      <c r="J6" s="39"/>
      <c r="K6" s="45">
        <f>VLOOKUP(C6,'[9]Period 6. SEPT'!$A$2:$I$128,9,0)</f>
        <v>149238.39</v>
      </c>
      <c r="L6" s="40" t="s">
        <v>314</v>
      </c>
      <c r="M6" s="40">
        <v>100736855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83">
        <f>2704.66-27.76</f>
        <v>2676.8999999999996</v>
      </c>
      <c r="G7" s="92">
        <v>35446.19</v>
      </c>
      <c r="H7" s="83">
        <v>87536.87</v>
      </c>
      <c r="I7" s="39"/>
      <c r="J7" s="39"/>
      <c r="K7" s="45">
        <f>VLOOKUP(C7,'[9]Period 6. SEPT'!$A$2:$I$128,9,0)</f>
        <v>84859.9699999999</v>
      </c>
      <c r="L7" s="40" t="s">
        <v>309</v>
      </c>
      <c r="M7" s="40">
        <v>100735600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83">
        <v>12929.42</v>
      </c>
      <c r="G8" s="92">
        <v>-52333.69</v>
      </c>
      <c r="H8" s="83">
        <v>335521.21</v>
      </c>
      <c r="I8" s="39"/>
      <c r="J8" s="39"/>
      <c r="K8" s="45">
        <f>VLOOKUP(C8,'[9]Period 6. SEPT'!$A$2:$I$128,9,0)</f>
        <v>322591.79</v>
      </c>
      <c r="L8" s="40" t="s">
        <v>311</v>
      </c>
      <c r="M8" s="40">
        <v>100736369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83">
        <v>8135.27</v>
      </c>
      <c r="G9" s="92">
        <v>58862.63</v>
      </c>
      <c r="H9" s="83">
        <v>12017.47</v>
      </c>
      <c r="I9" s="39"/>
      <c r="J9" s="39"/>
      <c r="K9" s="45">
        <f>VLOOKUP(C9,'[9]Period 6. SEPT'!$A$2:$I$128,9,0)</f>
        <v>3882.21000000001</v>
      </c>
      <c r="L9" s="40" t="s">
        <v>301</v>
      </c>
      <c r="M9" s="40">
        <v>100731051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83">
        <f>6857.76-5.86</f>
        <v>6851.900000000001</v>
      </c>
      <c r="G10" s="92">
        <v>64607.51</v>
      </c>
      <c r="H10" s="83">
        <v>206605.56</v>
      </c>
      <c r="I10" s="39"/>
      <c r="J10" s="146" t="s">
        <v>248</v>
      </c>
      <c r="K10" s="45">
        <f>VLOOKUP(C10,'[9]Period 6. SEPT'!$A$2:$I$128,9,0)</f>
        <v>199753.66</v>
      </c>
      <c r="L10" s="40" t="s">
        <v>303</v>
      </c>
      <c r="M10" s="40" t="s">
        <v>310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83">
        <f>1961.89-9.92</f>
        <v>1951.97</v>
      </c>
      <c r="G11" s="92">
        <v>1157.85</v>
      </c>
      <c r="H11" s="83">
        <v>128031.56</v>
      </c>
      <c r="I11" s="39"/>
      <c r="J11" s="39"/>
      <c r="K11" s="45">
        <f>VLOOKUP(C11,'[9]Period 6. SEPT'!$A$2:$I$128,9,0)</f>
        <v>126079.59</v>
      </c>
      <c r="L11" s="40" t="s">
        <v>308</v>
      </c>
      <c r="M11" s="40">
        <v>100735549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83">
        <f>9486.63-46.13</f>
        <v>9440.5</v>
      </c>
      <c r="G12" s="92">
        <v>74270.74</v>
      </c>
      <c r="H12" s="83">
        <v>192688.91</v>
      </c>
      <c r="I12" s="39"/>
      <c r="J12" s="39"/>
      <c r="K12" s="45">
        <f>VLOOKUP(C12,'[9]Period 6. SEPT'!$A$2:$I$128,9,0)</f>
        <v>183248.41</v>
      </c>
      <c r="L12" s="40" t="s">
        <v>311</v>
      </c>
      <c r="M12" s="40">
        <v>100735990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83">
        <v>6119.76</v>
      </c>
      <c r="G13" s="92">
        <v>4085.8</v>
      </c>
      <c r="H13" s="83">
        <v>248372.54</v>
      </c>
      <c r="I13" s="39"/>
      <c r="J13" s="39"/>
      <c r="K13" s="45">
        <f>VLOOKUP(C13,'[9]Period 6. SEPT'!$A$2:$I$128,9,0)</f>
        <v>242252.78</v>
      </c>
      <c r="L13" s="40" t="s">
        <v>303</v>
      </c>
      <c r="M13" s="40">
        <v>100734334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83">
        <f>12566.26-84.87</f>
        <v>12481.39</v>
      </c>
      <c r="G14" s="92">
        <v>51717.96</v>
      </c>
      <c r="H14" s="83">
        <v>197478.19</v>
      </c>
      <c r="I14" s="39"/>
      <c r="J14" s="39"/>
      <c r="K14" s="45">
        <f>VLOOKUP(C14,'[9]Period 6. SEPT'!$A$2:$I$128,9,0)</f>
        <v>184996.8</v>
      </c>
      <c r="L14" s="40" t="s">
        <v>303</v>
      </c>
      <c r="M14" s="40">
        <v>100734348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83">
        <f>8069.69-19.03</f>
        <v>8050.66</v>
      </c>
      <c r="G15" s="92">
        <v>773.45</v>
      </c>
      <c r="H15" s="83">
        <v>200043.05</v>
      </c>
      <c r="I15" s="39"/>
      <c r="J15" s="39"/>
      <c r="K15" s="45">
        <f>VLOOKUP(C15,'[9]Period 6. SEPT'!$A$2:$I$128,9,0)</f>
        <v>191992.39</v>
      </c>
      <c r="L15" s="40" t="s">
        <v>305</v>
      </c>
      <c r="M15" s="40">
        <v>100737408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83">
        <v>3698.54</v>
      </c>
      <c r="G16" s="92">
        <v>17448.62</v>
      </c>
      <c r="H16" s="83">
        <v>182365.48</v>
      </c>
      <c r="I16" s="39"/>
      <c r="J16" s="39"/>
      <c r="K16" s="45">
        <f>VLOOKUP(C16,'[9]Period 6. SEPT'!$A$2:$I$128,9,0)</f>
        <v>178666.94</v>
      </c>
      <c r="L16" s="40" t="s">
        <v>308</v>
      </c>
      <c r="M16" s="40">
        <v>100735545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83">
        <f>7062.67-16.36</f>
        <v>7046.31</v>
      </c>
      <c r="G17" s="92">
        <v>40884.99</v>
      </c>
      <c r="H17" s="83">
        <v>369373.59</v>
      </c>
      <c r="I17" s="39"/>
      <c r="J17" s="39"/>
      <c r="K17" s="45">
        <f>VLOOKUP(C17,'[9]Period 6. SEPT'!$A$2:$I$128,9,0)</f>
        <v>362327.28</v>
      </c>
      <c r="L17" s="40" t="s">
        <v>305</v>
      </c>
      <c r="M17" s="40">
        <v>100734712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83">
        <f>1428.27-8.52</f>
        <v>1419.75</v>
      </c>
      <c r="G18" s="92">
        <v>11359.65</v>
      </c>
      <c r="H18" s="83">
        <v>108837.42</v>
      </c>
      <c r="I18" s="39"/>
      <c r="J18" s="39"/>
      <c r="K18" s="45">
        <f>VLOOKUP(C18,'[9]Period 6. SEPT'!$A$2:$I$128,9,0)</f>
        <v>107417.67</v>
      </c>
      <c r="L18" s="40" t="s">
        <v>306</v>
      </c>
      <c r="M18" s="40">
        <v>100734773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87">
        <v>4253.75</v>
      </c>
      <c r="G19" s="92">
        <v>12441.28</v>
      </c>
      <c r="H19" s="83">
        <v>132173.59</v>
      </c>
      <c r="I19" s="39"/>
      <c r="J19" s="39"/>
      <c r="K19" s="45">
        <f>VLOOKUP(C19,'[9]Period 6. SEPT'!$A$2:$I$128,9,0)</f>
        <v>127919.84</v>
      </c>
      <c r="L19" s="40" t="s">
        <v>309</v>
      </c>
      <c r="M19" s="40">
        <v>100735941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83">
        <f>11078.14-32.33</f>
        <v>11045.81</v>
      </c>
      <c r="G20" s="92">
        <v>-26783.91</v>
      </c>
      <c r="H20" s="83">
        <v>187885.78</v>
      </c>
      <c r="I20" s="83"/>
      <c r="J20" s="39"/>
      <c r="K20" s="45">
        <f>VLOOKUP(C20,'[9]Period 6. SEPT'!$A$2:$I$128,9,0)</f>
        <v>176839.97</v>
      </c>
      <c r="L20" s="40" t="s">
        <v>315</v>
      </c>
      <c r="M20" s="40">
        <v>100737417</v>
      </c>
      <c r="N20" s="42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83">
        <f>6259.85-26.23</f>
        <v>6233.620000000001</v>
      </c>
      <c r="G21" s="92">
        <v>54407.11</v>
      </c>
      <c r="H21" s="83">
        <v>325153.63</v>
      </c>
      <c r="I21" s="39"/>
      <c r="J21" s="39"/>
      <c r="K21" s="45">
        <f>VLOOKUP(C21,'[9]Period 6. SEPT'!$A$2:$I$128,9,0)</f>
        <v>318920.01</v>
      </c>
      <c r="L21" s="40" t="s">
        <v>303</v>
      </c>
      <c r="M21" s="40">
        <v>100733894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83">
        <f>9951.89-118.62</f>
        <v>9833.269999999999</v>
      </c>
      <c r="G22" s="92">
        <v>-35700.62</v>
      </c>
      <c r="H22" s="83">
        <v>305418.2</v>
      </c>
      <c r="I22" s="39"/>
      <c r="J22" s="40"/>
      <c r="K22" s="45">
        <f>VLOOKUP(C22,'[9]Period 6. SEPT'!$A$2:$I$128,9,0)</f>
        <v>295584.93</v>
      </c>
      <c r="L22" s="40" t="s">
        <v>314</v>
      </c>
      <c r="M22" s="40">
        <v>100737399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83">
        <f>17512.54-5.23</f>
        <v>17507.31</v>
      </c>
      <c r="G23" s="92">
        <v>127579.53</v>
      </c>
      <c r="H23" s="83">
        <v>71341.62</v>
      </c>
      <c r="I23" s="39"/>
      <c r="J23" s="146" t="s">
        <v>248</v>
      </c>
      <c r="K23" s="45">
        <f>VLOOKUP(C23,'[9]Period 6. SEPT'!$A$2:$I$128,9,0)</f>
        <v>53834.3100000001</v>
      </c>
      <c r="L23" s="40" t="s">
        <v>303</v>
      </c>
      <c r="M23" s="40" t="s">
        <v>304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83">
        <v>8450.73</v>
      </c>
      <c r="G24" s="92">
        <v>37938.36</v>
      </c>
      <c r="H24" s="83">
        <v>103746.27</v>
      </c>
      <c r="I24" s="39"/>
      <c r="J24" s="39"/>
      <c r="K24" s="45">
        <f>VLOOKUP(C24,'[9]Period 6. SEPT'!$A$2:$I$128,9,0)</f>
        <v>95295.5400000001</v>
      </c>
      <c r="L24" s="40" t="s">
        <v>311</v>
      </c>
      <c r="M24" s="40">
        <v>100736367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83">
        <f>3600.71-14.7</f>
        <v>3586.01</v>
      </c>
      <c r="G25" s="92">
        <v>-98621</v>
      </c>
      <c r="H25" s="83">
        <v>339939.77</v>
      </c>
      <c r="I25" s="39"/>
      <c r="J25" s="39"/>
      <c r="K25" s="45">
        <f>VLOOKUP(C25,'[9]Period 6. SEPT'!$A$2:$I$128,9,0)</f>
        <v>336353.76</v>
      </c>
      <c r="L25" s="40" t="s">
        <v>311</v>
      </c>
      <c r="M25" s="40">
        <v>100736346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83">
        <f>26127.32-11.89</f>
        <v>26115.43</v>
      </c>
      <c r="G26" s="92">
        <v>110837.22</v>
      </c>
      <c r="H26" s="83">
        <v>132692.71</v>
      </c>
      <c r="I26" s="39"/>
      <c r="J26" s="39"/>
      <c r="K26" s="45">
        <f>VLOOKUP(C26,'[9]Period 6. SEPT'!$A$2:$I$128,9,0)</f>
        <v>106577.28</v>
      </c>
      <c r="L26" s="40" t="s">
        <v>313</v>
      </c>
      <c r="M26" s="40">
        <v>100736398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83">
        <f>7215.23-12.57</f>
        <v>7202.66</v>
      </c>
      <c r="G27" s="92">
        <v>-35760.46</v>
      </c>
      <c r="H27" s="83">
        <v>246626.09</v>
      </c>
      <c r="I27" s="39"/>
      <c r="J27" s="39"/>
      <c r="K27" s="45">
        <f>VLOOKUP(C27,'[9]Period 6. SEPT'!$A$2:$I$128,9,0)</f>
        <v>239423.43</v>
      </c>
      <c r="L27" s="40" t="s">
        <v>313</v>
      </c>
      <c r="M27" s="40">
        <v>100736391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83">
        <f>7148.04-46.35</f>
        <v>7101.69</v>
      </c>
      <c r="G28" s="92">
        <v>3520.26</v>
      </c>
      <c r="H28" s="83">
        <v>214405.22</v>
      </c>
      <c r="I28" s="39"/>
      <c r="J28" s="39"/>
      <c r="K28" s="45">
        <f>VLOOKUP(C28,'[9]Period 6. SEPT'!$A$2:$I$128,9,0)</f>
        <v>207303.53</v>
      </c>
      <c r="L28" s="40" t="s">
        <v>308</v>
      </c>
      <c r="M28" s="40">
        <v>100735551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83">
        <f>12846.16-60.91</f>
        <v>12785.25</v>
      </c>
      <c r="G29" s="92">
        <v>5348.32</v>
      </c>
      <c r="H29" s="83">
        <v>77190.79</v>
      </c>
      <c r="I29" s="39"/>
      <c r="J29" s="39"/>
      <c r="K29" s="45">
        <f>VLOOKUP(C29,'[9]Period 6. SEPT'!$A$2:$I$128,9,0)</f>
        <v>64405.54</v>
      </c>
      <c r="L29" s="40" t="s">
        <v>303</v>
      </c>
      <c r="M29" s="40">
        <v>100734351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83">
        <v>9587.97</v>
      </c>
      <c r="G30" s="92">
        <v>-4740.84</v>
      </c>
      <c r="H30" s="83">
        <v>228907.69</v>
      </c>
      <c r="I30" s="39"/>
      <c r="J30" s="39"/>
      <c r="K30" s="45">
        <f>VLOOKUP(C30,'[9]Period 6. SEPT'!$A$2:$I$128,9,0)</f>
        <v>219022.72</v>
      </c>
      <c r="L30" s="40" t="s">
        <v>313</v>
      </c>
      <c r="M30" s="40">
        <v>100736794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83">
        <v>6754.01</v>
      </c>
      <c r="G31" s="92">
        <v>55094.58</v>
      </c>
      <c r="H31" s="83">
        <v>206251.65</v>
      </c>
      <c r="I31" s="39"/>
      <c r="J31" s="40"/>
      <c r="K31" s="45">
        <f>VLOOKUP(C31,'[9]Period 6. SEPT'!$A$2:$I$128,9,0)</f>
        <v>199497.63</v>
      </c>
      <c r="L31" s="40" t="s">
        <v>311</v>
      </c>
      <c r="M31" s="40">
        <v>100736.345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6.5" thickBot="1">
      <c r="A32" s="37">
        <v>3524</v>
      </c>
      <c r="B32" s="37">
        <v>11278</v>
      </c>
      <c r="C32" s="47">
        <v>938590</v>
      </c>
      <c r="D32" s="40" t="s">
        <v>396</v>
      </c>
      <c r="E32" s="39"/>
      <c r="F32" s="83"/>
      <c r="G32" s="92"/>
      <c r="H32" s="83"/>
      <c r="I32" s="39"/>
      <c r="J32" s="40"/>
      <c r="K32" s="45"/>
      <c r="L32" s="40"/>
      <c r="M32" s="40">
        <v>1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83">
        <v>1787.3</v>
      </c>
      <c r="G33" s="92">
        <v>-21669.27</v>
      </c>
      <c r="H33" s="83">
        <v>247164.52</v>
      </c>
      <c r="I33" s="39"/>
      <c r="J33" s="92"/>
      <c r="K33" s="45">
        <f>VLOOKUP(C33,'[9]Period 6. SEPT'!$A$2:$I$128,9,0)</f>
        <v>245377.22</v>
      </c>
      <c r="L33" s="40" t="s">
        <v>306</v>
      </c>
      <c r="M33" s="40">
        <v>100735191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83">
        <v>7164.68</v>
      </c>
      <c r="G34" s="92">
        <v>545.95</v>
      </c>
      <c r="H34" s="83">
        <v>215553.55</v>
      </c>
      <c r="I34" s="39"/>
      <c r="J34" s="39"/>
      <c r="K34" s="45">
        <f>VLOOKUP(C34,'[9]Period 6. SEPT'!$A$2:$I$128,9,0)</f>
        <v>208388.87</v>
      </c>
      <c r="L34" s="40" t="s">
        <v>303</v>
      </c>
      <c r="M34" s="40">
        <v>100733973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83">
        <v>13584.26</v>
      </c>
      <c r="G35" s="92">
        <v>73272.65</v>
      </c>
      <c r="H35" s="83">
        <v>288294.28</v>
      </c>
      <c r="I35" s="39"/>
      <c r="J35" s="39"/>
      <c r="K35" s="45">
        <f>VLOOKUP(C35,'[9]Period 6. SEPT'!$A$2:$I$128,9,0)</f>
        <v>274710.02</v>
      </c>
      <c r="L35" s="40" t="s">
        <v>306</v>
      </c>
      <c r="M35" s="40">
        <v>100735179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83">
        <f>22128.33-27.14</f>
        <v>22101.190000000002</v>
      </c>
      <c r="G36" s="92">
        <v>146111.29</v>
      </c>
      <c r="H36" s="83">
        <v>57472.71</v>
      </c>
      <c r="I36" s="39"/>
      <c r="J36" s="39"/>
      <c r="K36" s="45">
        <f>VLOOKUP(C36,'[9]Period 6. SEPT'!$A$2:$I$128,9,0)</f>
        <v>35371.52</v>
      </c>
      <c r="L36" s="40" t="s">
        <v>308</v>
      </c>
      <c r="M36" s="40">
        <v>100735557</v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83">
        <f>11835.48-39.84</f>
        <v>11795.64</v>
      </c>
      <c r="G37" s="92">
        <v>59464.97</v>
      </c>
      <c r="H37" s="83">
        <v>174151.65</v>
      </c>
      <c r="I37" s="39"/>
      <c r="J37" s="40"/>
      <c r="K37" s="45">
        <f>VLOOKUP(C37,'[9]Period 6. SEPT'!$A$2:$I$128,9,0)</f>
        <v>162356.01</v>
      </c>
      <c r="L37" s="40" t="s">
        <v>303</v>
      </c>
      <c r="M37" s="40">
        <v>100734336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83">
        <v>3667.43</v>
      </c>
      <c r="G38" s="92">
        <v>-9102.92</v>
      </c>
      <c r="H38" s="83">
        <v>329728.31</v>
      </c>
      <c r="I38" s="83"/>
      <c r="J38" s="92"/>
      <c r="K38" s="45">
        <f>VLOOKUP(C38,'[9]Period 6. SEPT'!$A$2:$I$128,9,0)</f>
        <v>326060.88</v>
      </c>
      <c r="L38" s="40" t="s">
        <v>314</v>
      </c>
      <c r="M38" s="40">
        <v>100736834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83">
        <f>472.54-19.65</f>
        <v>452.89000000000004</v>
      </c>
      <c r="G39" s="92">
        <v>4426.31</v>
      </c>
      <c r="H39" s="83">
        <v>104110.29</v>
      </c>
      <c r="I39" s="39"/>
      <c r="J39" s="39"/>
      <c r="K39" s="45">
        <f>VLOOKUP(C39,'[9]Period 6. SEPT'!$A$2:$I$128,9,0)</f>
        <v>103657.4</v>
      </c>
      <c r="L39" s="40" t="s">
        <v>305</v>
      </c>
      <c r="M39" s="40">
        <v>100734364</v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147">
        <v>2022.32</v>
      </c>
      <c r="G40" s="130">
        <v>-17472.42</v>
      </c>
      <c r="H40" s="83">
        <v>21834.38</v>
      </c>
      <c r="I40" s="119"/>
      <c r="J40" s="119"/>
      <c r="K40" s="45">
        <f>VLOOKUP(C40,'[9]Period 6. SEPT'!$A$2:$I$128,9,0)</f>
        <v>19812.06</v>
      </c>
      <c r="L40" s="40" t="s">
        <v>309</v>
      </c>
      <c r="M40" s="40">
        <v>100735977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83">
        <v>15380.65</v>
      </c>
      <c r="G41" s="92">
        <v>112819.64</v>
      </c>
      <c r="H41" s="83">
        <v>32994.42</v>
      </c>
      <c r="I41" s="39"/>
      <c r="J41" s="39"/>
      <c r="K41" s="45">
        <f>VLOOKUP(C41,'[9]Period 6. SEPT'!$A$2:$I$128,9,0)</f>
        <v>17613.7699999999</v>
      </c>
      <c r="L41" s="40" t="s">
        <v>305</v>
      </c>
      <c r="M41" s="40">
        <v>100734700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83">
        <f>6880.13-5.28</f>
        <v>6874.85</v>
      </c>
      <c r="G42" s="92">
        <v>-10110.66</v>
      </c>
      <c r="H42" s="83">
        <v>143212.71</v>
      </c>
      <c r="I42" s="40"/>
      <c r="J42" s="39"/>
      <c r="K42" s="45">
        <f>VLOOKUP(C42,'[9]Period 6. SEPT'!$A$2:$I$128,9,0)</f>
        <v>136337.86</v>
      </c>
      <c r="L42" s="40" t="s">
        <v>316</v>
      </c>
      <c r="M42" s="40">
        <v>100737691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83">
        <v>5775.01</v>
      </c>
      <c r="G43" s="92">
        <v>2706.66</v>
      </c>
      <c r="H43" s="83">
        <v>99320.62</v>
      </c>
      <c r="I43" s="39"/>
      <c r="J43" s="39"/>
      <c r="K43" s="45">
        <f>VLOOKUP(C43,'[9]Period 6. SEPT'!$A$2:$I$128,9,0)</f>
        <v>93545.6099999999</v>
      </c>
      <c r="L43" s="40" t="s">
        <v>305</v>
      </c>
      <c r="M43" s="40">
        <v>100734698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83">
        <f>8450-127.51</f>
        <v>8322.49</v>
      </c>
      <c r="G44" s="92">
        <v>37518.95</v>
      </c>
      <c r="H44" s="83">
        <v>318647.55</v>
      </c>
      <c r="I44" s="39"/>
      <c r="J44" s="40"/>
      <c r="K44" s="45">
        <f>VLOOKUP(C44,'[9]Period 6. SEPT'!$A$2:$I$128,9,0)</f>
        <v>310325.07</v>
      </c>
      <c r="L44" s="40" t="s">
        <v>303</v>
      </c>
      <c r="M44" s="40">
        <v>100733889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83">
        <v>859.34</v>
      </c>
      <c r="G45" s="92">
        <v>19305.65</v>
      </c>
      <c r="H45" s="83">
        <v>24026.14</v>
      </c>
      <c r="I45" s="39"/>
      <c r="J45" s="39"/>
      <c r="K45" s="45">
        <f>VLOOKUP(C45,'[9]Period 6. SEPT'!$A$2:$I$128,9,0)</f>
        <v>23166.8</v>
      </c>
      <c r="L45" s="40" t="s">
        <v>309</v>
      </c>
      <c r="M45" s="40">
        <v>100935963</v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87">
        <v>14227.7</v>
      </c>
      <c r="G46" s="92">
        <v>116562.2</v>
      </c>
      <c r="H46" s="83">
        <v>202932.92</v>
      </c>
      <c r="I46" s="39"/>
      <c r="J46" s="39"/>
      <c r="K46" s="45">
        <f>VLOOKUP(C46,'[9]Period 6. SEPT'!$A$2:$I$128,9,0)</f>
        <v>188705.22</v>
      </c>
      <c r="L46" s="40" t="s">
        <v>306</v>
      </c>
      <c r="M46" s="40">
        <v>100735162</v>
      </c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83">
        <f>4837.67-8.03</f>
        <v>4829.64</v>
      </c>
      <c r="G47" s="92">
        <v>-18606.23</v>
      </c>
      <c r="H47" s="83">
        <v>201692.97</v>
      </c>
      <c r="I47" s="39"/>
      <c r="J47" s="39"/>
      <c r="K47" s="45">
        <f>VLOOKUP(C47,'[9]Period 6. SEPT'!$A$2:$I$128,9,0)</f>
        <v>196863.33</v>
      </c>
      <c r="L47" s="40" t="s">
        <v>306</v>
      </c>
      <c r="M47" s="40">
        <v>100735181</v>
      </c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83">
        <v>11656.34</v>
      </c>
      <c r="G48" s="92">
        <v>121343.27</v>
      </c>
      <c r="H48" s="83">
        <v>153815.74</v>
      </c>
      <c r="I48" s="39"/>
      <c r="J48" s="39"/>
      <c r="K48" s="45">
        <f>VLOOKUP(C48,'[9]Period 6. SEPT'!$A$2:$I$128,9,0)</f>
        <v>142159.4</v>
      </c>
      <c r="L48" s="40" t="s">
        <v>305</v>
      </c>
      <c r="M48" s="40">
        <v>100734719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83">
        <v>3378.25</v>
      </c>
      <c r="G49" s="92">
        <v>-64735.48</v>
      </c>
      <c r="H49" s="83">
        <v>150899.5</v>
      </c>
      <c r="K49" s="45">
        <f>VLOOKUP(C49,'[9]Period 6. SEPT'!$A$2:$I$128,9,0)</f>
        <v>146664.15</v>
      </c>
      <c r="L49" s="40" t="s">
        <v>314</v>
      </c>
      <c r="M49" s="40">
        <v>100737395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83">
        <v>3445.12</v>
      </c>
      <c r="G50" s="92">
        <v>5134.73</v>
      </c>
      <c r="H50" s="83">
        <v>7190.83</v>
      </c>
      <c r="I50" s="39"/>
      <c r="J50" s="39"/>
      <c r="K50" s="45">
        <f>VLOOKUP(C50,'[9]Period 6. SEPT'!$A$2:$I$128,9,0)</f>
        <v>3745.71</v>
      </c>
      <c r="L50" s="40" t="s">
        <v>309</v>
      </c>
      <c r="M50" s="40">
        <v>100735974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83">
        <v>1623.51</v>
      </c>
      <c r="G51" s="92">
        <v>-13861.26</v>
      </c>
      <c r="H51" s="83">
        <v>116461.23</v>
      </c>
      <c r="I51" s="39"/>
      <c r="J51" s="39"/>
      <c r="K51" s="45">
        <f>VLOOKUP(C51,'[9]Period 6. SEPT'!$A$2:$I$128,9,0)</f>
        <v>114837.72</v>
      </c>
      <c r="L51" s="40" t="s">
        <v>314</v>
      </c>
      <c r="M51" s="40">
        <v>100737402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83">
        <v>472.61</v>
      </c>
      <c r="G52" s="92">
        <v>3495.96</v>
      </c>
      <c r="H52" s="83">
        <v>54130.55</v>
      </c>
      <c r="I52" s="39"/>
      <c r="J52" s="39"/>
      <c r="K52" s="45">
        <f>VLOOKUP(C52,'[9]Period 6. SEPT'!$A$2:$I$128,9,0)</f>
        <v>53657.94</v>
      </c>
      <c r="L52" s="40" t="s">
        <v>308</v>
      </c>
      <c r="M52" s="40">
        <v>100735546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6.5" thickBot="1">
      <c r="A53" s="37">
        <v>2042</v>
      </c>
      <c r="B53" s="37">
        <v>10079</v>
      </c>
      <c r="C53" s="47">
        <v>938180</v>
      </c>
      <c r="D53" s="40" t="s">
        <v>63</v>
      </c>
      <c r="E53" s="39"/>
      <c r="F53" s="83">
        <v>4853.65</v>
      </c>
      <c r="G53" s="92">
        <v>12594.44</v>
      </c>
      <c r="H53" s="83">
        <v>159849.81</v>
      </c>
      <c r="I53" s="39"/>
      <c r="J53" s="38"/>
      <c r="K53" s="45">
        <f>VLOOKUP(C53,'[9]Period 6. SEPT'!$A$2:$I$128,9,0)</f>
        <v>154996.16</v>
      </c>
      <c r="L53" s="40" t="s">
        <v>306</v>
      </c>
      <c r="M53" s="40">
        <v>100734764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64">
        <v>17948.27</v>
      </c>
      <c r="G54" s="92">
        <v>104490.26</v>
      </c>
      <c r="H54" s="64">
        <v>119955.23</v>
      </c>
      <c r="I54" s="38"/>
      <c r="J54" s="38"/>
      <c r="K54" s="45">
        <f>VLOOKUP(C54,'[9]Period 6. SEPT'!$A$2:$I$128,9,0)</f>
        <v>102006.96</v>
      </c>
      <c r="L54" s="40" t="s">
        <v>314</v>
      </c>
      <c r="M54" s="40">
        <v>100737414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83">
        <v>15240.75</v>
      </c>
      <c r="G55" s="92">
        <v>-32944.35</v>
      </c>
      <c r="H55" s="83">
        <v>192904.63</v>
      </c>
      <c r="I55" s="40"/>
      <c r="J55" s="40"/>
      <c r="K55" s="45">
        <f>VLOOKUP(C55,'[9]Period 6. SEPT'!$A$2:$I$128,9,0)</f>
        <v>177663.88</v>
      </c>
      <c r="L55" s="40" t="s">
        <v>311</v>
      </c>
      <c r="M55" s="40">
        <v>100736353</v>
      </c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87">
        <v>5986.62</v>
      </c>
      <c r="G56" s="92">
        <v>4469.62</v>
      </c>
      <c r="H56" s="83">
        <v>222252.24</v>
      </c>
      <c r="I56" s="39"/>
      <c r="J56" s="39"/>
      <c r="K56" s="45">
        <f>VLOOKUP(C56,'[9]Period 6. SEPT'!$A$2:$I$128,9,0)</f>
        <v>216265.62</v>
      </c>
      <c r="L56" s="40" t="s">
        <v>309</v>
      </c>
      <c r="M56" s="40">
        <v>100735607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83">
        <f>13718.31-39.33</f>
        <v>13678.98</v>
      </c>
      <c r="G57" s="92">
        <v>-2747.35</v>
      </c>
      <c r="H57" s="83">
        <v>197006.01</v>
      </c>
      <c r="I57" s="39"/>
      <c r="J57" s="39"/>
      <c r="K57" s="45">
        <f>VLOOKUP(C57,'[9]Period 6. SEPT'!$A$2:$I$128,9,0)</f>
        <v>183327.03</v>
      </c>
      <c r="L57" s="40" t="s">
        <v>306</v>
      </c>
      <c r="M57" s="40">
        <v>100735172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83">
        <f>12622.83-13.55</f>
        <v>12609.28</v>
      </c>
      <c r="G58" s="92">
        <v>-2894.52</v>
      </c>
      <c r="H58" s="83">
        <v>191194.74</v>
      </c>
      <c r="I58" s="39"/>
      <c r="J58" s="39"/>
      <c r="K58" s="45">
        <f>VLOOKUP(C58,'[9]Period 6. SEPT'!$A$2:$I$128,9,0)</f>
        <v>178585.46</v>
      </c>
      <c r="L58" s="40" t="s">
        <v>311</v>
      </c>
      <c r="M58" s="40">
        <v>100736370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83">
        <v>3032.32</v>
      </c>
      <c r="G59" s="92">
        <v>21352.71</v>
      </c>
      <c r="H59" s="83">
        <v>116332.02</v>
      </c>
      <c r="I59" s="39"/>
      <c r="J59" s="39"/>
      <c r="K59" s="45">
        <f>VLOOKUP(C59,'[9]Period 6. SEPT'!$A$2:$I$128,9,0)</f>
        <v>113299.7</v>
      </c>
      <c r="L59" s="40" t="s">
        <v>305</v>
      </c>
      <c r="M59" s="40">
        <v>100734728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83">
        <v>395.09</v>
      </c>
      <c r="G60" s="92">
        <v>9135.49</v>
      </c>
      <c r="H60" s="83">
        <v>2504.84</v>
      </c>
      <c r="I60" s="40"/>
      <c r="J60" s="40"/>
      <c r="K60" s="45">
        <f>VLOOKUP(C60,'[9]Period 6. SEPT'!$A$2:$I$128,9,0)</f>
        <v>2110.55</v>
      </c>
      <c r="L60" s="40" t="s">
        <v>316</v>
      </c>
      <c r="M60" s="40">
        <v>100737695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83">
        <f>10882.6-42.22</f>
        <v>10840.380000000001</v>
      </c>
      <c r="G61" s="92">
        <v>-33518.58</v>
      </c>
      <c r="H61" s="83">
        <v>85079.63</v>
      </c>
      <c r="I61" s="39"/>
      <c r="J61" s="39"/>
      <c r="K61" s="45">
        <f>VLOOKUP(C61,'[9]Period 6. SEPT'!$A$2:$I$128,9,0)</f>
        <v>74239.2500000001</v>
      </c>
      <c r="L61" s="40" t="s">
        <v>313</v>
      </c>
      <c r="M61" s="40">
        <v>100736371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83">
        <f>14491.74-12.41</f>
        <v>14479.33</v>
      </c>
      <c r="G62" s="92">
        <v>41853.41</v>
      </c>
      <c r="H62" s="83">
        <v>96881.88</v>
      </c>
      <c r="I62" s="39"/>
      <c r="J62" s="39"/>
      <c r="K62" s="45">
        <f>VLOOKUP(C62,'[9]Period 6. SEPT'!$A$2:$I$128,9,0)</f>
        <v>82402.55</v>
      </c>
      <c r="L62" s="100" t="s">
        <v>311</v>
      </c>
      <c r="M62" s="40">
        <v>100736356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83">
        <f>5372.73-22.03</f>
        <v>5350.7</v>
      </c>
      <c r="G63" s="92">
        <v>-37185.32</v>
      </c>
      <c r="H63" s="83">
        <v>273803.98</v>
      </c>
      <c r="I63" s="39"/>
      <c r="J63" s="39"/>
      <c r="K63" s="45">
        <f>VLOOKUP(C63,'[9]Period 6. SEPT'!$A$2:$I$128,9,0)</f>
        <v>268453.28</v>
      </c>
      <c r="L63" s="40" t="s">
        <v>309</v>
      </c>
      <c r="M63" s="40">
        <v>100735933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83">
        <v>7487.79</v>
      </c>
      <c r="G64" s="92">
        <v>34723.66</v>
      </c>
      <c r="H64" s="83">
        <v>205992.6</v>
      </c>
      <c r="I64" s="39"/>
      <c r="J64" s="39"/>
      <c r="K64" s="45">
        <f>VLOOKUP(C64,'[9]Period 6. SEPT'!$A$2:$I$128,9,0)</f>
        <v>198504.81</v>
      </c>
      <c r="L64" s="40" t="s">
        <v>303</v>
      </c>
      <c r="M64" s="40">
        <v>100733934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83">
        <f>3702.41-22.71</f>
        <v>3679.7</v>
      </c>
      <c r="G65" s="92">
        <v>21107.58</v>
      </c>
      <c r="H65" s="83">
        <v>192954.49</v>
      </c>
      <c r="I65" s="39"/>
      <c r="J65" s="39"/>
      <c r="K65" s="45">
        <f>VLOOKUP(C65,'[9]Period 6. SEPT'!$A$2:$I$128,9,0)</f>
        <v>189274.79</v>
      </c>
      <c r="L65" s="40" t="s">
        <v>303</v>
      </c>
      <c r="M65" s="40">
        <v>100733968</v>
      </c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83">
        <v>2010.81</v>
      </c>
      <c r="G66" s="92">
        <v>7031.7</v>
      </c>
      <c r="H66" s="83">
        <v>182059.89</v>
      </c>
      <c r="I66" s="39"/>
      <c r="J66" s="39"/>
      <c r="K66" s="45">
        <f>VLOOKUP(C66,'[9]Period 6. SEPT'!$A$2:$I$128,9,0)</f>
        <v>180049.08</v>
      </c>
      <c r="L66" s="40" t="s">
        <v>308</v>
      </c>
      <c r="M66" s="40">
        <v>100735556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83">
        <f>6899.21-39.26</f>
        <v>6859.95</v>
      </c>
      <c r="G67" s="92">
        <v>32586.49</v>
      </c>
      <c r="H67" s="139">
        <v>49857.79</v>
      </c>
      <c r="I67" s="39"/>
      <c r="J67" s="39"/>
      <c r="K67" s="45">
        <f>VLOOKUP(C67,'[9]Period 6. SEPT'!$A$2:$I$128,9,0)</f>
        <v>42997.84</v>
      </c>
      <c r="L67" s="40" t="s">
        <v>313</v>
      </c>
      <c r="M67" s="40">
        <v>100737694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83">
        <f>3485.05-181.16</f>
        <v>3303.8900000000003</v>
      </c>
      <c r="G68" s="92">
        <v>21018.13</v>
      </c>
      <c r="H68" s="83">
        <v>157504.71</v>
      </c>
      <c r="I68" s="40"/>
      <c r="J68" s="39"/>
      <c r="K68" s="45">
        <f>VLOOKUP(C68,'[9]Period 6. SEPT'!$A$2:$I$128,9,0)</f>
        <v>154019.66</v>
      </c>
      <c r="L68" s="40" t="s">
        <v>315</v>
      </c>
      <c r="M68" s="40">
        <v>100737444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83">
        <f>5183.02-8.42</f>
        <v>5174.6</v>
      </c>
      <c r="G69" s="92">
        <v>-8578.99</v>
      </c>
      <c r="H69" s="83">
        <v>146248.4</v>
      </c>
      <c r="I69" s="39"/>
      <c r="J69" s="39"/>
      <c r="K69" s="45">
        <f>VLOOKUP(C69,'[9]Period 6. SEPT'!$A$2:$I$128,9,0)</f>
        <v>141073.8</v>
      </c>
      <c r="L69" s="40" t="s">
        <v>306</v>
      </c>
      <c r="M69" s="40">
        <v>100735167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83">
        <v>3282.86</v>
      </c>
      <c r="G70" s="92">
        <v>48617.91</v>
      </c>
      <c r="H70" s="83">
        <v>155789.41</v>
      </c>
      <c r="I70" s="39"/>
      <c r="J70" s="39"/>
      <c r="K70" s="45">
        <f>VLOOKUP(C70,'[9]Period 6. SEPT'!$A$2:$I$128,9,0)</f>
        <v>152506.55</v>
      </c>
      <c r="L70" s="40" t="s">
        <v>311</v>
      </c>
      <c r="M70" s="40">
        <v>100736344</v>
      </c>
      <c r="N70" s="38"/>
      <c r="O70" s="60"/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83">
        <f>2146.26-22.33</f>
        <v>2123.9300000000003</v>
      </c>
      <c r="G71" s="92">
        <v>13075.77</v>
      </c>
      <c r="H71" s="83">
        <v>57338.99</v>
      </c>
      <c r="I71" s="39"/>
      <c r="J71" s="39"/>
      <c r="K71" s="45">
        <f>VLOOKUP(C71,'[9]Period 6. SEPT'!$A$2:$I$128,9,0)</f>
        <v>55215.06</v>
      </c>
      <c r="L71" s="40" t="s">
        <v>314</v>
      </c>
      <c r="M71" s="40">
        <v>100736848</v>
      </c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83">
        <f>3103.1-9.64</f>
        <v>3093.46</v>
      </c>
      <c r="G72" s="92">
        <v>10944.29</v>
      </c>
      <c r="H72" s="83">
        <v>116235.57</v>
      </c>
      <c r="I72" s="39"/>
      <c r="J72" s="39"/>
      <c r="K72" s="45">
        <f>VLOOKUP(C72,'[9]Period 6. SEPT'!$A$2:$I$128,9,0)</f>
        <v>113142.11</v>
      </c>
      <c r="L72" s="40" t="s">
        <v>309</v>
      </c>
      <c r="M72" s="40">
        <v>100735568</v>
      </c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83">
        <v>1940.8</v>
      </c>
      <c r="G73" s="92">
        <v>16130.9</v>
      </c>
      <c r="H73" s="83">
        <v>105498.93</v>
      </c>
      <c r="I73" s="39"/>
      <c r="J73" s="39"/>
      <c r="K73" s="45">
        <f>VLOOKUP(C73,'[9]Period 6. SEPT'!$A$2:$I$128,9,0)</f>
        <v>103558.13</v>
      </c>
      <c r="L73" s="40" t="s">
        <v>306</v>
      </c>
      <c r="M73" s="40">
        <v>100735196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83">
        <v>3505.44</v>
      </c>
      <c r="G74" s="92">
        <v>11713.31</v>
      </c>
      <c r="H74" s="83">
        <v>181706.06</v>
      </c>
      <c r="I74" s="39"/>
      <c r="J74" s="39"/>
      <c r="K74" s="45">
        <f>VLOOKUP(C74,'[9]Period 6. SEPT'!$A$2:$I$128,9,0)</f>
        <v>178200.62</v>
      </c>
      <c r="L74" s="40" t="s">
        <v>309</v>
      </c>
      <c r="M74" s="40">
        <v>100735944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83">
        <v>12134.18</v>
      </c>
      <c r="G75" s="92">
        <v>64634.27</v>
      </c>
      <c r="H75" s="83">
        <v>154789.39</v>
      </c>
      <c r="I75" s="40"/>
      <c r="J75" s="39"/>
      <c r="K75" s="45">
        <f>VLOOKUP(C75,'[9]Period 6. SEPT'!$A$2:$I$128,9,0)</f>
        <v>142655.21</v>
      </c>
      <c r="L75" s="40" t="s">
        <v>316</v>
      </c>
      <c r="M75" s="40">
        <v>100737693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83">
        <f>4121.99-4.21</f>
        <v>4117.78</v>
      </c>
      <c r="G76" s="92">
        <v>8506.22</v>
      </c>
      <c r="H76" s="83">
        <v>123254.28</v>
      </c>
      <c r="I76" s="39"/>
      <c r="J76" s="39"/>
      <c r="K76" s="45">
        <f>VLOOKUP(C76,'[9]Period 6. SEPT'!$A$2:$I$128,9,0)</f>
        <v>119136.5</v>
      </c>
      <c r="L76" s="40" t="s">
        <v>306</v>
      </c>
      <c r="M76" s="40">
        <v>100735184</v>
      </c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83">
        <f>2278.31-6.26</f>
        <v>2272.0499999999997</v>
      </c>
      <c r="G77" s="92">
        <v>-45301.76</v>
      </c>
      <c r="H77" s="83">
        <v>156301.94</v>
      </c>
      <c r="I77" s="39"/>
      <c r="J77" s="39"/>
      <c r="K77" s="45">
        <f>VLOOKUP(C77,'[9]Period 6. SEPT'!$A$2:$I$128,9,0)</f>
        <v>154029.89</v>
      </c>
      <c r="L77" s="40" t="s">
        <v>303</v>
      </c>
      <c r="M77" s="40">
        <v>100733897</v>
      </c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83">
        <v>2735.89</v>
      </c>
      <c r="G78" s="92">
        <v>7284.01</v>
      </c>
      <c r="H78" s="83">
        <v>102062.95</v>
      </c>
      <c r="I78" s="39"/>
      <c r="J78" s="39"/>
      <c r="K78" s="45">
        <f>VLOOKUP(C78,'[9]Period 6. SEPT'!$A$2:$I$128,9,0)</f>
        <v>99327.0600000001</v>
      </c>
      <c r="L78" s="40" t="s">
        <v>308</v>
      </c>
      <c r="M78" s="40">
        <v>100735543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87">
        <f>3957.25-0.3</f>
        <v>3956.95</v>
      </c>
      <c r="G79" s="92">
        <v>36154.26</v>
      </c>
      <c r="H79" s="83">
        <v>137616.04</v>
      </c>
      <c r="I79" s="40"/>
      <c r="J79" s="39"/>
      <c r="K79" s="45">
        <f>VLOOKUP(C79,'[9]Period 6. SEPT'!$A$2:$I$128,9,0)</f>
        <v>133659.09</v>
      </c>
      <c r="L79" s="40" t="s">
        <v>316</v>
      </c>
      <c r="M79" s="40">
        <v>100737692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87">
        <f>6126.2-28.63</f>
        <v>6097.57</v>
      </c>
      <c r="G80" s="92">
        <v>-79260.98</v>
      </c>
      <c r="H80" s="83">
        <v>331792.23</v>
      </c>
      <c r="I80" s="39"/>
      <c r="J80" s="40"/>
      <c r="K80" s="45">
        <f>VLOOKUP(C80,'[9]Period 6. SEPT'!$A$2:$I$128,9,0)</f>
        <v>325694.66</v>
      </c>
      <c r="L80" s="40" t="s">
        <v>311</v>
      </c>
      <c r="M80" s="40">
        <v>100736354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83">
        <f>4176.93-16.85</f>
        <v>4160.08</v>
      </c>
      <c r="G81" s="92">
        <v>4473.84</v>
      </c>
      <c r="H81" s="83">
        <v>148381.96</v>
      </c>
      <c r="I81" s="39"/>
      <c r="J81" s="39"/>
      <c r="K81" s="45">
        <f>VLOOKUP(C81,'[9]Period 6. SEPT'!$A$2:$I$128,9,0)</f>
        <v>144221.88</v>
      </c>
      <c r="L81" s="40" t="s">
        <v>313</v>
      </c>
      <c r="M81" s="40">
        <v>100736714</v>
      </c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83">
        <f>1946.47-3.97</f>
        <v>1942.5</v>
      </c>
      <c r="G82" s="92">
        <v>1702.9</v>
      </c>
      <c r="H82" s="83">
        <v>84568.1</v>
      </c>
      <c r="I82" s="39"/>
      <c r="J82" s="39"/>
      <c r="K82" s="45">
        <f>VLOOKUP(C82,'[9]Period 6. SEPT'!$A$2:$I$128,9,0)</f>
        <v>82625.5999999999</v>
      </c>
      <c r="L82" s="40" t="s">
        <v>305</v>
      </c>
      <c r="M82" s="40">
        <v>100734710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83">
        <f>3433.29-50.45</f>
        <v>3382.84</v>
      </c>
      <c r="G83" s="92">
        <v>26117.29</v>
      </c>
      <c r="H83" s="83">
        <v>64447.01</v>
      </c>
      <c r="I83" s="39"/>
      <c r="J83" s="39"/>
      <c r="K83" s="45">
        <f>VLOOKUP(C83,'[9]Period 6. SEPT'!$A$2:$I$128,9,0)</f>
        <v>61064.17</v>
      </c>
      <c r="L83" s="40" t="s">
        <v>308</v>
      </c>
      <c r="M83" s="40">
        <v>100735548</v>
      </c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83">
        <v>9214.78</v>
      </c>
      <c r="G84" s="92">
        <v>30271.56</v>
      </c>
      <c r="H84" s="83">
        <v>124266.59</v>
      </c>
      <c r="I84" s="39"/>
      <c r="J84" s="39"/>
      <c r="K84" s="45">
        <f>VLOOKUP(C84,'[9]Period 6. SEPT'!$A$2:$I$128,9,0)</f>
        <v>115051.81</v>
      </c>
      <c r="L84" s="40" t="s">
        <v>308</v>
      </c>
      <c r="M84" s="40">
        <v>100735541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83">
        <v>1165.43</v>
      </c>
      <c r="G85" s="92">
        <v>-38833.63</v>
      </c>
      <c r="H85" s="83">
        <v>176912.5</v>
      </c>
      <c r="I85" s="39"/>
      <c r="J85" s="39"/>
      <c r="K85" s="45">
        <f>VLOOKUP(C85,'[9]Period 6. SEPT'!$A$2:$I$128,9,0)</f>
        <v>175747.07</v>
      </c>
      <c r="L85" s="40" t="s">
        <v>305</v>
      </c>
      <c r="M85" s="40">
        <v>100734398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83">
        <f>11247.53-5.17</f>
        <v>11242.36</v>
      </c>
      <c r="G86" s="92">
        <v>-24011.56</v>
      </c>
      <c r="H86" s="83">
        <v>340883.13</v>
      </c>
      <c r="I86" s="39"/>
      <c r="J86" s="39"/>
      <c r="K86" s="45">
        <f>VLOOKUP(C86,'[9]Period 6. SEPT'!$A$2:$I$128,9,0)</f>
        <v>329640.76</v>
      </c>
      <c r="L86" s="40" t="s">
        <v>315</v>
      </c>
      <c r="M86" s="40">
        <v>100737433</v>
      </c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83">
        <f>12746.66-22.52</f>
        <v>12724.14</v>
      </c>
      <c r="G87" s="92">
        <v>3081.2</v>
      </c>
      <c r="H87" s="83">
        <v>444895.47</v>
      </c>
      <c r="I87" s="39"/>
      <c r="J87" s="39"/>
      <c r="K87" s="45">
        <f>VLOOKUP(C87,'[9]Period 6. SEPT'!$A$2:$I$128,9,0)</f>
        <v>432171.33</v>
      </c>
      <c r="L87" s="40" t="s">
        <v>311</v>
      </c>
      <c r="M87" s="40">
        <v>100736349</v>
      </c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83">
        <f>12989.92-6.77</f>
        <v>12983.15</v>
      </c>
      <c r="G88" s="92">
        <v>142908.46</v>
      </c>
      <c r="H88" s="83">
        <v>163134.34</v>
      </c>
      <c r="I88" s="39"/>
      <c r="J88" s="39"/>
      <c r="K88" s="45">
        <f>VLOOKUP(C88,'[9]Period 6. SEPT'!$A$2:$I$128,9,0)</f>
        <v>150151.19</v>
      </c>
      <c r="L88" s="40" t="s">
        <v>303</v>
      </c>
      <c r="M88" s="40">
        <v>100733901</v>
      </c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83">
        <f>3374.63-11.02</f>
        <v>3363.61</v>
      </c>
      <c r="G89" s="92">
        <v>-8627.36</v>
      </c>
      <c r="H89" s="83">
        <v>205131.96</v>
      </c>
      <c r="I89" s="39"/>
      <c r="J89" s="39"/>
      <c r="K89" s="45">
        <f>VLOOKUP(C89,'[9]Period 6. SEPT'!$A$2:$I$128,9,0)</f>
        <v>201768.35</v>
      </c>
      <c r="L89" s="40" t="s">
        <v>314</v>
      </c>
      <c r="M89" s="40">
        <v>100736822</v>
      </c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6.5" thickBot="1">
      <c r="A90" s="37">
        <v>5406</v>
      </c>
      <c r="B90" s="37">
        <v>10136</v>
      </c>
      <c r="C90" s="47">
        <v>938530</v>
      </c>
      <c r="D90" s="40" t="s">
        <v>96</v>
      </c>
      <c r="E90" s="39"/>
      <c r="F90" s="156">
        <f>26790.19-17.68</f>
        <v>26772.51</v>
      </c>
      <c r="G90" s="144">
        <v>-116062.57</v>
      </c>
      <c r="H90" s="156">
        <v>429687</v>
      </c>
      <c r="I90" s="136" t="s">
        <v>343</v>
      </c>
      <c r="J90" s="157"/>
      <c r="K90" s="156">
        <f>VLOOKUP(C90,'[9]Period 6. SEPT'!$A$2:$I$128,9,0)</f>
        <v>286851.92</v>
      </c>
      <c r="L90" s="136" t="s">
        <v>342</v>
      </c>
      <c r="M90" s="136">
        <v>100753441</v>
      </c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83">
        <v>19974.11</v>
      </c>
      <c r="G91" s="92">
        <v>-87269.77</v>
      </c>
      <c r="H91" s="83">
        <v>265534.52</v>
      </c>
      <c r="I91" s="39"/>
      <c r="J91" s="39"/>
      <c r="K91" s="45">
        <f>VLOOKUP(C91,'[9]Period 6. SEPT'!$A$2:$I$128,9,0)</f>
        <v>245560.41</v>
      </c>
      <c r="L91" s="40" t="s">
        <v>315</v>
      </c>
      <c r="M91" s="40">
        <v>100737419</v>
      </c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83">
        <v>34389.58</v>
      </c>
      <c r="G92" s="92">
        <v>251849.44</v>
      </c>
      <c r="H92" s="83">
        <v>331629.46</v>
      </c>
      <c r="I92" s="39"/>
      <c r="J92" s="39"/>
      <c r="K92" s="45">
        <f>VLOOKUP(C92,'[9]Period 6. SEPT'!$A$2:$I$128,9,0)</f>
        <v>297239.88</v>
      </c>
      <c r="L92" s="40" t="s">
        <v>303</v>
      </c>
      <c r="M92" s="40">
        <v>100733891</v>
      </c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6.5" thickBot="1">
      <c r="A93" s="37">
        <v>4215</v>
      </c>
      <c r="B93" s="37">
        <v>10138</v>
      </c>
      <c r="C93" s="47">
        <v>938475</v>
      </c>
      <c r="D93" s="40" t="s">
        <v>99</v>
      </c>
      <c r="E93" s="39"/>
      <c r="F93" s="83">
        <f>30982.99-239.95</f>
        <v>30743.04</v>
      </c>
      <c r="G93" s="92">
        <v>-338959.43</v>
      </c>
      <c r="H93" s="83">
        <v>1050961.12</v>
      </c>
      <c r="I93" s="39"/>
      <c r="J93" s="39"/>
      <c r="K93" s="45">
        <f>VLOOKUP(C93,'[9]Period 6. SEPT'!$A$2:$I$128,9,0)</f>
        <v>1020218.08</v>
      </c>
      <c r="L93" s="40" t="s">
        <v>314</v>
      </c>
      <c r="M93" s="40">
        <v>100737410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83">
        <f>40243.3-29.41</f>
        <v>40213.89</v>
      </c>
      <c r="G94" s="92">
        <v>-32745.22</v>
      </c>
      <c r="H94" s="83">
        <v>1088419.81</v>
      </c>
      <c r="I94" s="39"/>
      <c r="J94" s="39"/>
      <c r="K94" s="45">
        <f>VLOOKUP(C94,'[9]Period 6. SEPT'!$A$2:$I$128,9,0)</f>
        <v>1048205.92</v>
      </c>
      <c r="L94" s="40" t="s">
        <v>311</v>
      </c>
      <c r="M94" s="40">
        <v>100735981</v>
      </c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83">
        <f>34667.75-234.14</f>
        <v>34433.61</v>
      </c>
      <c r="G95" s="92">
        <v>11188.9</v>
      </c>
      <c r="H95" s="83">
        <v>678099.9</v>
      </c>
      <c r="I95" s="40"/>
      <c r="J95" s="39"/>
      <c r="K95" s="45">
        <f>VLOOKUP(C95,'[9]Period 6. SEPT'!$A$2:$I$128,9,0)</f>
        <v>643666.290000001</v>
      </c>
      <c r="L95" s="40" t="s">
        <v>315</v>
      </c>
      <c r="M95" s="40">
        <v>100737450</v>
      </c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83">
        <v>65863.48</v>
      </c>
      <c r="G96" s="92">
        <v>738085.23</v>
      </c>
      <c r="H96" s="83">
        <v>869654.92</v>
      </c>
      <c r="I96" s="39"/>
      <c r="J96" s="39"/>
      <c r="K96" s="45">
        <f>VLOOKUP(C96,'[9]Period 6. SEPT'!$A$2:$I$128,9,0)</f>
        <v>803791.44</v>
      </c>
      <c r="L96" s="40" t="s">
        <v>313</v>
      </c>
      <c r="M96" s="40">
        <v>100736783</v>
      </c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83">
        <f>41283.79-27.14</f>
        <v>41256.65</v>
      </c>
      <c r="G97" s="92">
        <v>-285785.62</v>
      </c>
      <c r="H97" s="83">
        <v>418517.48</v>
      </c>
      <c r="I97" s="39"/>
      <c r="J97" s="39"/>
      <c r="K97" s="45">
        <f>VLOOKUP(C97,'[9]Period 6. SEPT'!$A$2:$I$128,9,0)</f>
        <v>377260.83</v>
      </c>
      <c r="L97" s="40" t="s">
        <v>309</v>
      </c>
      <c r="M97" s="40">
        <v>100735951</v>
      </c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83">
        <v>11116.61</v>
      </c>
      <c r="G98" s="92">
        <v>-41960.63</v>
      </c>
      <c r="H98" s="83">
        <v>104292.15</v>
      </c>
      <c r="I98" s="39"/>
      <c r="J98" s="39"/>
      <c r="K98" s="45">
        <f>VLOOKUP(C98,'[9]Period 6. SEPT'!$A$2:$I$128,9,0)</f>
        <v>93175.54</v>
      </c>
      <c r="L98" s="40" t="s">
        <v>314</v>
      </c>
      <c r="M98" s="40">
        <v>100737397</v>
      </c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83">
        <v>30620.42</v>
      </c>
      <c r="G99" s="92">
        <v>-120602</v>
      </c>
      <c r="H99" s="83">
        <v>657591.33</v>
      </c>
      <c r="I99" s="39"/>
      <c r="J99" s="40"/>
      <c r="K99" s="45">
        <f>VLOOKUP(C99,'[9]Period 6. SEPT'!$A$2:$I$128,9,0)</f>
        <v>626970.91</v>
      </c>
      <c r="L99" s="40" t="s">
        <v>311</v>
      </c>
      <c r="M99" s="113">
        <v>100736351</v>
      </c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83">
        <v>11775.45</v>
      </c>
      <c r="G100" s="92">
        <v>58380.6</v>
      </c>
      <c r="H100" s="83">
        <v>137107.1</v>
      </c>
      <c r="I100" s="38"/>
      <c r="J100" s="92"/>
      <c r="K100" s="45">
        <f>VLOOKUP(C100,'[9]Period 6. SEPT'!$A$2:$I$128,9,0)</f>
        <v>125331.65</v>
      </c>
      <c r="L100" s="40" t="s">
        <v>311</v>
      </c>
      <c r="M100" s="113">
        <v>100735996</v>
      </c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83">
        <v>1425.86</v>
      </c>
      <c r="G101" s="92">
        <v>-353413.01</v>
      </c>
      <c r="H101" s="83">
        <v>431526.76</v>
      </c>
      <c r="I101" s="38"/>
      <c r="J101" s="92"/>
      <c r="K101" s="45">
        <f>VLOOKUP(C101,'[9]Period 6. SEPT'!$A$2:$I$128,9,0)</f>
        <v>430100.9</v>
      </c>
      <c r="L101" s="40" t="s">
        <v>314</v>
      </c>
      <c r="M101" s="113">
        <v>100736806</v>
      </c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83">
        <v>48816.98</v>
      </c>
      <c r="G102" s="92">
        <v>-1010.08</v>
      </c>
      <c r="H102" s="83">
        <v>1065934.01</v>
      </c>
      <c r="I102" s="39"/>
      <c r="J102" s="39"/>
      <c r="K102" s="45">
        <f>VLOOKUP(C102,'[9]Period 6. SEPT'!$A$2:$I$128,9,0)</f>
        <v>1017117.03</v>
      </c>
      <c r="L102" s="40" t="s">
        <v>309</v>
      </c>
      <c r="M102" s="40">
        <v>100735606</v>
      </c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87">
        <f>20378.85-25.69</f>
        <v>20353.16</v>
      </c>
      <c r="G103" s="92">
        <v>-161976.19</v>
      </c>
      <c r="H103" s="83">
        <v>543045.13</v>
      </c>
      <c r="I103" s="39"/>
      <c r="J103" s="39"/>
      <c r="K103" s="45">
        <f>VLOOKUP(C103,'[9]Period 6. SEPT'!$A$2:$I$128,9,0)</f>
        <v>522691.97</v>
      </c>
      <c r="L103" s="40" t="s">
        <v>309</v>
      </c>
      <c r="M103" s="40">
        <v>100735959</v>
      </c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39"/>
      <c r="F104" s="83">
        <v>12532.81</v>
      </c>
      <c r="G104" s="92">
        <v>-10679.69</v>
      </c>
      <c r="H104" s="83">
        <v>310683.04</v>
      </c>
      <c r="I104" s="40"/>
      <c r="J104" s="39"/>
      <c r="K104" s="45">
        <f>VLOOKUP(C104,'[9]Period 6. SEPT'!$A$2:$I$128,9,0)</f>
        <v>298150.23</v>
      </c>
      <c r="L104" s="40" t="s">
        <v>317</v>
      </c>
      <c r="M104" s="113">
        <v>100738200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83">
        <v>18342.49</v>
      </c>
      <c r="G105" s="92">
        <v>-299467.93</v>
      </c>
      <c r="H105" s="83">
        <v>1376987.85</v>
      </c>
      <c r="I105" s="39"/>
      <c r="J105" s="39"/>
      <c r="K105" s="45">
        <f>VLOOKUP(C105,'[9]Period 6. SEPT'!$A$2:$I$128,9,0)</f>
        <v>1358645.36</v>
      </c>
      <c r="L105" s="40" t="s">
        <v>311</v>
      </c>
      <c r="M105" s="40">
        <v>100735986</v>
      </c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83">
        <f>12207.41-87.74</f>
        <v>12119.67</v>
      </c>
      <c r="G106" s="92">
        <v>-171401.4</v>
      </c>
      <c r="H106" s="83">
        <v>461989.47</v>
      </c>
      <c r="I106" s="39"/>
      <c r="J106" s="39"/>
      <c r="K106" s="45">
        <f>VLOOKUP(C106,'[9]Period 6. SEPT'!$A$2:$I$128,9,0)</f>
        <v>449869.8</v>
      </c>
      <c r="L106" s="40" t="s">
        <v>311</v>
      </c>
      <c r="M106" s="40">
        <v>100735979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83">
        <v>9756.17</v>
      </c>
      <c r="G107" s="92">
        <v>763911.99</v>
      </c>
      <c r="H107" s="83">
        <v>146895.99</v>
      </c>
      <c r="I107" s="39"/>
      <c r="J107" s="92"/>
      <c r="K107" s="45">
        <f>VLOOKUP(C107,'[9]Period 6. SEPT'!$A$2:$I$128,9,0)</f>
        <v>137139.82</v>
      </c>
      <c r="L107" s="40" t="s">
        <v>302</v>
      </c>
      <c r="M107" s="40">
        <v>100732244</v>
      </c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83">
        <f>4552.49-109.78</f>
        <v>4442.71</v>
      </c>
      <c r="G108" s="92">
        <v>-29061.87</v>
      </c>
      <c r="H108" s="83">
        <v>207957.41</v>
      </c>
      <c r="I108" s="39"/>
      <c r="J108" s="39"/>
      <c r="K108" s="45">
        <f>VLOOKUP(C108,'[9]Period 6. SEPT'!$A$2:$I$128,9,0)</f>
        <v>203514.7</v>
      </c>
      <c r="L108" s="38" t="s">
        <v>313</v>
      </c>
      <c r="M108" s="40">
        <v>100736709</v>
      </c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83">
        <f>65524.35-2.48</f>
        <v>65521.869999999995</v>
      </c>
      <c r="G109" s="92">
        <v>-471283.48</v>
      </c>
      <c r="H109" s="83">
        <v>823468.35</v>
      </c>
      <c r="I109" s="39"/>
      <c r="J109" s="39"/>
      <c r="K109" s="45">
        <f>VLOOKUP(C109,'[9]Period 6. SEPT'!$A$2:$I$128,9,0)</f>
        <v>757946.48</v>
      </c>
      <c r="L109" s="40" t="s">
        <v>309</v>
      </c>
      <c r="M109" s="40">
        <v>100735935</v>
      </c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83">
        <f>5272.34-2.98</f>
        <v>5269.360000000001</v>
      </c>
      <c r="G110" s="92">
        <v>-22184</v>
      </c>
      <c r="H110" s="83">
        <v>344147.55</v>
      </c>
      <c r="I110" s="39"/>
      <c r="J110" s="39"/>
      <c r="K110" s="45">
        <f>VLOOKUP(C110,'[9]Period 6. SEPT'!$A$2:$I$128,9,0)</f>
        <v>338878.19</v>
      </c>
      <c r="L110" s="40" t="s">
        <v>306</v>
      </c>
      <c r="M110" s="40">
        <v>100734776</v>
      </c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83">
        <f>2383.46-3.66</f>
        <v>2379.8</v>
      </c>
      <c r="G111" s="92">
        <v>11350.06</v>
      </c>
      <c r="H111" s="83">
        <v>198283.42</v>
      </c>
      <c r="I111" s="39"/>
      <c r="J111" s="146" t="s">
        <v>248</v>
      </c>
      <c r="K111" s="45">
        <f>VLOOKUP(C111,'[9]Period 6. SEPT'!$A$2:$I$128,9,0)</f>
        <v>195903.62</v>
      </c>
      <c r="L111" s="40" t="s">
        <v>306</v>
      </c>
      <c r="M111" s="40" t="s">
        <v>307</v>
      </c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83">
        <f>6229.92-22.88</f>
        <v>6207.04</v>
      </c>
      <c r="G112" s="92">
        <v>-104819.15</v>
      </c>
      <c r="H112" s="83">
        <v>500982.68</v>
      </c>
      <c r="I112" s="39"/>
      <c r="J112" s="39"/>
      <c r="K112" s="45">
        <f>VLOOKUP(C112,'[9]Period 6. SEPT'!$A$2:$I$128,9,0)</f>
        <v>494775.64</v>
      </c>
      <c r="L112" s="40" t="s">
        <v>306</v>
      </c>
      <c r="M112" s="40">
        <v>100735205</v>
      </c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83">
        <v>15731.92</v>
      </c>
      <c r="G113" s="92">
        <v>104586.19</v>
      </c>
      <c r="H113" s="83">
        <v>92290.77</v>
      </c>
      <c r="I113" s="39"/>
      <c r="J113" s="39"/>
      <c r="K113" s="45">
        <f>VLOOKUP(C113,'[9]Period 6. SEPT'!$A$2:$I$128,9,0)</f>
        <v>76558.8499999999</v>
      </c>
      <c r="L113" s="40" t="s">
        <v>313</v>
      </c>
      <c r="M113" s="40">
        <v>100736727</v>
      </c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83">
        <v>2219.81</v>
      </c>
      <c r="G114" s="92">
        <v>16492.95</v>
      </c>
      <c r="H114" s="83">
        <v>163260.75</v>
      </c>
      <c r="I114" s="39"/>
      <c r="J114" s="39"/>
      <c r="K114" s="45">
        <f>VLOOKUP(C114,'[9]Period 6. SEPT'!$A$2:$I$128,9,0)</f>
        <v>161040.94</v>
      </c>
      <c r="L114" s="40" t="s">
        <v>306</v>
      </c>
      <c r="M114" s="40">
        <v>100735187</v>
      </c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1:24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83">
        <v>762.39</v>
      </c>
      <c r="G115" s="92">
        <v>-3003.83</v>
      </c>
      <c r="H115" s="83">
        <v>184263.28</v>
      </c>
      <c r="I115" s="39"/>
      <c r="J115" s="146" t="s">
        <v>248</v>
      </c>
      <c r="K115" s="45">
        <f>VLOOKUP(C115,'[9]Period 6. SEPT'!$A$2:$I$128,9,0)</f>
        <v>183500.89</v>
      </c>
      <c r="L115" s="40" t="s">
        <v>303</v>
      </c>
      <c r="M115" s="40" t="s">
        <v>312</v>
      </c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83">
        <v>5040.06</v>
      </c>
      <c r="G116" s="92">
        <v>22815.04</v>
      </c>
      <c r="H116" s="83">
        <v>159298.07</v>
      </c>
      <c r="K116" s="45">
        <f>VLOOKUP(C116,'[9]Period 6. SEPT'!$A$2:$I$128,9,0)</f>
        <v>154258.01</v>
      </c>
      <c r="L116" s="40" t="s">
        <v>314</v>
      </c>
      <c r="M116" s="40">
        <v>100737396</v>
      </c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83">
        <v>1043.98</v>
      </c>
      <c r="G117" s="92">
        <v>6733.84</v>
      </c>
      <c r="H117" s="83">
        <v>141238.79</v>
      </c>
      <c r="I117" s="39"/>
      <c r="J117" s="39"/>
      <c r="K117" s="45">
        <f>VLOOKUP(C117,'[9]Period 6. SEPT'!$A$2:$I$128,9,0)</f>
        <v>140194.81</v>
      </c>
      <c r="L117" s="40" t="s">
        <v>306</v>
      </c>
      <c r="M117" s="40">
        <v>100735207</v>
      </c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ht="15.75">
      <c r="B118" s="38"/>
      <c r="C118" s="42"/>
      <c r="D118" s="43" t="s">
        <v>139</v>
      </c>
      <c r="E118" s="92">
        <f>SUM(E3:E117)</f>
        <v>0</v>
      </c>
      <c r="F118" s="96">
        <f>SUM(F3:F117)+I118</f>
        <v>1181869.57</v>
      </c>
      <c r="G118" s="96">
        <f>SUM(G3:G117)</f>
        <v>786600.2699999991</v>
      </c>
      <c r="H118" s="96">
        <f>SUM(H3:H117)</f>
        <v>27488566.630000006</v>
      </c>
      <c r="I118" s="96">
        <f>SUM(I3:I117)</f>
        <v>0</v>
      </c>
      <c r="J118" s="96">
        <f>SUM(J3:J117)</f>
        <v>0</v>
      </c>
      <c r="K118" s="45">
        <f>SUM(K3:K117)</f>
        <v>26189300.18000001</v>
      </c>
      <c r="L118" s="96"/>
      <c r="M118" s="42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ht="15.75">
      <c r="B119" s="38"/>
      <c r="C119" s="42"/>
      <c r="D119" s="41"/>
      <c r="E119" s="39"/>
      <c r="F119" s="99"/>
      <c r="G119" s="99"/>
      <c r="H119" s="99"/>
      <c r="I119" s="39"/>
      <c r="J119" s="39"/>
      <c r="K119" s="39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3:24" ht="15.75">
      <c r="C120" s="1">
        <f>COUNT(C3:C117)</f>
        <v>115</v>
      </c>
      <c r="D120" s="86">
        <f>COUNT(A3:A117)-COUNTA(M3:M117)</f>
        <v>0</v>
      </c>
      <c r="E120" s="38"/>
      <c r="F120" s="37" t="s">
        <v>175</v>
      </c>
      <c r="G120" s="38"/>
      <c r="H120" s="38"/>
      <c r="I120" s="38"/>
      <c r="J120" s="64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4:24" ht="15.75">
      <c r="D121" s="86">
        <f>C120-D120</f>
        <v>115</v>
      </c>
      <c r="E121" s="38"/>
      <c r="F121" s="38" t="s">
        <v>174</v>
      </c>
      <c r="G121" s="38"/>
      <c r="H121" s="38"/>
      <c r="I121" s="38"/>
      <c r="J121" s="38"/>
      <c r="K121" s="9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4:24" ht="15.75">
      <c r="D122" s="41"/>
      <c r="F122" s="40"/>
      <c r="G122" s="40"/>
      <c r="H122" s="40"/>
      <c r="I122" s="38"/>
      <c r="J122" s="38"/>
      <c r="K122" s="85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4:24" ht="15.75">
      <c r="D123" s="38"/>
      <c r="F123" s="40"/>
      <c r="G123" s="40"/>
      <c r="H123" s="40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4:24" ht="15.75">
      <c r="D124" s="37" t="s">
        <v>346</v>
      </c>
      <c r="F124" s="156">
        <f>26790.19-17.68</f>
        <v>26772.51</v>
      </c>
      <c r="G124" s="40"/>
      <c r="H124" s="40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6:24" ht="15.75">
      <c r="F125" s="40"/>
      <c r="G125" s="40"/>
      <c r="H125" s="40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6:24" ht="15.75">
      <c r="F126" s="40"/>
      <c r="G126" s="40"/>
      <c r="H126" s="40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6:24" ht="15.75">
      <c r="F127" s="40"/>
      <c r="G127" s="40"/>
      <c r="H127" s="40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6:24" ht="15.75">
      <c r="F128" s="40"/>
      <c r="G128" s="40"/>
      <c r="H128" s="40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6:24" ht="15.75">
      <c r="F129" s="40"/>
      <c r="G129" s="40"/>
      <c r="H129" s="40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6:24" ht="15.75">
      <c r="F130" s="40"/>
      <c r="G130" s="40"/>
      <c r="H130" s="40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6:24" ht="15.75">
      <c r="F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6:24" ht="15.75">
      <c r="F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6:24" ht="15.75">
      <c r="F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6:24" ht="15.75">
      <c r="F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6:24" ht="15.75">
      <c r="F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6:24" ht="15.75">
      <c r="F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6:24" ht="15.75">
      <c r="F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6:24" ht="15.75">
      <c r="F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6:24" ht="15.75">
      <c r="F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6:24" ht="15.75">
      <c r="F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6:24" ht="15.75">
      <c r="F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6:24" ht="15.75">
      <c r="F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6:24" ht="15.75"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6:24" ht="15.75"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6:24" ht="15.75"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6:24" ht="15.75"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6:24" ht="15.75">
      <c r="F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6:24" ht="15.75">
      <c r="F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6:24" ht="15.75">
      <c r="F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6:24" ht="15.75">
      <c r="F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6:24" ht="15.75">
      <c r="F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6:24" ht="15.75">
      <c r="F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6:24" ht="15.75">
      <c r="F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6:24" ht="15.75">
      <c r="F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6:24" ht="15.75">
      <c r="F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6:24" ht="15.75">
      <c r="F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6:24" ht="15.75">
      <c r="F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6:24" ht="15.75">
      <c r="F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6:24" ht="15.75">
      <c r="F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6:24" ht="15.75">
      <c r="F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6:24" ht="15.75">
      <c r="F161" s="40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6:24" ht="15.75">
      <c r="F162" s="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6:24" ht="15.75">
      <c r="F163" s="40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6:24" ht="15.75">
      <c r="F164" s="40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6:24" ht="15.75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6:24" ht="15.75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6:24" ht="15.75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6:24" ht="15.75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6:24" ht="15.75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6:24" ht="15.75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6:24" ht="15.75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6:24" ht="15.75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6:24" ht="15.75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6:24" ht="15.75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6:24" ht="15.75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6:24" ht="15.75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6:24" ht="15.75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6:24" ht="15.75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6:24" ht="15.75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6:24" ht="15.75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6:24" ht="15.75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6:24" ht="15.75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6:24" ht="15.75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6:24" ht="15.75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6:24" ht="15.75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6:24" ht="15.75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6:24" ht="15.75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6:24" ht="15.75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6:24" ht="15.75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6:24" ht="15.75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6:24" ht="15.75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6:24" ht="15.75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6:24" ht="15.75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6:24" ht="15.75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6:24" ht="15.75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</sheetData>
  <sheetProtection/>
  <autoFilter ref="A2:IV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F56 F103 F79:F80 F46 J33 F19 E118:F118 F40 L118 H118:J118 J100:J101 J107 J38 F5 G3:G118">
    <cfRule type="cellIs" priority="1" dxfId="1" operator="lessThan" stopIfTrue="1">
      <formula>0</formula>
    </cfRule>
  </conditionalFormatting>
  <conditionalFormatting sqref="D3:D48 D50:D117">
    <cfRule type="expression" priority="2" dxfId="2" stopIfTrue="1">
      <formula>M3&lt;1</formula>
    </cfRule>
  </conditionalFormatting>
  <conditionalFormatting sqref="D49">
    <cfRule type="expression" priority="3" dxfId="2" stopIfTrue="1">
      <formula>#REF!&lt;1</formula>
    </cfRule>
  </conditionalFormatting>
  <printOptions/>
  <pageMargins left="0.75" right="0.75" top="1" bottom="1" header="0.5" footer="0.5"/>
  <pageSetup cellComments="asDisplayed" fitToHeight="1" fitToWidth="1" horizontalDpi="600" verticalDpi="600" orientation="landscape" paperSize="9" scale="22" r:id="rId3"/>
  <rowBreaks count="2" manualBreakCount="2">
    <brk id="38" max="7" man="1"/>
    <brk id="81" max="7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33"/>
  </sheetPr>
  <dimension ref="A1:S214"/>
  <sheetViews>
    <sheetView zoomScale="75" zoomScaleNormal="75" zoomScaleSheetLayoutView="70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2.99609375" style="37" bestFit="1" customWidth="1"/>
    <col min="5" max="5" width="0.55078125" style="37" customWidth="1"/>
    <col min="6" max="6" width="14.4453125" style="37" customWidth="1"/>
    <col min="7" max="8" width="15.5546875" style="37" customWidth="1"/>
    <col min="9" max="9" width="11.99609375" style="37" customWidth="1"/>
    <col min="10" max="10" width="11.77734375" style="37" customWidth="1"/>
    <col min="11" max="11" width="18.6640625" style="37" customWidth="1"/>
    <col min="12" max="12" width="11.88671875" style="37" customWidth="1"/>
    <col min="13" max="13" width="21.10546875" style="37" customWidth="1"/>
    <col min="14" max="14" width="6.6640625" style="37" customWidth="1"/>
    <col min="15" max="16384" width="8.88671875" style="37" customWidth="1"/>
  </cols>
  <sheetData>
    <row r="1" spans="1:13" s="59" customFormat="1" ht="15.75">
      <c r="A1" s="56" t="s">
        <v>118</v>
      </c>
      <c r="B1" s="56" t="s">
        <v>120</v>
      </c>
      <c r="C1" s="56" t="s">
        <v>171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5.75">
      <c r="A2" s="57" t="s">
        <v>119</v>
      </c>
      <c r="B2" s="57" t="s">
        <v>137</v>
      </c>
      <c r="C2" s="57" t="s">
        <v>172</v>
      </c>
      <c r="D2" s="57" t="s">
        <v>254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19" s="59" customFormat="1" ht="15.75">
      <c r="A3" s="37">
        <v>3520</v>
      </c>
      <c r="B3" s="36">
        <v>11094</v>
      </c>
      <c r="C3" s="22">
        <v>938585</v>
      </c>
      <c r="D3" s="40" t="s">
        <v>176</v>
      </c>
      <c r="E3" s="39"/>
      <c r="F3" s="83"/>
      <c r="G3" s="92"/>
      <c r="H3" s="83"/>
      <c r="I3" s="39"/>
      <c r="J3" s="39"/>
      <c r="K3" s="96">
        <f>VLOOKUP(C3,'[8]PERIOD 5 AUG'!$A$2:$I$128,9,0)</f>
        <v>107338.82</v>
      </c>
      <c r="L3" s="40"/>
      <c r="M3" s="40"/>
      <c r="N3" s="38"/>
      <c r="O3" s="38"/>
      <c r="P3" s="38"/>
      <c r="Q3" s="38"/>
      <c r="R3" s="38"/>
      <c r="S3" s="38"/>
    </row>
    <row r="4" spans="1:13" s="38" customFormat="1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83">
        <f>2339.19-16</f>
        <v>2323.19</v>
      </c>
      <c r="G4" s="92">
        <v>13763.61</v>
      </c>
      <c r="H4" s="83">
        <v>137106.46</v>
      </c>
      <c r="I4" s="39"/>
      <c r="J4" s="39"/>
      <c r="K4" s="96">
        <f>VLOOKUP(C4,'[8]PERIOD 5 AUG'!$A$2:$I$128,9,0)</f>
        <v>134783.42</v>
      </c>
      <c r="L4" s="40" t="s">
        <v>297</v>
      </c>
      <c r="M4" s="40">
        <v>100728540</v>
      </c>
    </row>
    <row r="5" spans="1:13" s="38" customFormat="1" ht="16.5" thickBot="1">
      <c r="A5" s="37">
        <v>3300</v>
      </c>
      <c r="B5" s="37">
        <v>10040</v>
      </c>
      <c r="C5" s="47">
        <v>938282</v>
      </c>
      <c r="D5" s="40" t="s">
        <v>17</v>
      </c>
      <c r="E5" s="39"/>
      <c r="F5" s="83"/>
      <c r="G5" s="92"/>
      <c r="H5" s="83"/>
      <c r="I5" s="39"/>
      <c r="J5" s="39"/>
      <c r="K5" s="96">
        <f>VLOOKUP(C5,'[8]PERIOD 5 AUG'!$A$2:$I$128,9,0)</f>
        <v>90340.9400000001</v>
      </c>
      <c r="L5" s="40"/>
      <c r="M5" s="40"/>
    </row>
    <row r="6" spans="1:13" s="38" customFormat="1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83">
        <v>285.57</v>
      </c>
      <c r="G6" s="92">
        <v>5401.56</v>
      </c>
      <c r="H6" s="83">
        <v>174536.8</v>
      </c>
      <c r="I6" s="39"/>
      <c r="J6" s="39"/>
      <c r="K6" s="96">
        <f>VLOOKUP(C6,'[8]PERIOD 5 AUG'!$A$2:$I$128,9,0)</f>
        <v>174251.23</v>
      </c>
      <c r="L6" s="40" t="s">
        <v>298</v>
      </c>
      <c r="M6" s="40">
        <v>100729209</v>
      </c>
    </row>
    <row r="7" spans="1:19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83"/>
      <c r="G7" s="92"/>
      <c r="H7" s="83"/>
      <c r="I7" s="39"/>
      <c r="J7" s="39"/>
      <c r="K7" s="96">
        <f>VLOOKUP(C7,'[8]PERIOD 5 AUG'!$A$2:$I$128,9,0)</f>
        <v>120306.16</v>
      </c>
      <c r="L7" s="40"/>
      <c r="M7" s="40"/>
      <c r="N7" s="38"/>
      <c r="O7" s="38"/>
      <c r="P7" s="38"/>
      <c r="Q7" s="38"/>
      <c r="R7" s="38"/>
      <c r="S7" s="38"/>
    </row>
    <row r="8" spans="1:13" s="38" customFormat="1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83"/>
      <c r="G8" s="92"/>
      <c r="H8" s="83"/>
      <c r="I8" s="39"/>
      <c r="J8" s="39"/>
      <c r="K8" s="96">
        <f>VLOOKUP(C8,'[8]PERIOD 5 AUG'!$A$2:$I$128,9,0)</f>
        <v>270258.1</v>
      </c>
      <c r="L8" s="40"/>
      <c r="M8" s="40"/>
    </row>
    <row r="9" spans="1:13" s="38" customFormat="1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83"/>
      <c r="G9" s="92"/>
      <c r="H9" s="83"/>
      <c r="I9" s="39"/>
      <c r="J9" s="39"/>
      <c r="K9" s="96">
        <f>VLOOKUP(C9,'[8]PERIOD 5 AUG'!$A$2:$I$128,9,0)</f>
        <v>62744.84</v>
      </c>
      <c r="L9" s="40"/>
      <c r="M9" s="40"/>
    </row>
    <row r="10" spans="1:13" s="38" customFormat="1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83"/>
      <c r="G10" s="92"/>
      <c r="H10" s="83"/>
      <c r="I10" s="39"/>
      <c r="J10" s="39"/>
      <c r="K10" s="96">
        <f>VLOOKUP(C10,'[8]PERIOD 5 AUG'!$A$2:$I$128,9,0)</f>
        <v>264361.17</v>
      </c>
      <c r="L10" s="40"/>
      <c r="M10" s="40"/>
    </row>
    <row r="11" spans="1:13" s="38" customFormat="1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83"/>
      <c r="G11" s="92"/>
      <c r="H11" s="83"/>
      <c r="I11" s="39"/>
      <c r="J11" s="39"/>
      <c r="K11" s="96">
        <f>VLOOKUP(C11,'[8]PERIOD 5 AUG'!$A$2:$I$128,9,0)</f>
        <v>127237.44</v>
      </c>
      <c r="L11" s="40"/>
      <c r="M11" s="40"/>
    </row>
    <row r="12" spans="1:13" s="38" customFormat="1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83"/>
      <c r="G12" s="92"/>
      <c r="H12" s="83"/>
      <c r="I12" s="39"/>
      <c r="J12" s="39"/>
      <c r="K12" s="96">
        <f>VLOOKUP(C12,'[8]PERIOD 5 AUG'!$A$2:$I$128,9,0)</f>
        <v>257519.15</v>
      </c>
      <c r="L12" s="40"/>
      <c r="M12" s="40"/>
    </row>
    <row r="13" spans="1:13" s="38" customFormat="1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83"/>
      <c r="G13" s="92"/>
      <c r="H13" s="83"/>
      <c r="I13" s="39"/>
      <c r="J13" s="39"/>
      <c r="K13" s="96">
        <f>VLOOKUP(C13,'[8]PERIOD 5 AUG'!$A$2:$I$128,9,0)</f>
        <v>246338.58</v>
      </c>
      <c r="L13" s="40"/>
      <c r="M13" s="40"/>
    </row>
    <row r="14" spans="1:13" s="38" customFormat="1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83"/>
      <c r="G14" s="92"/>
      <c r="H14" s="83"/>
      <c r="I14" s="39"/>
      <c r="J14" s="39"/>
      <c r="K14" s="96">
        <f>VLOOKUP(C14,'[8]PERIOD 5 AUG'!$A$2:$I$128,9,0)</f>
        <v>236714.76</v>
      </c>
      <c r="L14" s="40"/>
      <c r="M14" s="40"/>
    </row>
    <row r="15" spans="1:13" s="38" customFormat="1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83"/>
      <c r="G15" s="92"/>
      <c r="H15" s="83"/>
      <c r="I15" s="39"/>
      <c r="J15" s="39"/>
      <c r="K15" s="96">
        <f>VLOOKUP(C15,'[8]PERIOD 5 AUG'!$A$2:$I$128,9,0)</f>
        <v>192765.84</v>
      </c>
      <c r="L15" s="40"/>
      <c r="M15" s="40"/>
    </row>
    <row r="16" spans="1:13" s="38" customFormat="1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83"/>
      <c r="G16" s="92"/>
      <c r="H16" s="83"/>
      <c r="I16" s="39"/>
      <c r="J16" s="39"/>
      <c r="K16" s="96">
        <f>VLOOKUP(C16,'[8]PERIOD 5 AUG'!$A$2:$I$128,9,0)</f>
        <v>196115.56</v>
      </c>
      <c r="L16" s="40"/>
      <c r="M16" s="40"/>
    </row>
    <row r="17" spans="1:13" s="38" customFormat="1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83"/>
      <c r="G17" s="92"/>
      <c r="H17" s="83"/>
      <c r="I17" s="39"/>
      <c r="J17" s="39"/>
      <c r="K17" s="96">
        <f>VLOOKUP(C17,'[8]PERIOD 5 AUG'!$A$2:$I$128,9,0)</f>
        <v>403212.27</v>
      </c>
      <c r="L17" s="40"/>
      <c r="M17" s="40"/>
    </row>
    <row r="18" spans="1:13" s="38" customFormat="1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83"/>
      <c r="G18" s="92"/>
      <c r="H18" s="83"/>
      <c r="I18" s="39"/>
      <c r="J18" s="39"/>
      <c r="K18" s="96">
        <f>VLOOKUP(C18,'[8]PERIOD 5 AUG'!$A$2:$I$128,9,0)</f>
        <v>118777.32</v>
      </c>
      <c r="L18" s="40"/>
      <c r="M18" s="40"/>
    </row>
    <row r="19" spans="1:13" s="38" customFormat="1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83">
        <f>3819.75-25.71</f>
        <v>3794.04</v>
      </c>
      <c r="G19" s="92">
        <v>43517.73</v>
      </c>
      <c r="H19" s="83">
        <v>140361.12</v>
      </c>
      <c r="I19" s="39"/>
      <c r="J19" s="39"/>
      <c r="K19" s="96">
        <f>VLOOKUP(C19,'[8]PERIOD 5 AUG'!$A$2:$I$128,9,0)</f>
        <v>136567.08</v>
      </c>
      <c r="L19" s="40" t="s">
        <v>297</v>
      </c>
      <c r="M19" s="40">
        <v>100728542</v>
      </c>
    </row>
    <row r="20" spans="1:13" s="38" customFormat="1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83"/>
      <c r="G20" s="92"/>
      <c r="H20" s="83"/>
      <c r="I20" s="39"/>
      <c r="J20" s="39"/>
      <c r="K20" s="96">
        <f>VLOOKUP(C20,'[8]PERIOD 5 AUG'!$A$2:$I$128,9,0)</f>
        <v>150056.06</v>
      </c>
      <c r="L20" s="40"/>
      <c r="M20" s="40"/>
    </row>
    <row r="21" spans="1:13" s="38" customFormat="1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83"/>
      <c r="G21" s="92"/>
      <c r="H21" s="83"/>
      <c r="I21" s="39"/>
      <c r="J21" s="39"/>
      <c r="K21" s="96">
        <f>VLOOKUP(C21,'[8]PERIOD 5 AUG'!$A$2:$I$128,9,0)</f>
        <v>373327.12</v>
      </c>
      <c r="L21" s="40"/>
      <c r="M21" s="40"/>
    </row>
    <row r="22" spans="1:14" s="38" customFormat="1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83">
        <f>2792.63-126.21</f>
        <v>2666.42</v>
      </c>
      <c r="G22" s="92">
        <v>32449.1</v>
      </c>
      <c r="H22" s="83">
        <v>259884.31</v>
      </c>
      <c r="I22" s="39"/>
      <c r="J22" s="97"/>
      <c r="K22" s="96">
        <f>VLOOKUP(C22,'[8]PERIOD 5 AUG'!$A$2:$I$128,9,0)</f>
        <v>257217.89</v>
      </c>
      <c r="L22" s="40" t="s">
        <v>298</v>
      </c>
      <c r="M22" s="113">
        <v>100729200</v>
      </c>
      <c r="N22" s="85"/>
    </row>
    <row r="23" spans="1:13" s="38" customFormat="1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83"/>
      <c r="G23" s="92"/>
      <c r="H23" s="83"/>
      <c r="I23" s="39"/>
      <c r="J23" s="39"/>
      <c r="K23" s="96">
        <f>VLOOKUP(C23,'[8]PERIOD 5 AUG'!$A$2:$I$128,9,0)</f>
        <v>181413.84</v>
      </c>
      <c r="L23" s="40"/>
      <c r="M23" s="40"/>
    </row>
    <row r="24" spans="1:19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83"/>
      <c r="G24" s="92"/>
      <c r="H24" s="83"/>
      <c r="I24" s="39"/>
      <c r="J24" s="39"/>
      <c r="K24" s="96">
        <f>VLOOKUP(C24,'[8]PERIOD 5 AUG'!$A$2:$I$128,9,0)</f>
        <v>133233.9</v>
      </c>
      <c r="L24" s="40"/>
      <c r="M24" s="40"/>
      <c r="N24" s="38"/>
      <c r="O24" s="38"/>
      <c r="P24" s="38"/>
      <c r="Q24" s="38"/>
      <c r="R24" s="38"/>
      <c r="S24" s="38"/>
    </row>
    <row r="25" spans="1:13" s="38" customFormat="1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83">
        <f>10038.04-20.21</f>
        <v>10017.830000000002</v>
      </c>
      <c r="G25" s="92">
        <v>7048.76</v>
      </c>
      <c r="H25" s="83">
        <v>237732.76</v>
      </c>
      <c r="I25" s="39"/>
      <c r="J25" s="97"/>
      <c r="K25" s="96">
        <f>VLOOKUP(C25,'[8]PERIOD 5 AUG'!$A$2:$I$128,9,0)</f>
        <v>227714.93</v>
      </c>
      <c r="L25" s="40" t="s">
        <v>297</v>
      </c>
      <c r="M25" s="40">
        <v>100728548</v>
      </c>
    </row>
    <row r="26" spans="1:19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83"/>
      <c r="G26" s="92"/>
      <c r="H26" s="83"/>
      <c r="I26" s="39"/>
      <c r="J26" s="39"/>
      <c r="K26" s="96">
        <f>VLOOKUP(C26,'[8]PERIOD 5 AUG'!$A$2:$I$128,9,0)</f>
        <v>217414.5</v>
      </c>
      <c r="L26" s="40"/>
      <c r="M26" s="40"/>
      <c r="N26" s="38"/>
      <c r="O26" s="38"/>
      <c r="P26" s="38"/>
      <c r="Q26" s="38"/>
      <c r="R26" s="38"/>
      <c r="S26" s="38"/>
    </row>
    <row r="27" spans="1:13" s="38" customFormat="1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83">
        <f>649.96-15.94</f>
        <v>634.02</v>
      </c>
      <c r="G27" s="92">
        <v>-3379.3</v>
      </c>
      <c r="H27" s="83">
        <v>203662.97</v>
      </c>
      <c r="I27" s="39"/>
      <c r="J27" s="39"/>
      <c r="K27" s="96">
        <f>VLOOKUP(C27,'[8]PERIOD 5 AUG'!$A$2:$I$128,9,0)</f>
        <v>203028.95</v>
      </c>
      <c r="L27" s="40" t="s">
        <v>298</v>
      </c>
      <c r="M27" s="40">
        <v>100729208</v>
      </c>
    </row>
    <row r="28" spans="1:19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83"/>
      <c r="G28" s="92"/>
      <c r="H28" s="83"/>
      <c r="I28" s="39"/>
      <c r="J28" s="39"/>
      <c r="K28" s="96">
        <f>VLOOKUP(C28,'[8]PERIOD 5 AUG'!$A$2:$I$128,9,0)</f>
        <v>210823.79</v>
      </c>
      <c r="L28" s="40"/>
      <c r="M28" s="40"/>
      <c r="N28" s="38"/>
      <c r="O28" s="38"/>
      <c r="P28" s="38"/>
      <c r="Q28" s="38"/>
      <c r="R28" s="38"/>
      <c r="S28" s="38"/>
    </row>
    <row r="29" spans="1:13" s="38" customFormat="1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83"/>
      <c r="G29" s="92"/>
      <c r="H29" s="83"/>
      <c r="I29" s="39"/>
      <c r="J29" s="39"/>
      <c r="K29" s="96">
        <f>VLOOKUP(C29,'[8]PERIOD 5 AUG'!$A$2:$I$128,9,0)</f>
        <v>69753.86</v>
      </c>
      <c r="L29" s="40"/>
      <c r="M29" s="40"/>
    </row>
    <row r="30" spans="1:13" s="38" customFormat="1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83">
        <v>2355.12</v>
      </c>
      <c r="G30" s="92">
        <v>14388.08</v>
      </c>
      <c r="H30" s="83">
        <v>214578.88</v>
      </c>
      <c r="I30" s="39"/>
      <c r="J30" s="39"/>
      <c r="K30" s="96">
        <f>VLOOKUP(C30,'[8]PERIOD 5 AUG'!$A$2:$I$128,9,0)</f>
        <v>211926.76</v>
      </c>
      <c r="L30" s="40" t="s">
        <v>297</v>
      </c>
      <c r="M30" s="40">
        <v>100728543</v>
      </c>
    </row>
    <row r="31" spans="1:13" s="38" customFormat="1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83"/>
      <c r="G31" s="92"/>
      <c r="H31" s="83"/>
      <c r="I31" s="39"/>
      <c r="J31" s="39"/>
      <c r="K31" s="96">
        <f>VLOOKUP(C31,'[8]PERIOD 5 AUG'!$A$2:$I$128,9,0)</f>
        <v>254592.21</v>
      </c>
      <c r="L31" s="40"/>
      <c r="M31" s="40"/>
    </row>
    <row r="32" spans="1:13" s="38" customFormat="1" ht="16.5" thickBot="1">
      <c r="A32" s="37">
        <v>3524</v>
      </c>
      <c r="B32" s="37">
        <v>11278</v>
      </c>
      <c r="C32" s="47">
        <v>938590</v>
      </c>
      <c r="D32" s="40" t="s">
        <v>396</v>
      </c>
      <c r="E32" s="39"/>
      <c r="F32" s="83"/>
      <c r="G32" s="92"/>
      <c r="H32" s="83"/>
      <c r="I32" s="39"/>
      <c r="J32" s="39"/>
      <c r="K32" s="96"/>
      <c r="L32" s="40"/>
      <c r="M32" s="40">
        <v>1</v>
      </c>
    </row>
    <row r="33" spans="1:19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83">
        <v>1375.79</v>
      </c>
      <c r="G33" s="92">
        <v>16379.59</v>
      </c>
      <c r="H33" s="83">
        <v>223707.95</v>
      </c>
      <c r="I33" s="39"/>
      <c r="J33" s="39"/>
      <c r="K33" s="96">
        <f>VLOOKUP(C33,'[8]PERIOD 5 AUG'!$A$2:$I$128,9,0)</f>
        <v>222332.16</v>
      </c>
      <c r="L33" s="40" t="s">
        <v>296</v>
      </c>
      <c r="M33" s="40">
        <v>100728175</v>
      </c>
      <c r="N33" s="38"/>
      <c r="O33" s="38"/>
      <c r="P33" s="38"/>
      <c r="Q33" s="38"/>
      <c r="R33" s="38"/>
      <c r="S33" s="38"/>
    </row>
    <row r="34" spans="1:13" s="38" customFormat="1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83"/>
      <c r="G34" s="92"/>
      <c r="H34" s="83"/>
      <c r="I34" s="39"/>
      <c r="J34" s="39"/>
      <c r="K34" s="96">
        <f>VLOOKUP(C34,'[8]PERIOD 5 AUG'!$A$2:$I$128,9,0)</f>
        <v>208934.82</v>
      </c>
      <c r="L34" s="40"/>
      <c r="M34" s="40"/>
    </row>
    <row r="35" spans="1:19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83"/>
      <c r="G35" s="92"/>
      <c r="H35" s="83"/>
      <c r="I35" s="39"/>
      <c r="J35" s="39"/>
      <c r="K35" s="96">
        <f>VLOOKUP(C35,'[8]PERIOD 5 AUG'!$A$2:$I$128,9,0)</f>
        <v>347982.67</v>
      </c>
      <c r="L35" s="40"/>
      <c r="M35" s="40"/>
      <c r="N35" s="38"/>
      <c r="O35" s="38"/>
      <c r="P35" s="38"/>
      <c r="Q35" s="38"/>
      <c r="R35" s="38"/>
      <c r="S35" s="38"/>
    </row>
    <row r="36" spans="1:19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83"/>
      <c r="G36" s="92"/>
      <c r="H36" s="83"/>
      <c r="I36" s="39"/>
      <c r="J36" s="39"/>
      <c r="K36" s="96">
        <f>VLOOKUP(C36,'[8]PERIOD 5 AUG'!$A$2:$I$128,9,0)</f>
        <v>181482.81</v>
      </c>
      <c r="L36" s="40"/>
      <c r="M36" s="40"/>
      <c r="N36" s="38"/>
      <c r="O36" s="38"/>
      <c r="P36" s="38"/>
      <c r="Q36" s="38"/>
      <c r="R36" s="38"/>
      <c r="S36" s="38"/>
    </row>
    <row r="37" spans="1:19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83"/>
      <c r="G37" s="92"/>
      <c r="H37" s="83"/>
      <c r="I37" s="39"/>
      <c r="J37" s="39"/>
      <c r="K37" s="96">
        <f>VLOOKUP(C37,'[8]PERIOD 5 AUG'!$A$2:$I$128,9,0)</f>
        <v>221820.98</v>
      </c>
      <c r="L37" s="40"/>
      <c r="M37" s="40"/>
      <c r="N37" s="38"/>
      <c r="O37" s="38"/>
      <c r="P37" s="38"/>
      <c r="Q37" s="38"/>
      <c r="R37" s="38"/>
      <c r="S37" s="38"/>
    </row>
    <row r="38" spans="1:13" s="38" customFormat="1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83">
        <v>12603.66</v>
      </c>
      <c r="G38" s="92">
        <v>185611.86</v>
      </c>
      <c r="H38" s="83">
        <v>316957.96</v>
      </c>
      <c r="I38" s="39"/>
      <c r="J38" s="39"/>
      <c r="K38" s="96">
        <f>VLOOKUP(C38,'[8]PERIOD 5 AUG'!$A$2:$I$128,9,0)</f>
        <v>304354.3</v>
      </c>
      <c r="L38" s="40" t="s">
        <v>298</v>
      </c>
      <c r="M38" s="40">
        <v>100729211</v>
      </c>
    </row>
    <row r="39" spans="1:19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83"/>
      <c r="G39" s="92"/>
      <c r="H39" s="83"/>
      <c r="I39" s="39"/>
      <c r="J39" s="39"/>
      <c r="K39" s="96">
        <f>VLOOKUP(C39,'[8]PERIOD 5 AUG'!$A$2:$I$128,9,0)</f>
        <v>108083.71</v>
      </c>
      <c r="L39" s="40"/>
      <c r="M39" s="40"/>
      <c r="N39" s="38"/>
      <c r="O39" s="38"/>
      <c r="P39" s="38"/>
      <c r="Q39" s="38"/>
      <c r="R39" s="38"/>
      <c r="S39" s="38"/>
    </row>
    <row r="40" spans="1:13" s="38" customFormat="1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83">
        <v>1073.95</v>
      </c>
      <c r="G40" s="92">
        <v>390.92</v>
      </c>
      <c r="H40" s="83">
        <v>2339.64</v>
      </c>
      <c r="I40" s="39"/>
      <c r="J40" s="83"/>
      <c r="K40" s="96">
        <f>VLOOKUP(C40,'[8]PERIOD 5 AUG'!$A$2:$I$128,9,0)</f>
        <v>1265.68999999998</v>
      </c>
      <c r="L40" s="40" t="s">
        <v>293</v>
      </c>
      <c r="M40" s="40">
        <v>100727762</v>
      </c>
    </row>
    <row r="41" spans="1:13" s="38" customFormat="1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83"/>
      <c r="G41" s="92"/>
      <c r="H41" s="83"/>
      <c r="I41" s="39"/>
      <c r="J41" s="39"/>
      <c r="K41" s="96">
        <f>VLOOKUP(C41,'[8]PERIOD 5 AUG'!$A$2:$I$128,9,0)</f>
        <v>130433.41</v>
      </c>
      <c r="L41" s="40"/>
      <c r="M41" s="40"/>
    </row>
    <row r="42" spans="1:13" s="38" customFormat="1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83">
        <v>4559.56</v>
      </c>
      <c r="G42" s="92">
        <v>37149.62</v>
      </c>
      <c r="H42" s="83">
        <v>126227.2</v>
      </c>
      <c r="I42" s="39"/>
      <c r="J42" s="39"/>
      <c r="K42" s="96">
        <f>VLOOKUP(C42,'[8]PERIOD 5 AUG'!$A$2:$I$128,9,0)</f>
        <v>158817.26</v>
      </c>
      <c r="L42" s="40" t="s">
        <v>300</v>
      </c>
      <c r="M42" s="40">
        <v>100729421</v>
      </c>
    </row>
    <row r="43" spans="1:13" s="38" customFormat="1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83"/>
      <c r="G43" s="92"/>
      <c r="H43" s="83"/>
      <c r="I43" s="39"/>
      <c r="J43" s="39"/>
      <c r="K43" s="96">
        <f>VLOOKUP(C43,'[8]PERIOD 5 AUG'!$A$2:$I$128,9,0)</f>
        <v>96252.2699999999</v>
      </c>
      <c r="L43" s="40"/>
      <c r="M43" s="40"/>
    </row>
    <row r="44" spans="1:13" s="38" customFormat="1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83"/>
      <c r="G44" s="92"/>
      <c r="H44" s="83"/>
      <c r="I44" s="39"/>
      <c r="J44" s="39"/>
      <c r="K44" s="96">
        <f>VLOOKUP(C44,'[8]PERIOD 5 AUG'!$A$2:$I$128,9,0)</f>
        <v>347844.02</v>
      </c>
      <c r="L44" s="40"/>
      <c r="M44" s="40"/>
    </row>
    <row r="45" spans="1:19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83">
        <v>702.44</v>
      </c>
      <c r="G45" s="92">
        <v>2191.42</v>
      </c>
      <c r="H45" s="83">
        <v>42472.45</v>
      </c>
      <c r="I45" s="39"/>
      <c r="J45" s="39"/>
      <c r="K45" s="96">
        <f>VLOOKUP(C45,'[8]PERIOD 5 AUG'!$A$2:$I$128,9,0)</f>
        <v>41770.01</v>
      </c>
      <c r="L45" s="40" t="s">
        <v>297</v>
      </c>
      <c r="M45" s="40">
        <v>100729201</v>
      </c>
      <c r="N45" s="38"/>
      <c r="O45" s="38"/>
      <c r="P45" s="38"/>
      <c r="Q45" s="38"/>
      <c r="R45" s="38"/>
      <c r="S45" s="38"/>
    </row>
    <row r="46" spans="1:13" s="38" customFormat="1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83">
        <v>19512.99</v>
      </c>
      <c r="G46" s="92">
        <v>148707.16</v>
      </c>
      <c r="H46" s="83">
        <v>305267.42</v>
      </c>
      <c r="I46" s="39"/>
      <c r="J46" s="39"/>
      <c r="K46" s="96">
        <f>VLOOKUP(C46,'[8]PERIOD 5 AUG'!$A$2:$I$128,9,0)</f>
        <v>285754.43</v>
      </c>
      <c r="L46" s="40" t="s">
        <v>294</v>
      </c>
      <c r="M46" s="40">
        <v>100728146</v>
      </c>
    </row>
    <row r="47" spans="1:13" s="38" customFormat="1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83"/>
      <c r="G47" s="92"/>
      <c r="H47" s="83"/>
      <c r="I47" s="39"/>
      <c r="J47" s="39"/>
      <c r="K47" s="96">
        <f>VLOOKUP(C47,'[8]PERIOD 5 AUG'!$A$2:$I$128,9,0)</f>
        <v>178257.1</v>
      </c>
      <c r="L47" s="40"/>
      <c r="M47" s="40"/>
    </row>
    <row r="48" spans="1:13" s="38" customFormat="1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83"/>
      <c r="G48" s="92"/>
      <c r="H48" s="83"/>
      <c r="I48" s="39"/>
      <c r="J48" s="39"/>
      <c r="K48" s="96">
        <f>VLOOKUP(C48,'[8]PERIOD 5 AUG'!$A$2:$I$128,9,0)</f>
        <v>263502.67</v>
      </c>
      <c r="L48" s="40"/>
      <c r="M48" s="40"/>
    </row>
    <row r="49" spans="1:19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45">
        <f>870.09-12.99</f>
        <v>857.1</v>
      </c>
      <c r="G49" s="96">
        <v>69466.07</v>
      </c>
      <c r="H49" s="45">
        <v>82785.77</v>
      </c>
      <c r="I49" s="119"/>
      <c r="J49" s="119"/>
      <c r="K49" s="96">
        <f>VLOOKUP(C49,'[8]PERIOD 5 AUG'!$A$2:$I$128,9,0)</f>
        <v>151394.74</v>
      </c>
      <c r="L49" s="48" t="s">
        <v>313</v>
      </c>
      <c r="M49" s="48">
        <v>100736717</v>
      </c>
      <c r="N49" s="38"/>
      <c r="O49" s="38"/>
      <c r="P49" s="38"/>
      <c r="Q49" s="38"/>
      <c r="R49" s="38"/>
      <c r="S49" s="38"/>
    </row>
    <row r="50" spans="1:13" s="38" customFormat="1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83">
        <v>708.42</v>
      </c>
      <c r="G50" s="92">
        <v>7040.17</v>
      </c>
      <c r="H50" s="83">
        <v>8880.44</v>
      </c>
      <c r="I50" s="39"/>
      <c r="J50" s="39"/>
      <c r="K50" s="96">
        <f>VLOOKUP(C50,'[8]PERIOD 5 AUG'!$A$2:$I$128,9,0)</f>
        <v>8172.02</v>
      </c>
      <c r="L50" s="40" t="s">
        <v>298</v>
      </c>
      <c r="M50" s="40">
        <v>100729199</v>
      </c>
    </row>
    <row r="51" spans="1:13" s="38" customFormat="1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83">
        <v>4959.08</v>
      </c>
      <c r="G51" s="92">
        <v>58186.28</v>
      </c>
      <c r="H51" s="83">
        <v>100976.46</v>
      </c>
      <c r="I51" s="39"/>
      <c r="J51" s="39"/>
      <c r="K51" s="96">
        <f>VLOOKUP(C51,'[8]PERIOD 5 AUG'!$A$2:$I$128,9,0)</f>
        <v>96017.3800000002</v>
      </c>
      <c r="L51" s="40" t="s">
        <v>298</v>
      </c>
      <c r="M51" s="40">
        <v>100729202</v>
      </c>
    </row>
    <row r="52" spans="1:13" s="38" customFormat="1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83"/>
      <c r="G52" s="92"/>
      <c r="H52" s="83"/>
      <c r="I52" s="39"/>
      <c r="J52" s="39"/>
      <c r="K52" s="96">
        <f>VLOOKUP(C52,'[8]PERIOD 5 AUG'!$A$2:$I$128,9,0)</f>
        <v>57153.9</v>
      </c>
      <c r="L52" s="40"/>
      <c r="M52" s="40"/>
    </row>
    <row r="53" spans="1:13" s="38" customFormat="1" ht="16.5" thickBot="1">
      <c r="A53" s="37">
        <v>2042</v>
      </c>
      <c r="B53" s="37">
        <v>10079</v>
      </c>
      <c r="C53" s="47">
        <v>938180</v>
      </c>
      <c r="D53" s="40" t="s">
        <v>63</v>
      </c>
      <c r="E53" s="39"/>
      <c r="F53" s="83"/>
      <c r="G53" s="92"/>
      <c r="H53" s="83"/>
      <c r="I53" s="39"/>
      <c r="J53" s="39"/>
      <c r="K53" s="96">
        <f>VLOOKUP(C53,'[8]PERIOD 5 AUG'!$A$2:$I$128,9,0)</f>
        <v>167590.6</v>
      </c>
      <c r="L53" s="40"/>
      <c r="M53" s="40"/>
    </row>
    <row r="54" spans="1:13" s="38" customFormat="1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83"/>
      <c r="G54" s="92"/>
      <c r="H54" s="83"/>
      <c r="I54" s="39"/>
      <c r="J54" s="39"/>
      <c r="K54" s="96">
        <f>VLOOKUP(C54,'[8]PERIOD 5 AUG'!$A$2:$I$128,9,0)</f>
        <v>206497.22</v>
      </c>
      <c r="L54" s="40"/>
      <c r="M54" s="118"/>
    </row>
    <row r="55" spans="1:13" s="38" customFormat="1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83"/>
      <c r="G55" s="92"/>
      <c r="H55" s="83"/>
      <c r="I55" s="39"/>
      <c r="J55" s="39"/>
      <c r="K55" s="96">
        <f>VLOOKUP(C55,'[8]PERIOD 5 AUG'!$A$2:$I$128,9,0)</f>
        <v>144719.53</v>
      </c>
      <c r="L55" s="40"/>
      <c r="M55" s="40"/>
    </row>
    <row r="56" spans="1:13" s="38" customFormat="1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83"/>
      <c r="G56" s="92"/>
      <c r="H56" s="83"/>
      <c r="I56" s="39"/>
      <c r="J56" s="39"/>
      <c r="K56" s="96">
        <f>VLOOKUP(C56,'[8]PERIOD 5 AUG'!$A$2:$I$128,9,0)</f>
        <v>220735.24</v>
      </c>
      <c r="L56" s="40"/>
      <c r="M56" s="40"/>
    </row>
    <row r="57" spans="1:19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83"/>
      <c r="G57" s="92"/>
      <c r="H57" s="83"/>
      <c r="I57" s="39"/>
      <c r="J57" s="39"/>
      <c r="K57" s="96">
        <f>VLOOKUP(C57,'[8]PERIOD 5 AUG'!$A$2:$I$128,9,0)</f>
        <v>180579.68</v>
      </c>
      <c r="L57" s="40"/>
      <c r="M57" s="40"/>
      <c r="N57" s="38"/>
      <c r="O57" s="38"/>
      <c r="P57" s="38"/>
      <c r="Q57" s="38"/>
      <c r="R57" s="38"/>
      <c r="S57" s="38"/>
    </row>
    <row r="58" spans="1:13" s="38" customFormat="1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83"/>
      <c r="G58" s="92"/>
      <c r="H58" s="83"/>
      <c r="I58" s="39"/>
      <c r="J58" s="39"/>
      <c r="K58" s="96">
        <f>VLOOKUP(C58,'[8]PERIOD 5 AUG'!$A$2:$I$128,9,0)</f>
        <v>175690.94</v>
      </c>
      <c r="L58" s="40"/>
      <c r="M58" s="40"/>
    </row>
    <row r="59" spans="1:13" s="38" customFormat="1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83"/>
      <c r="G59" s="92"/>
      <c r="H59" s="83"/>
      <c r="I59" s="39"/>
      <c r="J59" s="39"/>
      <c r="K59" s="96">
        <f>VLOOKUP(C59,'[8]PERIOD 5 AUG'!$A$2:$I$128,9,0)</f>
        <v>134652.41</v>
      </c>
      <c r="L59" s="40"/>
      <c r="M59" s="40"/>
    </row>
    <row r="60" spans="1:13" s="38" customFormat="1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83">
        <v>2310.36</v>
      </c>
      <c r="G60" s="92">
        <v>13548.18</v>
      </c>
      <c r="H60" s="83">
        <v>11245.24</v>
      </c>
      <c r="I60" s="39"/>
      <c r="J60" s="39"/>
      <c r="K60" s="96">
        <f>VLOOKUP(C60,'[8]PERIOD 5 AUG'!$A$2:$I$128,9,0)</f>
        <v>8935.68</v>
      </c>
      <c r="L60" s="40" t="s">
        <v>291</v>
      </c>
      <c r="M60" s="40">
        <v>100726378</v>
      </c>
    </row>
    <row r="61" spans="1:19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83"/>
      <c r="G61" s="92"/>
      <c r="H61" s="83"/>
      <c r="I61" s="39"/>
      <c r="J61" s="39"/>
      <c r="K61" s="96">
        <f>VLOOKUP(C61,'[8]PERIOD 5 AUG'!$A$2:$I$128,9,0)</f>
        <v>40720.6700000001</v>
      </c>
      <c r="L61" s="40"/>
      <c r="M61" s="40"/>
      <c r="N61" s="38"/>
      <c r="O61" s="38"/>
      <c r="P61" s="38"/>
      <c r="Q61" s="38"/>
      <c r="R61" s="38"/>
      <c r="S61" s="38"/>
    </row>
    <row r="62" spans="1:13" s="38" customFormat="1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83">
        <f>3506.5-14.47</f>
        <v>3492.03</v>
      </c>
      <c r="G62" s="92">
        <v>26217.72</v>
      </c>
      <c r="H62" s="83">
        <v>124255.96</v>
      </c>
      <c r="I62" s="39"/>
      <c r="J62" s="39"/>
      <c r="K62" s="96">
        <f>VLOOKUP(C62,'[8]PERIOD 5 AUG'!$A$2:$I$128,9,0)</f>
        <v>120763.93</v>
      </c>
      <c r="L62" s="40" t="s">
        <v>290</v>
      </c>
      <c r="M62" s="40">
        <v>100726374</v>
      </c>
    </row>
    <row r="63" spans="1:19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83"/>
      <c r="G63" s="92"/>
      <c r="H63" s="83"/>
      <c r="I63" s="39"/>
      <c r="J63" s="39"/>
      <c r="K63" s="96">
        <f>VLOOKUP(C63,'[8]PERIOD 5 AUG'!$A$2:$I$128,9,0)</f>
        <v>231267.96</v>
      </c>
      <c r="L63" s="40"/>
      <c r="M63" s="40"/>
      <c r="N63" s="38"/>
      <c r="O63" s="38"/>
      <c r="P63" s="38"/>
      <c r="Q63" s="38"/>
      <c r="R63" s="38"/>
      <c r="S63" s="38"/>
    </row>
    <row r="64" spans="1:13" s="38" customFormat="1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83"/>
      <c r="G64" s="92"/>
      <c r="H64" s="83"/>
      <c r="I64" s="39"/>
      <c r="J64" s="39"/>
      <c r="K64" s="96">
        <f>VLOOKUP(C64,'[8]PERIOD 5 AUG'!$A$2:$I$128,9,0)</f>
        <v>233228.47</v>
      </c>
      <c r="L64" s="40"/>
      <c r="M64" s="40"/>
    </row>
    <row r="65" spans="1:13" s="38" customFormat="1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83"/>
      <c r="G65" s="92"/>
      <c r="H65" s="83"/>
      <c r="I65" s="39"/>
      <c r="J65" s="39"/>
      <c r="K65" s="96">
        <f>VLOOKUP(C65,'[8]PERIOD 5 AUG'!$A$2:$I$128,9,0)</f>
        <v>210382.37</v>
      </c>
      <c r="L65" s="40"/>
      <c r="M65" s="40"/>
    </row>
    <row r="66" spans="1:13" s="38" customFormat="1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83"/>
      <c r="G66" s="92"/>
      <c r="H66" s="83"/>
      <c r="I66" s="39"/>
      <c r="J66" s="39"/>
      <c r="K66" s="96">
        <f>VLOOKUP(C66,'[8]PERIOD 5 AUG'!$A$2:$I$128,9,0)</f>
        <v>187080.78</v>
      </c>
      <c r="L66" s="40"/>
      <c r="M66" s="40"/>
    </row>
    <row r="67" spans="1:13" s="38" customFormat="1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83"/>
      <c r="G67" s="92"/>
      <c r="H67" s="83"/>
      <c r="I67" s="39"/>
      <c r="J67" s="39"/>
      <c r="K67" s="96">
        <f>VLOOKUP(C67,'[8]PERIOD 5 AUG'!$A$2:$I$128,9,0)</f>
        <v>75584.33</v>
      </c>
      <c r="L67" s="40"/>
      <c r="M67" s="40"/>
    </row>
    <row r="68" spans="1:13" s="38" customFormat="1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83"/>
      <c r="G68" s="92"/>
      <c r="H68" s="83"/>
      <c r="I68" s="39"/>
      <c r="J68" s="39"/>
      <c r="K68" s="96">
        <f>VLOOKUP(C68,'[8]PERIOD 5 AUG'!$A$2:$I$128,9,0)</f>
        <v>175037.79</v>
      </c>
      <c r="L68" s="40"/>
      <c r="M68" s="40"/>
    </row>
    <row r="69" spans="1:13" s="38" customFormat="1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83"/>
      <c r="G69" s="92"/>
      <c r="H69" s="83"/>
      <c r="I69" s="39"/>
      <c r="J69" s="39"/>
      <c r="K69" s="96">
        <f>VLOOKUP(C69,'[8]PERIOD 5 AUG'!$A$2:$I$128,9,0)</f>
        <v>132494.81</v>
      </c>
      <c r="L69" s="40"/>
      <c r="M69" s="40"/>
    </row>
    <row r="70" spans="1:13" s="38" customFormat="1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83"/>
      <c r="G70" s="92"/>
      <c r="H70" s="83"/>
      <c r="I70" s="39"/>
      <c r="J70" s="39"/>
      <c r="K70" s="96">
        <f>VLOOKUP(C70,'[8]PERIOD 5 AUG'!$A$2:$I$128,9,0)</f>
        <v>201124.46</v>
      </c>
      <c r="L70" s="40"/>
      <c r="M70" s="40"/>
    </row>
    <row r="71" spans="1:13" s="38" customFormat="1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83"/>
      <c r="G71" s="92"/>
      <c r="H71" s="83"/>
      <c r="I71" s="39"/>
      <c r="J71" s="39"/>
      <c r="K71" s="96">
        <f>VLOOKUP(C71,'[8]PERIOD 5 AUG'!$A$2:$I$128,9,0)</f>
        <v>68290.83</v>
      </c>
      <c r="L71" s="40"/>
      <c r="M71" s="40"/>
    </row>
    <row r="72" spans="1:13" s="38" customFormat="1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83"/>
      <c r="G72" s="92"/>
      <c r="H72" s="83"/>
      <c r="I72" s="39"/>
      <c r="J72" s="39"/>
      <c r="K72" s="96">
        <f>VLOOKUP(C72,'[8]PERIOD 5 AUG'!$A$2:$I$128,9,0)</f>
        <v>124086.4</v>
      </c>
      <c r="L72" s="40"/>
      <c r="M72" s="40"/>
    </row>
    <row r="73" spans="1:13" s="38" customFormat="1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83"/>
      <c r="G73" s="92"/>
      <c r="H73" s="83"/>
      <c r="I73" s="39"/>
      <c r="J73" s="39"/>
      <c r="K73" s="96">
        <f>VLOOKUP(C73,'[8]PERIOD 5 AUG'!$A$2:$I$128,9,0)</f>
        <v>119689.03</v>
      </c>
      <c r="L73" s="40"/>
      <c r="M73" s="40"/>
    </row>
    <row r="74" spans="1:13" s="38" customFormat="1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83"/>
      <c r="G74" s="92"/>
      <c r="H74" s="83"/>
      <c r="I74" s="39"/>
      <c r="J74" s="39"/>
      <c r="K74" s="96">
        <f>VLOOKUP(C74,'[8]PERIOD 5 AUG'!$A$2:$I$128,9,0)</f>
        <v>189913.93</v>
      </c>
      <c r="L74" s="40"/>
      <c r="M74" s="40"/>
    </row>
    <row r="75" spans="1:13" s="38" customFormat="1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83"/>
      <c r="G75" s="92"/>
      <c r="H75" s="83"/>
      <c r="I75" s="39"/>
      <c r="J75" s="39"/>
      <c r="K75" s="96">
        <f>VLOOKUP(C75,'[8]PERIOD 5 AUG'!$A$2:$I$128,9,0)</f>
        <v>207289.48</v>
      </c>
      <c r="L75" s="40"/>
      <c r="M75" s="40"/>
    </row>
    <row r="76" spans="1:19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83"/>
      <c r="G76" s="92"/>
      <c r="H76" s="83"/>
      <c r="I76" s="39"/>
      <c r="J76" s="39"/>
      <c r="K76" s="96">
        <f>VLOOKUP(C76,'[8]PERIOD 5 AUG'!$A$2:$I$128,9,0)</f>
        <v>127642.72</v>
      </c>
      <c r="L76" s="40"/>
      <c r="M76" s="40"/>
      <c r="N76" s="38"/>
      <c r="O76" s="38"/>
      <c r="P76" s="38"/>
      <c r="Q76" s="38"/>
      <c r="R76" s="38"/>
      <c r="S76" s="38"/>
    </row>
    <row r="77" spans="1:13" s="38" customFormat="1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83"/>
      <c r="G77" s="92"/>
      <c r="H77" s="83"/>
      <c r="I77" s="39"/>
      <c r="J77" s="39"/>
      <c r="K77" s="96">
        <f>VLOOKUP(C77,'[8]PERIOD 5 AUG'!$A$2:$I$128,9,0)</f>
        <v>108728.13</v>
      </c>
      <c r="L77" s="40"/>
      <c r="M77" s="40"/>
    </row>
    <row r="78" spans="1:13" s="38" customFormat="1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83"/>
      <c r="G78" s="92"/>
      <c r="H78" s="83"/>
      <c r="I78" s="39"/>
      <c r="J78" s="39"/>
      <c r="K78" s="96">
        <f>VLOOKUP(C78,'[8]PERIOD 5 AUG'!$A$2:$I$128,9,0)</f>
        <v>106611.07</v>
      </c>
      <c r="L78" s="40"/>
      <c r="M78" s="40"/>
    </row>
    <row r="79" spans="1:13" s="38" customFormat="1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83"/>
      <c r="G79" s="92"/>
      <c r="H79" s="83"/>
      <c r="I79" s="39"/>
      <c r="J79" s="39"/>
      <c r="K79" s="96">
        <f>VLOOKUP(C79,'[8]PERIOD 5 AUG'!$A$2:$I$128,9,0)</f>
        <v>169813.35</v>
      </c>
      <c r="L79" s="40"/>
      <c r="M79" s="40"/>
    </row>
    <row r="80" spans="1:13" s="38" customFormat="1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83"/>
      <c r="G80" s="92"/>
      <c r="H80" s="83"/>
      <c r="I80" s="39"/>
      <c r="J80" s="39"/>
      <c r="K80" s="96">
        <f>VLOOKUP(C80,'[8]PERIOD 5 AUG'!$A$2:$I$128,9,0)</f>
        <v>246433.68</v>
      </c>
      <c r="L80" s="40"/>
      <c r="M80" s="40"/>
    </row>
    <row r="81" spans="1:13" s="38" customFormat="1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83"/>
      <c r="G81" s="92"/>
      <c r="H81" s="83"/>
      <c r="I81" s="39"/>
      <c r="J81" s="39"/>
      <c r="K81" s="96">
        <f>VLOOKUP(C81,'[8]PERIOD 5 AUG'!$A$2:$I$128,9,0)</f>
        <v>148695.72</v>
      </c>
      <c r="L81" s="40"/>
      <c r="M81" s="40"/>
    </row>
    <row r="82" spans="1:19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83"/>
      <c r="G82" s="92"/>
      <c r="H82" s="83"/>
      <c r="I82" s="39"/>
      <c r="J82" s="39"/>
      <c r="K82" s="96">
        <f>VLOOKUP(C82,'[8]PERIOD 5 AUG'!$A$2:$I$128,9,0)</f>
        <v>84328.4999999999</v>
      </c>
      <c r="L82" s="40"/>
      <c r="M82" s="40"/>
      <c r="N82" s="38"/>
      <c r="O82" s="38"/>
      <c r="P82" s="38"/>
      <c r="Q82" s="38"/>
      <c r="R82" s="38"/>
      <c r="S82" s="38"/>
    </row>
    <row r="83" spans="1:19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83"/>
      <c r="G83" s="92"/>
      <c r="H83" s="83"/>
      <c r="I83" s="39"/>
      <c r="J83" s="39"/>
      <c r="K83" s="96">
        <f>VLOOKUP(C83,'[8]PERIOD 5 AUG'!$A$2:$I$128,9,0)</f>
        <v>87181.4600000001</v>
      </c>
      <c r="L83" s="40"/>
      <c r="M83" s="40"/>
      <c r="N83" s="38"/>
      <c r="O83" s="38"/>
      <c r="P83" s="38"/>
      <c r="Q83" s="38"/>
      <c r="R83" s="38"/>
      <c r="S83" s="38"/>
    </row>
    <row r="84" spans="1:13" s="38" customFormat="1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83"/>
      <c r="G84" s="92"/>
      <c r="H84" s="83"/>
      <c r="I84" s="39"/>
      <c r="J84" s="39"/>
      <c r="K84" s="96">
        <f>VLOOKUP(C84,'[8]PERIOD 5 AUG'!$A$2:$I$128,9,0)</f>
        <v>145323.37</v>
      </c>
      <c r="L84" s="40"/>
      <c r="M84" s="40"/>
    </row>
    <row r="85" spans="1:19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83"/>
      <c r="G85" s="92"/>
      <c r="H85" s="83"/>
      <c r="I85" s="39"/>
      <c r="J85" s="39"/>
      <c r="K85" s="96">
        <f>VLOOKUP(C85,'[8]PERIOD 5 AUG'!$A$2:$I$128,9,0)</f>
        <v>136913.44</v>
      </c>
      <c r="L85" s="40"/>
      <c r="M85" s="40"/>
      <c r="N85" s="38"/>
      <c r="O85" s="38"/>
      <c r="P85" s="38"/>
      <c r="Q85" s="38"/>
      <c r="R85" s="38"/>
      <c r="S85" s="38"/>
    </row>
    <row r="86" spans="1:13" s="38" customFormat="1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83"/>
      <c r="G86" s="92"/>
      <c r="H86" s="83"/>
      <c r="I86" s="39"/>
      <c r="J86" s="39"/>
      <c r="K86" s="96">
        <f>VLOOKUP(C86,'[8]PERIOD 5 AUG'!$A$2:$I$128,9,0)</f>
        <v>305629.2</v>
      </c>
      <c r="L86" s="40"/>
      <c r="M86" s="40"/>
    </row>
    <row r="87" spans="1:13" s="38" customFormat="1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83"/>
      <c r="G87" s="92"/>
      <c r="H87" s="83"/>
      <c r="I87" s="39"/>
      <c r="J87" s="39"/>
      <c r="K87" s="96">
        <f>VLOOKUP(C87,'[8]PERIOD 5 AUG'!$A$2:$I$128,9,0)</f>
        <v>435252.53</v>
      </c>
      <c r="L87" s="40"/>
      <c r="M87" s="40"/>
    </row>
    <row r="88" spans="1:19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83"/>
      <c r="G88" s="92"/>
      <c r="H88" s="83"/>
      <c r="I88" s="39"/>
      <c r="J88" s="97"/>
      <c r="K88" s="96">
        <f>VLOOKUP(C88,'[8]PERIOD 5 AUG'!$A$2:$I$128,9,0)</f>
        <v>293059.65</v>
      </c>
      <c r="L88" s="40"/>
      <c r="M88" s="40"/>
      <c r="N88" s="38"/>
      <c r="O88" s="38"/>
      <c r="P88" s="38"/>
      <c r="Q88" s="38"/>
      <c r="R88" s="38"/>
      <c r="S88" s="38"/>
    </row>
    <row r="89" spans="1:19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92">
        <f>3324.11-10.69</f>
        <v>3313.42</v>
      </c>
      <c r="G89" s="92">
        <v>22737.6</v>
      </c>
      <c r="H89" s="92">
        <v>193140.99</v>
      </c>
      <c r="I89" s="39"/>
      <c r="J89" s="39"/>
      <c r="K89" s="96">
        <f>VLOOKUP(C89,'[8]PERIOD 5 AUG'!$A$2:$I$128,9,0)</f>
        <v>189827.57</v>
      </c>
      <c r="L89" s="40" t="s">
        <v>298</v>
      </c>
      <c r="M89" s="40">
        <v>100729207</v>
      </c>
      <c r="N89" s="38"/>
      <c r="O89" s="38"/>
      <c r="P89" s="38"/>
      <c r="Q89" s="38"/>
      <c r="R89" s="38"/>
      <c r="S89" s="38"/>
    </row>
    <row r="90" spans="1:19" ht="16.5" thickBot="1">
      <c r="A90" s="37">
        <v>5406</v>
      </c>
      <c r="B90" s="37">
        <v>10136</v>
      </c>
      <c r="C90" s="47">
        <v>938530</v>
      </c>
      <c r="D90" s="40" t="s">
        <v>96</v>
      </c>
      <c r="E90" s="39"/>
      <c r="F90" s="92">
        <f>21317.56-24.46</f>
        <v>21293.100000000002</v>
      </c>
      <c r="G90" s="92">
        <v>-19645.05</v>
      </c>
      <c r="H90" s="92">
        <v>286851.92</v>
      </c>
      <c r="I90" s="92"/>
      <c r="J90" s="92"/>
      <c r="K90" s="96">
        <f>VLOOKUP(C90,'[8]PERIOD 5 AUG'!$A$2:$I$128,9,0)</f>
        <v>265558.82</v>
      </c>
      <c r="L90" s="40" t="s">
        <v>293</v>
      </c>
      <c r="M90" s="40">
        <v>100727763</v>
      </c>
      <c r="N90" s="38"/>
      <c r="O90" s="38"/>
      <c r="P90" s="38"/>
      <c r="Q90" s="38"/>
      <c r="R90" s="38"/>
      <c r="S90" s="38"/>
    </row>
    <row r="91" spans="1:13" s="38" customFormat="1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83">
        <v>4592.8</v>
      </c>
      <c r="G91" s="92">
        <v>63649.74</v>
      </c>
      <c r="H91" s="83">
        <v>158290.64</v>
      </c>
      <c r="I91" s="39"/>
      <c r="J91" s="39"/>
      <c r="K91" s="96">
        <f>VLOOKUP(C91,'[8]PERIOD 5 AUG'!$A$2:$I$128,9,0)</f>
        <v>153697.84</v>
      </c>
      <c r="L91" s="40" t="s">
        <v>298</v>
      </c>
      <c r="M91" s="40">
        <v>100729210</v>
      </c>
    </row>
    <row r="92" spans="1:13" s="38" customFormat="1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83"/>
      <c r="G92" s="92"/>
      <c r="H92" s="83"/>
      <c r="I92" s="39"/>
      <c r="J92" s="39"/>
      <c r="K92" s="96">
        <f>VLOOKUP(C92,'[8]PERIOD 5 AUG'!$A$2:$I$128,9,0)</f>
        <v>549089.32</v>
      </c>
      <c r="L92" s="40"/>
      <c r="M92" s="40"/>
    </row>
    <row r="93" spans="1:19" ht="16.5" thickBot="1">
      <c r="A93" s="37">
        <v>4215</v>
      </c>
      <c r="B93" s="37">
        <v>10138</v>
      </c>
      <c r="C93" s="47">
        <v>938475</v>
      </c>
      <c r="D93" s="40" t="s">
        <v>99</v>
      </c>
      <c r="E93" s="39"/>
      <c r="F93" s="83"/>
      <c r="G93" s="92"/>
      <c r="H93" s="83"/>
      <c r="I93" s="39"/>
      <c r="J93" s="39"/>
      <c r="K93" s="96">
        <f>VLOOKUP(C93,'[8]PERIOD 5 AUG'!$A$2:$I$128,9,0)</f>
        <v>681258.65</v>
      </c>
      <c r="L93" s="40"/>
      <c r="M93" s="40"/>
      <c r="N93" s="38"/>
      <c r="O93" s="38"/>
      <c r="P93" s="38"/>
      <c r="Q93" s="38"/>
      <c r="R93" s="38"/>
      <c r="S93" s="38"/>
    </row>
    <row r="94" spans="1:19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83"/>
      <c r="G94" s="92"/>
      <c r="H94" s="83"/>
      <c r="I94" s="39"/>
      <c r="J94" s="39"/>
      <c r="K94" s="96">
        <f>VLOOKUP(C94,'[8]PERIOD 5 AUG'!$A$2:$I$128,9,0)</f>
        <v>1015460.7</v>
      </c>
      <c r="L94" s="40"/>
      <c r="M94" s="40"/>
      <c r="N94" s="38"/>
      <c r="O94" s="38"/>
      <c r="P94" s="38"/>
      <c r="Q94" s="38"/>
      <c r="R94" s="38"/>
      <c r="S94" s="38"/>
    </row>
    <row r="95" spans="1:19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83">
        <v>4702.18</v>
      </c>
      <c r="G95" s="92">
        <v>31923.02</v>
      </c>
      <c r="H95" s="83">
        <v>654855.19</v>
      </c>
      <c r="I95" s="39"/>
      <c r="J95" s="97"/>
      <c r="K95" s="96">
        <f>VLOOKUP(C95,'[8]PERIOD 5 AUG'!$A$2:$I$128,9,0)</f>
        <v>631023.510000001</v>
      </c>
      <c r="L95" s="40" t="s">
        <v>298</v>
      </c>
      <c r="M95" s="40">
        <v>100729217</v>
      </c>
      <c r="N95" s="38"/>
      <c r="O95" s="38"/>
      <c r="P95" s="38"/>
      <c r="Q95" s="38"/>
      <c r="R95" s="38"/>
      <c r="S95" s="38"/>
    </row>
    <row r="96" spans="1:13" s="38" customFormat="1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83"/>
      <c r="G96" s="92"/>
      <c r="H96" s="83"/>
      <c r="I96" s="39"/>
      <c r="J96" s="39"/>
      <c r="K96" s="96">
        <f>VLOOKUP(C96,'[8]PERIOD 5 AUG'!$A$2:$I$128,9,0)</f>
        <v>1541876.67</v>
      </c>
      <c r="L96" s="40"/>
      <c r="M96" s="40"/>
    </row>
    <row r="97" spans="1:19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83">
        <v>5701.72</v>
      </c>
      <c r="G97" s="92">
        <v>2977.45</v>
      </c>
      <c r="H97" s="83">
        <v>91475.21</v>
      </c>
      <c r="I97" s="39"/>
      <c r="J97" s="97"/>
      <c r="K97" s="96">
        <f>VLOOKUP(C97,'[8]PERIOD 5 AUG'!$A$2:$I$128,9,0)</f>
        <v>85773.4900000001</v>
      </c>
      <c r="L97" s="143" t="s">
        <v>293</v>
      </c>
      <c r="M97" s="40">
        <v>100727556</v>
      </c>
      <c r="N97" s="38"/>
      <c r="O97" s="38"/>
      <c r="P97" s="38"/>
      <c r="Q97" s="38"/>
      <c r="R97" s="38"/>
      <c r="S97" s="38"/>
    </row>
    <row r="98" spans="1:19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83">
        <v>16592.95</v>
      </c>
      <c r="G98" s="92">
        <v>-11734.24</v>
      </c>
      <c r="H98" s="83">
        <v>51214.91</v>
      </c>
      <c r="I98" s="39"/>
      <c r="J98" s="39"/>
      <c r="K98" s="96">
        <f>VLOOKUP(C98,'[8]PERIOD 5 AUG'!$A$2:$I$128,9,0)</f>
        <v>21692.68</v>
      </c>
      <c r="L98" s="143" t="s">
        <v>297</v>
      </c>
      <c r="M98" s="40">
        <v>100728571</v>
      </c>
      <c r="N98" s="38"/>
      <c r="O98" s="38"/>
      <c r="P98" s="38"/>
      <c r="Q98" s="38"/>
      <c r="R98" s="38"/>
      <c r="S98" s="38"/>
    </row>
    <row r="99" spans="1:19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83"/>
      <c r="G99" s="92"/>
      <c r="H99" s="83"/>
      <c r="I99" s="39"/>
      <c r="J99" s="97"/>
      <c r="K99" s="96">
        <f>VLOOKUP(C99,'[8]PERIOD 5 AUG'!$A$2:$I$128,9,0)</f>
        <v>506368.91</v>
      </c>
      <c r="L99" s="143"/>
      <c r="M99" s="113"/>
      <c r="N99" s="38"/>
      <c r="O99" s="38"/>
      <c r="P99" s="38"/>
      <c r="Q99" s="38"/>
      <c r="R99" s="38"/>
      <c r="S99" s="38"/>
    </row>
    <row r="100" spans="1:19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83">
        <v>16220.9</v>
      </c>
      <c r="G100" s="92">
        <v>84228.31</v>
      </c>
      <c r="H100" s="83">
        <v>183712.25</v>
      </c>
      <c r="I100" s="38"/>
      <c r="J100" s="38"/>
      <c r="K100" s="96">
        <f>VLOOKUP(C100,'[8]PERIOD 5 AUG'!$A$2:$I$128,9,0)</f>
        <v>167491.35</v>
      </c>
      <c r="L100" s="143" t="s">
        <v>297</v>
      </c>
      <c r="M100" s="40">
        <v>100729204</v>
      </c>
      <c r="N100" s="38"/>
      <c r="O100" s="38"/>
      <c r="P100" s="38"/>
      <c r="Q100" s="38"/>
      <c r="R100" s="38"/>
      <c r="S100" s="38"/>
    </row>
    <row r="101" spans="1:19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83"/>
      <c r="G101" s="92"/>
      <c r="H101" s="139"/>
      <c r="I101" s="38"/>
      <c r="J101" s="38"/>
      <c r="K101" s="96">
        <f>VLOOKUP(C101,'[8]PERIOD 5 AUG'!$A$2:$I$128,9,0)</f>
        <v>76687.89</v>
      </c>
      <c r="L101" s="143"/>
      <c r="M101" s="40"/>
      <c r="N101" s="38"/>
      <c r="O101" s="38"/>
      <c r="P101" s="38"/>
      <c r="Q101" s="38"/>
      <c r="R101" s="38"/>
      <c r="S101" s="38"/>
    </row>
    <row r="102" spans="1:19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83">
        <f>8672.9-17.5</f>
        <v>8655.4</v>
      </c>
      <c r="G102" s="92">
        <v>-30221.99</v>
      </c>
      <c r="H102" s="83">
        <v>1016106.95</v>
      </c>
      <c r="I102" s="39"/>
      <c r="J102" s="39"/>
      <c r="K102" s="96">
        <f>VLOOKUP(C102,'[8]PERIOD 5 AUG'!$A$2:$I$128,9,0)</f>
        <v>1007451.55</v>
      </c>
      <c r="L102" s="143" t="s">
        <v>297</v>
      </c>
      <c r="M102" s="40">
        <v>100728564</v>
      </c>
      <c r="N102" s="38"/>
      <c r="O102" s="38"/>
      <c r="P102" s="38"/>
      <c r="Q102" s="38"/>
      <c r="R102" s="38"/>
      <c r="S102" s="38"/>
    </row>
    <row r="103" spans="1:19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83">
        <v>6226.67</v>
      </c>
      <c r="G103" s="92">
        <v>90453.68</v>
      </c>
      <c r="H103" s="83">
        <v>360715.78</v>
      </c>
      <c r="I103" s="39"/>
      <c r="J103" s="39"/>
      <c r="K103" s="96">
        <f>VLOOKUP(C103,'[8]PERIOD 5 AUG'!$A$2:$I$128,9,0)</f>
        <v>354489.11</v>
      </c>
      <c r="L103" s="143" t="s">
        <v>296</v>
      </c>
      <c r="M103" s="40">
        <v>100728182</v>
      </c>
      <c r="N103" s="38"/>
      <c r="O103" s="38"/>
      <c r="P103" s="38"/>
      <c r="Q103" s="38"/>
      <c r="R103" s="38"/>
      <c r="S103" s="38"/>
    </row>
    <row r="104" spans="1:13" s="38" customFormat="1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39"/>
      <c r="F104" s="83">
        <v>40935.48</v>
      </c>
      <c r="G104" s="92">
        <v>153748.95</v>
      </c>
      <c r="H104" s="83">
        <v>287470.54</v>
      </c>
      <c r="I104" s="39"/>
      <c r="J104" s="39"/>
      <c r="K104" s="96">
        <f>VLOOKUP(C104,'[8]PERIOD 5 AUG'!$A$2:$I$128,9,0)</f>
        <v>246535.06</v>
      </c>
      <c r="L104" s="143" t="s">
        <v>298</v>
      </c>
      <c r="M104" s="40">
        <v>100729212</v>
      </c>
    </row>
    <row r="105" spans="1:19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83"/>
      <c r="G105" s="92"/>
      <c r="H105" s="83"/>
      <c r="I105" s="39"/>
      <c r="J105" s="39"/>
      <c r="K105" s="96">
        <f>VLOOKUP(C105,'[8]PERIOD 5 AUG'!$A$2:$I$128,9,0)</f>
        <v>1059177.43</v>
      </c>
      <c r="L105" s="143"/>
      <c r="M105" s="40"/>
      <c r="N105" s="38"/>
      <c r="O105" s="38"/>
      <c r="P105" s="38"/>
      <c r="Q105" s="38"/>
      <c r="R105" s="38"/>
      <c r="S105" s="38"/>
    </row>
    <row r="106" spans="1:19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83">
        <f>6195.4-7.45</f>
        <v>6187.95</v>
      </c>
      <c r="G106" s="92">
        <v>82114.53</v>
      </c>
      <c r="H106" s="83">
        <v>278468.4</v>
      </c>
      <c r="I106" s="39"/>
      <c r="J106" s="39"/>
      <c r="K106" s="96">
        <f>VLOOKUP(C106,'[8]PERIOD 5 AUG'!$A$2:$I$128,9,0)</f>
        <v>272280.45</v>
      </c>
      <c r="L106" s="143" t="s">
        <v>299</v>
      </c>
      <c r="M106" s="40">
        <v>100729215</v>
      </c>
      <c r="N106" s="38"/>
      <c r="O106" s="38"/>
      <c r="P106" s="38"/>
      <c r="Q106" s="38"/>
      <c r="R106" s="38"/>
      <c r="S106" s="38"/>
    </row>
    <row r="107" spans="1:19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87"/>
      <c r="G107" s="92"/>
      <c r="H107" s="83"/>
      <c r="I107" s="39"/>
      <c r="J107" s="39"/>
      <c r="K107" s="96">
        <f>VLOOKUP(C107,'[8]PERIOD 5 AUG'!$A$2:$I$128,9,0)</f>
        <v>901051.81</v>
      </c>
      <c r="L107" s="143"/>
      <c r="M107" s="40"/>
      <c r="N107" s="38"/>
      <c r="O107" s="38"/>
      <c r="P107" s="38"/>
      <c r="Q107" s="38"/>
      <c r="R107" s="38"/>
      <c r="S107" s="38"/>
    </row>
    <row r="108" spans="1:19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83">
        <v>419.33</v>
      </c>
      <c r="G108" s="92">
        <v>-39185.46</v>
      </c>
      <c r="H108" s="83">
        <v>174452.83</v>
      </c>
      <c r="I108" s="99"/>
      <c r="J108" s="99"/>
      <c r="K108" s="96">
        <f>VLOOKUP(C108,'[8]PERIOD 5 AUG'!$A$2:$I$128,9,0)</f>
        <v>167073.84</v>
      </c>
      <c r="L108" s="97" t="s">
        <v>296</v>
      </c>
      <c r="M108" s="40">
        <v>100728169</v>
      </c>
      <c r="N108" s="38"/>
      <c r="O108" s="38"/>
      <c r="P108" s="38"/>
      <c r="Q108" s="38"/>
      <c r="R108" s="38"/>
      <c r="S108" s="38"/>
    </row>
    <row r="109" spans="1:19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83">
        <f>50712.96-122.14</f>
        <v>50590.82</v>
      </c>
      <c r="G109" s="92">
        <v>372878.81</v>
      </c>
      <c r="H109" s="83">
        <v>286663</v>
      </c>
      <c r="I109" s="39"/>
      <c r="J109" s="97"/>
      <c r="K109" s="96">
        <f>VLOOKUP(C109,'[8]PERIOD 5 AUG'!$A$2:$I$128,9,0)</f>
        <v>236072.18</v>
      </c>
      <c r="L109" s="143" t="s">
        <v>292</v>
      </c>
      <c r="M109" s="40">
        <v>100727207</v>
      </c>
      <c r="N109" s="38"/>
      <c r="O109" s="38"/>
      <c r="P109" s="38"/>
      <c r="Q109" s="38"/>
      <c r="R109" s="38"/>
      <c r="S109" s="38"/>
    </row>
    <row r="110" spans="1:13" s="38" customFormat="1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83"/>
      <c r="G110" s="92"/>
      <c r="H110" s="83"/>
      <c r="I110" s="39"/>
      <c r="J110" s="39"/>
      <c r="K110" s="96">
        <f>VLOOKUP(C110,'[8]PERIOD 5 AUG'!$A$2:$I$128,9,0)</f>
        <v>316694.19</v>
      </c>
      <c r="L110" s="40"/>
      <c r="M110" s="40"/>
    </row>
    <row r="111" spans="1:13" s="38" customFormat="1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83"/>
      <c r="G111" s="92"/>
      <c r="H111" s="83"/>
      <c r="I111" s="39"/>
      <c r="J111" s="39"/>
      <c r="K111" s="96">
        <f>VLOOKUP(C111,'[8]PERIOD 5 AUG'!$A$2:$I$128,9,0)</f>
        <v>207253.68</v>
      </c>
      <c r="L111" s="40"/>
      <c r="M111" s="40"/>
    </row>
    <row r="112" spans="1:19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83"/>
      <c r="G112" s="92"/>
      <c r="H112" s="83"/>
      <c r="I112" s="39"/>
      <c r="J112" s="39"/>
      <c r="K112" s="96">
        <f>VLOOKUP(C112,'[8]PERIOD 5 AUG'!$A$2:$I$128,9,0)</f>
        <v>389956.49</v>
      </c>
      <c r="L112" s="40"/>
      <c r="M112" s="40"/>
      <c r="N112" s="38"/>
      <c r="O112" s="38"/>
      <c r="P112" s="38"/>
      <c r="Q112" s="38"/>
      <c r="R112" s="38"/>
      <c r="S112" s="38"/>
    </row>
    <row r="113" spans="1:19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83"/>
      <c r="G113" s="92"/>
      <c r="H113" s="83"/>
      <c r="I113" s="39"/>
      <c r="J113" s="39"/>
      <c r="K113" s="96">
        <f>VLOOKUP(C113,'[8]PERIOD 5 AUG'!$A$2:$I$128,9,0)</f>
        <v>181145.04</v>
      </c>
      <c r="L113" s="40"/>
      <c r="M113" s="40"/>
      <c r="N113" s="38"/>
      <c r="O113" s="38"/>
      <c r="P113" s="38"/>
      <c r="Q113" s="38"/>
      <c r="R113" s="38"/>
      <c r="S113" s="38"/>
    </row>
    <row r="114" spans="1:19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83"/>
      <c r="G114" s="92"/>
      <c r="H114" s="83"/>
      <c r="I114" s="39"/>
      <c r="J114" s="39"/>
      <c r="K114" s="96">
        <f>VLOOKUP(C114,'[8]PERIOD 5 AUG'!$A$2:$I$128,9,0)</f>
        <v>177533.89</v>
      </c>
      <c r="L114" s="40"/>
      <c r="M114" s="40"/>
      <c r="N114" s="38"/>
      <c r="O114" s="38"/>
      <c r="P114" s="38"/>
      <c r="Q114" s="38"/>
      <c r="R114" s="38"/>
      <c r="S114" s="38"/>
    </row>
    <row r="115" spans="1:19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83"/>
      <c r="G115" s="92"/>
      <c r="H115" s="83"/>
      <c r="I115" s="39"/>
      <c r="J115" s="39"/>
      <c r="K115" s="96">
        <f>VLOOKUP(C115,'[8]PERIOD 5 AUG'!$A$2:$I$128,9,0)</f>
        <v>180497.06</v>
      </c>
      <c r="L115" s="40"/>
      <c r="M115" s="40"/>
      <c r="N115" s="38"/>
      <c r="O115" s="38"/>
      <c r="P115" s="38"/>
      <c r="Q115" s="38"/>
      <c r="R115" s="38"/>
      <c r="S115" s="38"/>
    </row>
    <row r="116" spans="1:19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83"/>
      <c r="G116" s="92"/>
      <c r="H116" s="83"/>
      <c r="I116" s="39"/>
      <c r="J116" s="39"/>
      <c r="K116" s="96">
        <f>VLOOKUP(C116,'[8]PERIOD 5 AUG'!$A$2:$I$128,9,0)</f>
        <v>177073.05</v>
      </c>
      <c r="L116" s="40"/>
      <c r="M116" s="40"/>
      <c r="N116" s="38"/>
      <c r="O116" s="38"/>
      <c r="P116" s="38"/>
      <c r="Q116" s="38"/>
      <c r="R116" s="38"/>
      <c r="S116" s="38"/>
    </row>
    <row r="117" spans="1:19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83"/>
      <c r="G117" s="92"/>
      <c r="H117" s="83"/>
      <c r="I117" s="39"/>
      <c r="J117" s="39"/>
      <c r="K117" s="96">
        <f>VLOOKUP(C117,'[8]PERIOD 5 AUG'!$A$2:$I$128,9,0)</f>
        <v>146928.65</v>
      </c>
      <c r="L117" s="40"/>
      <c r="M117" s="40"/>
      <c r="N117" s="38"/>
      <c r="O117" s="38"/>
      <c r="P117" s="38"/>
      <c r="Q117" s="38"/>
      <c r="R117" s="38"/>
      <c r="S117" s="38"/>
    </row>
    <row r="118" spans="2:16" ht="15.75">
      <c r="B118" s="38"/>
      <c r="C118" s="42"/>
      <c r="D118" s="43" t="s">
        <v>139</v>
      </c>
      <c r="E118" s="92">
        <f aca="true" t="shared" si="0" ref="E118:K118">SUM(E3:E117)</f>
        <v>0</v>
      </c>
      <c r="F118" s="96">
        <f>SUM(F3:F117)</f>
        <v>259664.29000000004</v>
      </c>
      <c r="G118" s="96">
        <f t="shared" si="0"/>
        <v>1482003.88</v>
      </c>
      <c r="H118" s="96">
        <f t="shared" si="0"/>
        <v>6736398.4</v>
      </c>
      <c r="I118" s="96">
        <f t="shared" si="0"/>
        <v>0</v>
      </c>
      <c r="J118" s="96">
        <f t="shared" si="0"/>
        <v>0</v>
      </c>
      <c r="K118" s="96">
        <f t="shared" si="0"/>
        <v>26900753.079999994</v>
      </c>
      <c r="L118" s="42"/>
      <c r="M118" s="42"/>
      <c r="N118" s="38"/>
      <c r="O118" s="38"/>
      <c r="P118" s="38"/>
    </row>
    <row r="119" spans="2:16" ht="15.75">
      <c r="B119" s="38"/>
      <c r="C119" s="42"/>
      <c r="D119" s="41"/>
      <c r="E119" s="39"/>
      <c r="F119" s="40"/>
      <c r="G119" s="40"/>
      <c r="H119" s="40"/>
      <c r="I119" s="39"/>
      <c r="J119" s="39"/>
      <c r="K119" s="39"/>
      <c r="L119" s="38"/>
      <c r="M119" s="38"/>
      <c r="N119" s="38"/>
      <c r="O119" s="38"/>
      <c r="P119" s="38"/>
    </row>
    <row r="120" spans="3:16" ht="15.75">
      <c r="C120" s="1">
        <f>COUNT(C3:C117)</f>
        <v>115</v>
      </c>
      <c r="D120" s="86">
        <f>COUNT(A3:A117)-COUNTA(M3:M117)</f>
        <v>83</v>
      </c>
      <c r="F120" s="37" t="s">
        <v>175</v>
      </c>
      <c r="G120" s="38"/>
      <c r="H120" s="38"/>
      <c r="I120" s="38"/>
      <c r="J120" s="64"/>
      <c r="K120" s="38"/>
      <c r="L120" s="38"/>
      <c r="M120" s="38"/>
      <c r="N120" s="38"/>
      <c r="O120" s="38"/>
      <c r="P120" s="38"/>
    </row>
    <row r="121" spans="4:16" ht="15.75">
      <c r="D121" s="86">
        <f>C120-D120</f>
        <v>32</v>
      </c>
      <c r="F121" s="38" t="s">
        <v>174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4:16" ht="15.75">
      <c r="D122" s="41"/>
      <c r="E122" s="43"/>
      <c r="F122" s="43"/>
      <c r="G122" s="38"/>
      <c r="H122" s="38"/>
      <c r="I122" s="38"/>
      <c r="J122" s="38"/>
      <c r="K122" s="38"/>
      <c r="L122" s="38"/>
      <c r="M122" s="85"/>
      <c r="N122" s="38"/>
      <c r="O122" s="38"/>
      <c r="P122" s="38"/>
    </row>
    <row r="123" spans="4:16" ht="15.75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5:16" ht="15.75"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4:16" ht="15.75">
      <c r="D125" s="37" t="s">
        <v>347</v>
      </c>
      <c r="E125" s="38"/>
      <c r="F125" s="156">
        <f>870.09-12.99</f>
        <v>857.1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5:16" ht="15.75"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5:16" ht="15.75"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5:16" ht="15.75"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5:16" ht="15.75"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5:16" ht="15.75"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5:16" ht="15.75"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5:16" ht="15.75"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5:16" ht="15.75"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5:16" ht="15.75"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5:16" ht="15.75"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5:16" ht="15.75"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5:16" ht="15.75"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5:16" ht="15.75"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5:16" ht="15.75"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5:16" ht="15.75"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5:16" ht="15.75"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5:16" ht="15.75"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5:16" ht="15.75"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5:16" ht="15.75"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5:16" ht="15.75"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5:16" ht="15.75"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5:16" ht="15.75"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5:16" ht="15.75"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5:16" ht="15.75"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5:16" ht="15.75"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5:16" ht="15.75"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5:16" ht="15.75"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5:16" ht="15.75"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5:16" ht="15.75"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5:16" ht="15.75"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5:16" ht="15.75"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5:16" ht="15.75"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5:16" ht="15.75"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5:16" ht="15.75"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5:16" ht="15.75"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5:16" ht="15.75"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5:16" ht="15.75"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5:16" ht="15.75"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5:16" ht="15.75"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5:16" ht="15.75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5:16" ht="15.75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5:16" ht="15.75"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5:16" ht="15.75"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5:16" ht="15.75"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5:16" ht="15.75"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5:16" ht="15.75"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5:16" ht="15.75"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5:16" ht="15.75"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5:16" ht="15.75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5:16" ht="15.75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5:16" ht="15.75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5:16" ht="15.75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5:16" ht="15.75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5:16" ht="15.75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5:16" ht="15.75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5:16" ht="15.75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5:16" ht="15.75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5:16" ht="15.75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5:16" ht="15.75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5:16" ht="15.75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5:16" ht="15.75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5:16" ht="15.75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5:16" ht="15.75"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5:16" ht="15.75"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5:16" ht="15.75"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5:16" ht="15.75"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5:16" ht="15.75"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5:16" ht="15.75"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5:16" ht="15.75"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5:16" ht="15.75"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5:16" ht="15.75"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5:16" ht="15.75"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5:16" ht="15.75"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5:16" ht="15.75"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5:16" ht="15.75"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5:16" ht="15.75"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5:16" ht="15.75"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5:16" ht="15.75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5:16" ht="15.75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5:16" ht="15.75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5:16" ht="15.75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5:16" ht="15.75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5:16" ht="15.75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5:16" ht="15.75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5:16" ht="15.75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5:16" ht="15.75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5:16" ht="15.75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5:16" ht="15.75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5:16" ht="15.75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</sheetData>
  <sheetProtection/>
  <autoFilter ref="A2:S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H89 F107 E118:K118 F89:F90 H90:J90 G3:G117 K3:K117">
    <cfRule type="cellIs" priority="1" dxfId="1" operator="lessThan" stopIfTrue="1">
      <formula>0</formula>
    </cfRule>
  </conditionalFormatting>
  <conditionalFormatting sqref="D3:D117">
    <cfRule type="expression" priority="2" dxfId="2" stopIfTrue="1">
      <formula>M3&lt;1</formula>
    </cfRule>
  </conditionalFormatting>
  <printOptions/>
  <pageMargins left="0.75" right="0.75" top="1" bottom="1" header="0.5" footer="0.5"/>
  <pageSetup cellComments="asDisplayed" horizontalDpi="600" verticalDpi="600" orientation="portrait" paperSize="9" scale="4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33"/>
    <pageSetUpPr fitToPage="1"/>
  </sheetPr>
  <dimension ref="A1:Q126"/>
  <sheetViews>
    <sheetView zoomScale="75" zoomScaleNormal="75" zoomScaleSheetLayoutView="70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3.4453125" style="37" customWidth="1"/>
    <col min="5" max="5" width="11.99609375" style="37" hidden="1" customWidth="1"/>
    <col min="6" max="6" width="15.99609375" style="37" customWidth="1"/>
    <col min="7" max="7" width="16.3359375" style="37" customWidth="1"/>
    <col min="8" max="8" width="16.88671875" style="37" customWidth="1"/>
    <col min="9" max="9" width="13.77734375" style="37" customWidth="1"/>
    <col min="10" max="10" width="13.10546875" style="37" customWidth="1"/>
    <col min="11" max="11" width="16.10546875" style="37" customWidth="1"/>
    <col min="12" max="12" width="10.88671875" style="37" customWidth="1"/>
    <col min="13" max="13" width="19.6640625" style="37" customWidth="1"/>
    <col min="14" max="16384" width="8.88671875" style="37" customWidth="1"/>
  </cols>
  <sheetData>
    <row r="1" spans="1:13" s="59" customFormat="1" ht="15.75">
      <c r="A1" s="56" t="s">
        <v>118</v>
      </c>
      <c r="B1" s="56" t="s">
        <v>120</v>
      </c>
      <c r="C1" s="56" t="s">
        <v>171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5.75">
      <c r="A2" s="57" t="s">
        <v>119</v>
      </c>
      <c r="B2" s="57" t="s">
        <v>137</v>
      </c>
      <c r="C2" s="57" t="s">
        <v>172</v>
      </c>
      <c r="D2" s="57" t="s">
        <v>253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17" s="59" customFormat="1" ht="15.75">
      <c r="A3" s="37">
        <v>3520</v>
      </c>
      <c r="B3" s="36">
        <v>11094</v>
      </c>
      <c r="C3" s="22">
        <v>938585</v>
      </c>
      <c r="D3" s="40" t="s">
        <v>176</v>
      </c>
      <c r="E3" s="131"/>
      <c r="F3" s="92">
        <v>1359.14</v>
      </c>
      <c r="G3" s="92">
        <v>29064.89</v>
      </c>
      <c r="H3" s="92">
        <v>107338.82</v>
      </c>
      <c r="I3" s="92"/>
      <c r="J3" s="92"/>
      <c r="K3" s="96">
        <f>VLOOKUP(C3,'[7]JULY PERIOD 4'!$A$1:$I$128,9,0)</f>
        <v>105979.68</v>
      </c>
      <c r="L3" s="55" t="s">
        <v>273</v>
      </c>
      <c r="M3" s="40">
        <v>100715418</v>
      </c>
      <c r="N3" s="38"/>
      <c r="O3" s="38"/>
      <c r="P3" s="38"/>
      <c r="Q3" s="38"/>
    </row>
    <row r="4" spans="1:17" ht="16.5" thickBot="1">
      <c r="A4" s="37">
        <v>3317</v>
      </c>
      <c r="B4" s="36">
        <v>10042</v>
      </c>
      <c r="C4" s="22">
        <v>938350</v>
      </c>
      <c r="D4" s="40" t="s">
        <v>18</v>
      </c>
      <c r="E4" s="55"/>
      <c r="F4" s="92"/>
      <c r="G4" s="92"/>
      <c r="H4" s="92"/>
      <c r="I4" s="92"/>
      <c r="J4" s="92"/>
      <c r="K4" s="96">
        <f>VLOOKUP(C4,'[7]JULY PERIOD 4'!$A$1:$I$128,9,0)</f>
        <v>148547.03</v>
      </c>
      <c r="L4" s="55"/>
      <c r="M4" s="115"/>
      <c r="N4" s="38"/>
      <c r="O4" s="38"/>
      <c r="P4" s="38"/>
      <c r="Q4" s="38"/>
    </row>
    <row r="5" spans="1:17" ht="16.5" thickBot="1">
      <c r="A5" s="37">
        <v>3300</v>
      </c>
      <c r="B5" s="37">
        <v>10040</v>
      </c>
      <c r="C5" s="47">
        <v>938282</v>
      </c>
      <c r="D5" s="40" t="s">
        <v>17</v>
      </c>
      <c r="E5" s="55"/>
      <c r="F5" s="92">
        <f>1979.7-5.17</f>
        <v>1974.53</v>
      </c>
      <c r="G5" s="92">
        <v>24818.33</v>
      </c>
      <c r="H5" s="92">
        <v>90340.94</v>
      </c>
      <c r="I5" s="92"/>
      <c r="J5" s="92"/>
      <c r="K5" s="96">
        <f>VLOOKUP(C5,'[7]JULY PERIOD 4'!$A$1:$I$128,9,0)</f>
        <v>88366.41000000008</v>
      </c>
      <c r="L5" s="40" t="s">
        <v>272</v>
      </c>
      <c r="M5" s="40">
        <v>100715787</v>
      </c>
      <c r="N5" s="38"/>
      <c r="O5" s="38"/>
      <c r="P5" s="38"/>
      <c r="Q5" s="38"/>
    </row>
    <row r="6" spans="1:17" ht="16.5" thickBot="1">
      <c r="A6" s="37">
        <v>3500</v>
      </c>
      <c r="B6" s="37">
        <v>10043</v>
      </c>
      <c r="C6" s="47">
        <v>938355</v>
      </c>
      <c r="D6" s="40" t="s">
        <v>20</v>
      </c>
      <c r="E6" s="55"/>
      <c r="F6" s="92"/>
      <c r="G6" s="92"/>
      <c r="H6" s="92"/>
      <c r="I6" s="92"/>
      <c r="J6" s="92"/>
      <c r="K6" s="96">
        <f>VLOOKUP(C6,'[7]JULY PERIOD 4'!$A$1:$I$128,9,0)</f>
        <v>179652.79</v>
      </c>
      <c r="L6" s="40"/>
      <c r="M6" s="40"/>
      <c r="N6" s="38"/>
      <c r="O6" s="38"/>
      <c r="P6" s="38"/>
      <c r="Q6" s="38"/>
    </row>
    <row r="7" spans="1:17" ht="16.5" thickBot="1">
      <c r="A7" s="37">
        <v>3514</v>
      </c>
      <c r="B7" s="37">
        <v>10117</v>
      </c>
      <c r="C7" s="47">
        <v>938415</v>
      </c>
      <c r="D7" s="40" t="s">
        <v>19</v>
      </c>
      <c r="E7" s="55"/>
      <c r="F7" s="92">
        <f>1957.06-6.84</f>
        <v>1950.22</v>
      </c>
      <c r="G7" s="92">
        <v>14807.63</v>
      </c>
      <c r="H7" s="92">
        <v>120306.16</v>
      </c>
      <c r="I7" s="92"/>
      <c r="J7" s="92"/>
      <c r="K7" s="96">
        <f>VLOOKUP(C7,'[7]JULY PERIOD 4'!$A$1:$I$128,9,0)</f>
        <v>118355.94</v>
      </c>
      <c r="L7" s="40" t="s">
        <v>268</v>
      </c>
      <c r="M7" s="40">
        <v>100714094</v>
      </c>
      <c r="N7" s="38"/>
      <c r="O7" s="38"/>
      <c r="P7" s="38"/>
      <c r="Q7" s="38"/>
    </row>
    <row r="8" spans="1:17" ht="16.5" thickBot="1">
      <c r="A8" s="37">
        <v>2002</v>
      </c>
      <c r="B8" s="37">
        <v>10044</v>
      </c>
      <c r="C8" s="47">
        <v>938025</v>
      </c>
      <c r="D8" s="40" t="s">
        <v>22</v>
      </c>
      <c r="E8" s="55"/>
      <c r="F8" s="92">
        <v>9910.13</v>
      </c>
      <c r="G8" s="92">
        <v>88870.53</v>
      </c>
      <c r="H8" s="92">
        <v>270258.1</v>
      </c>
      <c r="I8" s="92"/>
      <c r="J8" s="92"/>
      <c r="K8" s="96">
        <f>VLOOKUP(C8,'[7]JULY PERIOD 4'!$A$1:$I$128,9,0)</f>
        <v>260347.97</v>
      </c>
      <c r="L8" s="40" t="s">
        <v>275</v>
      </c>
      <c r="M8" s="40">
        <v>100716958</v>
      </c>
      <c r="N8" s="38"/>
      <c r="O8" s="38"/>
      <c r="P8" s="38"/>
      <c r="Q8" s="38"/>
    </row>
    <row r="9" spans="1:17" ht="16.5" thickBot="1">
      <c r="A9" s="37">
        <v>2079</v>
      </c>
      <c r="B9" s="37">
        <v>10128</v>
      </c>
      <c r="C9" s="47">
        <v>938280</v>
      </c>
      <c r="D9" s="40" t="s">
        <v>124</v>
      </c>
      <c r="E9" s="55"/>
      <c r="F9" s="92">
        <v>5936.18</v>
      </c>
      <c r="G9" s="92">
        <v>58690.69</v>
      </c>
      <c r="H9" s="92">
        <v>62744.83</v>
      </c>
      <c r="I9" s="92"/>
      <c r="J9" s="92"/>
      <c r="K9" s="96">
        <f>VLOOKUP(C9,'[7]JULY PERIOD 4'!$A$1:$I$128,9,0)</f>
        <v>56808.66</v>
      </c>
      <c r="L9" s="40" t="s">
        <v>273</v>
      </c>
      <c r="M9" s="40">
        <v>100715752</v>
      </c>
      <c r="N9" s="38"/>
      <c r="O9" s="38"/>
      <c r="P9" s="38"/>
      <c r="Q9" s="38"/>
    </row>
    <row r="10" spans="1:17" ht="16.5" thickBot="1">
      <c r="A10" s="37">
        <v>2003</v>
      </c>
      <c r="B10" s="37">
        <v>10045</v>
      </c>
      <c r="C10" s="47">
        <v>938030</v>
      </c>
      <c r="D10" s="40" t="s">
        <v>23</v>
      </c>
      <c r="E10" s="55"/>
      <c r="F10" s="92">
        <f>6402.99-29.59</f>
        <v>6373.4</v>
      </c>
      <c r="G10" s="92">
        <v>23863.48</v>
      </c>
      <c r="H10" s="92">
        <v>264361.17</v>
      </c>
      <c r="I10" s="92"/>
      <c r="J10" s="92"/>
      <c r="K10" s="96">
        <f>VLOOKUP(C10,'[7]JULY PERIOD 4'!$A$1:$I$128,9,0)</f>
        <v>257987.77</v>
      </c>
      <c r="L10" s="40" t="s">
        <v>274</v>
      </c>
      <c r="M10" s="40">
        <v>100716178</v>
      </c>
      <c r="N10" s="38"/>
      <c r="O10" s="38"/>
      <c r="P10" s="38"/>
      <c r="Q10" s="38"/>
    </row>
    <row r="11" spans="1:17" ht="16.5" thickBot="1">
      <c r="A11" s="37">
        <v>3511</v>
      </c>
      <c r="B11" s="37">
        <v>10115</v>
      </c>
      <c r="C11" s="47">
        <v>938400</v>
      </c>
      <c r="D11" s="40" t="s">
        <v>24</v>
      </c>
      <c r="E11" s="55"/>
      <c r="F11" s="92">
        <f>1408.79-7.7</f>
        <v>1401.09</v>
      </c>
      <c r="G11" s="92">
        <v>7721.91</v>
      </c>
      <c r="H11" s="92">
        <v>127237.44</v>
      </c>
      <c r="I11" s="92"/>
      <c r="J11" s="92"/>
      <c r="K11" s="96">
        <f>VLOOKUP(C11,'[7]JULY PERIOD 4'!$A$1:$I$128,9,0)</f>
        <v>125836.35</v>
      </c>
      <c r="L11" s="40" t="s">
        <v>283</v>
      </c>
      <c r="M11" s="40">
        <v>100718463</v>
      </c>
      <c r="N11" s="38"/>
      <c r="O11" s="38"/>
      <c r="P11" s="38"/>
      <c r="Q11" s="38"/>
    </row>
    <row r="12" spans="1:17" ht="16.5" thickBot="1">
      <c r="A12" s="37">
        <v>3519</v>
      </c>
      <c r="B12" s="37">
        <v>10134</v>
      </c>
      <c r="C12" s="47">
        <v>938435</v>
      </c>
      <c r="D12" s="40" t="s">
        <v>130</v>
      </c>
      <c r="E12" s="55"/>
      <c r="F12" s="92">
        <f>2212.54-13.71</f>
        <v>2198.83</v>
      </c>
      <c r="G12" s="92">
        <v>-9631.82</v>
      </c>
      <c r="H12" s="92">
        <v>257519.15</v>
      </c>
      <c r="I12" s="92"/>
      <c r="J12" s="92"/>
      <c r="K12" s="96">
        <f>VLOOKUP(C12,'[7]JULY PERIOD 4'!$A$1:$I$128,9,0)</f>
        <v>255320.32</v>
      </c>
      <c r="L12" s="40" t="s">
        <v>281</v>
      </c>
      <c r="M12" s="40">
        <v>100717820</v>
      </c>
      <c r="N12" s="38"/>
      <c r="O12" s="38"/>
      <c r="P12" s="38"/>
      <c r="Q12" s="38"/>
    </row>
    <row r="13" spans="1:17" ht="16.5" thickBot="1">
      <c r="A13" s="37">
        <v>2008</v>
      </c>
      <c r="B13" s="37">
        <v>10047</v>
      </c>
      <c r="C13" s="47">
        <v>938040</v>
      </c>
      <c r="D13" s="40" t="s">
        <v>26</v>
      </c>
      <c r="E13" s="55"/>
      <c r="F13" s="92">
        <v>2443.1</v>
      </c>
      <c r="G13" s="92">
        <v>23947.36</v>
      </c>
      <c r="H13" s="92">
        <v>246338.58</v>
      </c>
      <c r="I13" s="92"/>
      <c r="J13" s="92"/>
      <c r="K13" s="96">
        <f>VLOOKUP(C13,'[7]JULY PERIOD 4'!$A$1:$I$128,9,0)</f>
        <v>243895.48</v>
      </c>
      <c r="L13" s="40" t="s">
        <v>270</v>
      </c>
      <c r="M13" s="40">
        <v>100714126</v>
      </c>
      <c r="N13" s="38"/>
      <c r="O13" s="38"/>
      <c r="P13" s="38"/>
      <c r="Q13" s="38"/>
    </row>
    <row r="14" spans="1:17" ht="16.5" thickBot="1">
      <c r="A14" s="37">
        <v>2007</v>
      </c>
      <c r="B14" s="37">
        <v>10046</v>
      </c>
      <c r="C14" s="47">
        <v>938035</v>
      </c>
      <c r="D14" s="40" t="s">
        <v>25</v>
      </c>
      <c r="E14" s="55"/>
      <c r="F14" s="92">
        <v>2084.17</v>
      </c>
      <c r="G14" s="92">
        <v>6676.87</v>
      </c>
      <c r="H14" s="92">
        <v>236714.76</v>
      </c>
      <c r="I14" s="92"/>
      <c r="J14" s="92"/>
      <c r="K14" s="96">
        <f>VLOOKUP(C14,'[7]JULY PERIOD 4'!$A$1:$I$128,9,0)</f>
        <v>234630.59</v>
      </c>
      <c r="L14" s="40" t="s">
        <v>270</v>
      </c>
      <c r="M14" s="40">
        <v>100715377</v>
      </c>
      <c r="N14" s="38"/>
      <c r="O14" s="38"/>
      <c r="P14" s="38"/>
      <c r="Q14" s="38"/>
    </row>
    <row r="15" spans="1:17" ht="16.5" thickBot="1">
      <c r="A15" s="37">
        <v>2009</v>
      </c>
      <c r="B15" s="37">
        <v>10048</v>
      </c>
      <c r="C15" s="47">
        <v>938045</v>
      </c>
      <c r="D15" s="40" t="s">
        <v>27</v>
      </c>
      <c r="E15" s="55"/>
      <c r="F15" s="92">
        <v>1411.2</v>
      </c>
      <c r="G15" s="92">
        <v>14880.23</v>
      </c>
      <c r="H15" s="92">
        <v>192765.84</v>
      </c>
      <c r="I15" s="92"/>
      <c r="J15" s="92"/>
      <c r="K15" s="96">
        <f>VLOOKUP(C15,'[7]JULY PERIOD 4'!$A$1:$I$128,9,0)</f>
        <v>191354.64</v>
      </c>
      <c r="L15" s="40" t="s">
        <v>271</v>
      </c>
      <c r="M15" s="40">
        <v>100715388</v>
      </c>
      <c r="N15" s="38"/>
      <c r="O15" s="38"/>
      <c r="P15" s="38"/>
      <c r="Q15" s="38"/>
    </row>
    <row r="16" spans="1:17" ht="16.5" thickBot="1">
      <c r="A16" s="37">
        <v>2067</v>
      </c>
      <c r="B16" s="37">
        <v>10118</v>
      </c>
      <c r="C16" s="47">
        <v>938235</v>
      </c>
      <c r="D16" s="40" t="s">
        <v>28</v>
      </c>
      <c r="E16" s="55"/>
      <c r="F16" s="92">
        <v>2135</v>
      </c>
      <c r="G16" s="92">
        <v>24995.98</v>
      </c>
      <c r="H16" s="92">
        <v>196115.56</v>
      </c>
      <c r="I16" s="92"/>
      <c r="J16" s="92"/>
      <c r="K16" s="96">
        <f>VLOOKUP(C16,'[7]JULY PERIOD 4'!$A$1:$I$128,9,0)</f>
        <v>193980.56</v>
      </c>
      <c r="L16" s="40" t="s">
        <v>269</v>
      </c>
      <c r="M16" s="40">
        <v>100715771</v>
      </c>
      <c r="N16" s="38"/>
      <c r="O16" s="38"/>
      <c r="P16" s="38"/>
      <c r="Q16" s="38"/>
    </row>
    <row r="17" spans="1:17" ht="16.5" thickBot="1">
      <c r="A17" s="37">
        <v>2010</v>
      </c>
      <c r="B17" s="37">
        <v>10049</v>
      </c>
      <c r="C17" s="47">
        <v>938050</v>
      </c>
      <c r="D17" s="40" t="s">
        <v>29</v>
      </c>
      <c r="E17" s="55"/>
      <c r="F17" s="92">
        <f>4014.7-31.46</f>
        <v>3983.24</v>
      </c>
      <c r="G17" s="92">
        <v>37021.8</v>
      </c>
      <c r="H17" s="92">
        <v>403212.27</v>
      </c>
      <c r="I17" s="92"/>
      <c r="J17" s="92"/>
      <c r="K17" s="96">
        <f>VLOOKUP(C17,'[7]JULY PERIOD 4'!$A$1:$I$128,9,0)</f>
        <v>399229.03</v>
      </c>
      <c r="L17" s="40" t="s">
        <v>275</v>
      </c>
      <c r="M17" s="40">
        <v>100716960</v>
      </c>
      <c r="N17" s="38"/>
      <c r="O17" s="38"/>
      <c r="P17" s="38"/>
      <c r="Q17" s="38"/>
    </row>
    <row r="18" spans="1:17" ht="16.5" thickBot="1">
      <c r="A18" s="37">
        <v>3302</v>
      </c>
      <c r="B18" s="37">
        <v>10050</v>
      </c>
      <c r="C18" s="47">
        <v>938285</v>
      </c>
      <c r="D18" s="40" t="s">
        <v>30</v>
      </c>
      <c r="E18" s="55"/>
      <c r="F18" s="92">
        <v>350.04</v>
      </c>
      <c r="G18" s="92">
        <v>9191.96</v>
      </c>
      <c r="H18" s="92">
        <v>118777.32</v>
      </c>
      <c r="I18" s="92"/>
      <c r="J18" s="92"/>
      <c r="K18" s="96">
        <f>VLOOKUP(C18,'[7]JULY PERIOD 4'!$A$1:$I$128,9,0)</f>
        <v>118427.28</v>
      </c>
      <c r="L18" s="40" t="s">
        <v>276</v>
      </c>
      <c r="M18" s="40">
        <v>100717210</v>
      </c>
      <c r="N18" s="38"/>
      <c r="O18" s="38"/>
      <c r="P18" s="38"/>
      <c r="Q18" s="38"/>
    </row>
    <row r="19" spans="1:17" ht="16.5" thickBot="1">
      <c r="A19" s="37">
        <v>2011</v>
      </c>
      <c r="B19" s="37">
        <v>10051</v>
      </c>
      <c r="C19" s="47">
        <v>938055</v>
      </c>
      <c r="D19" s="40" t="s">
        <v>31</v>
      </c>
      <c r="E19" s="55"/>
      <c r="F19" s="92"/>
      <c r="G19" s="92"/>
      <c r="H19" s="92"/>
      <c r="I19" s="92"/>
      <c r="J19" s="92"/>
      <c r="K19" s="96">
        <f>VLOOKUP(C19,'[7]JULY PERIOD 4'!$A$1:$I$128,9,0)</f>
        <v>180084.81</v>
      </c>
      <c r="L19" s="40"/>
      <c r="M19" s="40"/>
      <c r="N19" s="38"/>
      <c r="O19" s="38"/>
      <c r="P19" s="38"/>
      <c r="Q19" s="38"/>
    </row>
    <row r="20" spans="1:17" ht="16.5" thickBot="1">
      <c r="A20" s="37">
        <v>3522</v>
      </c>
      <c r="B20" s="37">
        <v>10953</v>
      </c>
      <c r="C20" s="47">
        <v>938438</v>
      </c>
      <c r="D20" s="40" t="s">
        <v>140</v>
      </c>
      <c r="E20" s="55"/>
      <c r="F20" s="92">
        <v>7982.9</v>
      </c>
      <c r="G20" s="92">
        <v>65271.1</v>
      </c>
      <c r="H20" s="92">
        <v>150056.06</v>
      </c>
      <c r="I20" s="92"/>
      <c r="J20" s="92"/>
      <c r="K20" s="96">
        <f>VLOOKUP(C20,'[7]JULY PERIOD 4'!$A$1:$I$128,9,0)</f>
        <v>142073.16</v>
      </c>
      <c r="L20" s="40" t="s">
        <v>274</v>
      </c>
      <c r="M20" s="40">
        <v>100716183</v>
      </c>
      <c r="N20" s="38"/>
      <c r="O20" s="38"/>
      <c r="P20" s="38"/>
      <c r="Q20" s="38"/>
    </row>
    <row r="21" spans="1:17" ht="16.5" thickBot="1">
      <c r="A21" s="37">
        <v>2014</v>
      </c>
      <c r="B21" s="37">
        <v>10054</v>
      </c>
      <c r="C21" s="47">
        <v>938070</v>
      </c>
      <c r="D21" s="40" t="s">
        <v>32</v>
      </c>
      <c r="E21" s="55"/>
      <c r="F21" s="92">
        <v>2430.68</v>
      </c>
      <c r="G21" s="92">
        <v>27687.57</v>
      </c>
      <c r="H21" s="92">
        <v>373327.12</v>
      </c>
      <c r="I21" s="92"/>
      <c r="J21" s="135">
        <v>300000</v>
      </c>
      <c r="K21" s="96">
        <f>VLOOKUP(C21,'[7]JULY PERIOD 4'!$A$1:$I$128,9,0)</f>
        <v>370896.44</v>
      </c>
      <c r="L21" s="40" t="s">
        <v>272</v>
      </c>
      <c r="M21" s="40" t="s">
        <v>277</v>
      </c>
      <c r="N21" s="38"/>
      <c r="O21" s="38"/>
      <c r="P21" s="38"/>
      <c r="Q21" s="38"/>
    </row>
    <row r="22" spans="1:17" ht="16.5" thickBot="1">
      <c r="A22" s="37">
        <v>2015</v>
      </c>
      <c r="B22" s="37">
        <v>10055</v>
      </c>
      <c r="C22" s="47">
        <v>938075</v>
      </c>
      <c r="D22" s="40" t="s">
        <v>33</v>
      </c>
      <c r="E22" s="55"/>
      <c r="F22" s="92"/>
      <c r="G22" s="92"/>
      <c r="H22" s="92"/>
      <c r="I22" s="92"/>
      <c r="J22" s="92"/>
      <c r="K22" s="96">
        <f>VLOOKUP(C22,'[7]JULY PERIOD 4'!$A$1:$I$128,9,0)</f>
        <v>289666.99</v>
      </c>
      <c r="L22" s="40"/>
      <c r="M22" s="40"/>
      <c r="N22" s="38"/>
      <c r="O22" s="38"/>
      <c r="P22" s="38"/>
      <c r="Q22" s="38"/>
    </row>
    <row r="23" spans="1:17" ht="16.5" thickBot="1">
      <c r="A23" s="37">
        <v>2016</v>
      </c>
      <c r="B23" s="37">
        <v>10056</v>
      </c>
      <c r="C23" s="47">
        <v>938080</v>
      </c>
      <c r="D23" s="40" t="s">
        <v>34</v>
      </c>
      <c r="E23" s="55"/>
      <c r="F23" s="92">
        <f>562.46-0.28</f>
        <v>562.1800000000001</v>
      </c>
      <c r="G23" s="92">
        <v>2301.03</v>
      </c>
      <c r="H23" s="92">
        <v>181413.84</v>
      </c>
      <c r="I23" s="92"/>
      <c r="J23" s="92"/>
      <c r="K23" s="96">
        <f>VLOOKUP(C23,'[7]JULY PERIOD 4'!$A$1:$I$128,9,0)</f>
        <v>180851.66</v>
      </c>
      <c r="L23" s="40" t="s">
        <v>268</v>
      </c>
      <c r="M23" s="40">
        <v>100714121</v>
      </c>
      <c r="N23" s="38"/>
      <c r="O23" s="38"/>
      <c r="P23" s="38"/>
      <c r="Q23" s="38"/>
    </row>
    <row r="24" spans="1:17" ht="16.5" thickBot="1">
      <c r="A24" s="37">
        <v>2017</v>
      </c>
      <c r="B24" s="37">
        <v>10057</v>
      </c>
      <c r="C24" s="47">
        <v>938085</v>
      </c>
      <c r="D24" s="40" t="s">
        <v>35</v>
      </c>
      <c r="E24" s="55"/>
      <c r="F24" s="92">
        <v>6251.12</v>
      </c>
      <c r="G24" s="92">
        <v>63649.86</v>
      </c>
      <c r="H24" s="92">
        <v>133233.9</v>
      </c>
      <c r="I24" s="92"/>
      <c r="J24" s="92"/>
      <c r="K24" s="96">
        <f>VLOOKUP(C24,'[7]JULY PERIOD 4'!$A$1:$I$128,9,0)</f>
        <v>126982.78</v>
      </c>
      <c r="L24" s="40" t="s">
        <v>271</v>
      </c>
      <c r="M24" s="40">
        <v>100715383</v>
      </c>
      <c r="N24" s="38"/>
      <c r="O24" s="38"/>
      <c r="P24" s="38"/>
      <c r="Q24" s="38"/>
    </row>
    <row r="25" spans="1:17" ht="16.5" thickBot="1">
      <c r="A25" s="37">
        <v>2073</v>
      </c>
      <c r="B25" s="37">
        <v>10083</v>
      </c>
      <c r="C25" s="47">
        <v>938255</v>
      </c>
      <c r="D25" s="40" t="s">
        <v>36</v>
      </c>
      <c r="E25" s="55"/>
      <c r="F25" s="124"/>
      <c r="G25" s="124"/>
      <c r="H25" s="124"/>
      <c r="I25" s="124"/>
      <c r="J25" s="125"/>
      <c r="K25" s="96">
        <f>VLOOKUP(C25,'[7]JULY PERIOD 4'!$A$1:$I$128,9,0)</f>
        <v>234763.69</v>
      </c>
      <c r="L25" s="126"/>
      <c r="M25" s="48"/>
      <c r="N25" s="38"/>
      <c r="O25" s="38"/>
      <c r="P25" s="38"/>
      <c r="Q25" s="38"/>
    </row>
    <row r="26" spans="1:17" ht="16.5" thickBot="1">
      <c r="A26" s="37">
        <v>2019</v>
      </c>
      <c r="B26" s="37">
        <v>10059</v>
      </c>
      <c r="C26" s="47">
        <v>938095</v>
      </c>
      <c r="D26" s="40" t="s">
        <v>38</v>
      </c>
      <c r="E26" s="55"/>
      <c r="F26" s="92">
        <f>3235.98-18.02</f>
        <v>3217.96</v>
      </c>
      <c r="G26" s="92">
        <v>27889.9</v>
      </c>
      <c r="H26" s="92">
        <v>217414.5</v>
      </c>
      <c r="I26" s="92"/>
      <c r="J26" s="92"/>
      <c r="K26" s="96">
        <f>VLOOKUP(C26,'[7]JULY PERIOD 4'!$A$1:$I$128,9,0)</f>
        <v>214196.54</v>
      </c>
      <c r="L26" s="40" t="s">
        <v>271</v>
      </c>
      <c r="M26" s="40">
        <v>100715394</v>
      </c>
      <c r="N26" s="38"/>
      <c r="O26" s="38"/>
      <c r="P26" s="38"/>
      <c r="Q26" s="38"/>
    </row>
    <row r="27" spans="1:17" ht="16.5" thickBot="1">
      <c r="A27" s="37">
        <v>2018</v>
      </c>
      <c r="B27" s="37">
        <v>10058</v>
      </c>
      <c r="C27" s="47">
        <v>938090</v>
      </c>
      <c r="D27" s="40" t="s">
        <v>37</v>
      </c>
      <c r="E27" s="55"/>
      <c r="F27" s="92">
        <f>2694.58-38.79</f>
        <v>2655.79</v>
      </c>
      <c r="G27" s="92">
        <v>124735.86</v>
      </c>
      <c r="H27" s="92">
        <v>199649.65</v>
      </c>
      <c r="I27" s="92"/>
      <c r="J27" s="92"/>
      <c r="K27" s="96">
        <f>VLOOKUP(C27,'[7]JULY PERIOD 4'!$A$1:$I$128,9,0)</f>
        <v>196993.86</v>
      </c>
      <c r="L27" s="40" t="s">
        <v>283</v>
      </c>
      <c r="M27" s="40">
        <v>100718779</v>
      </c>
      <c r="N27" s="38"/>
      <c r="O27" s="38"/>
      <c r="P27" s="38"/>
      <c r="Q27" s="38"/>
    </row>
    <row r="28" spans="1:17" ht="16.5" thickBot="1">
      <c r="A28" s="37">
        <v>2021</v>
      </c>
      <c r="B28" s="37">
        <v>10061</v>
      </c>
      <c r="C28" s="47">
        <v>938100</v>
      </c>
      <c r="D28" s="40" t="s">
        <v>40</v>
      </c>
      <c r="E28" s="55"/>
      <c r="F28" s="92">
        <f>3199.91-20.73</f>
        <v>3179.18</v>
      </c>
      <c r="G28" s="92">
        <v>24952.77</v>
      </c>
      <c r="H28" s="92">
        <v>210823.79</v>
      </c>
      <c r="I28" s="92"/>
      <c r="J28" s="92"/>
      <c r="K28" s="96">
        <f>VLOOKUP(C28,'[7]JULY PERIOD 4'!$A$1:$I$128,9,0)</f>
        <v>207644.61</v>
      </c>
      <c r="L28" s="40" t="s">
        <v>282</v>
      </c>
      <c r="M28" s="40">
        <v>100718452</v>
      </c>
      <c r="N28" s="38"/>
      <c r="O28" s="38"/>
      <c r="P28" s="38"/>
      <c r="Q28" s="38"/>
    </row>
    <row r="29" spans="1:17" ht="16.5" thickBot="1">
      <c r="A29" s="37">
        <v>5200</v>
      </c>
      <c r="B29" s="37">
        <v>10060</v>
      </c>
      <c r="C29" s="47">
        <v>938490</v>
      </c>
      <c r="D29" s="40" t="s">
        <v>39</v>
      </c>
      <c r="E29" s="55"/>
      <c r="F29" s="92">
        <f>6196.61-21.16</f>
        <v>6175.45</v>
      </c>
      <c r="G29" s="92">
        <v>41903.73</v>
      </c>
      <c r="H29" s="92">
        <v>69753.86</v>
      </c>
      <c r="I29" s="92"/>
      <c r="J29" s="92"/>
      <c r="K29" s="96">
        <f>VLOOKUP(C29,'[7]JULY PERIOD 4'!$A$1:$I$128,9,0)</f>
        <v>63578.41</v>
      </c>
      <c r="L29" s="40" t="s">
        <v>274</v>
      </c>
      <c r="M29" s="40">
        <v>100716628</v>
      </c>
      <c r="N29" s="38"/>
      <c r="O29" s="38"/>
      <c r="P29" s="38"/>
      <c r="Q29" s="38"/>
    </row>
    <row r="30" spans="1:17" ht="16.5" thickBot="1">
      <c r="A30" s="37">
        <v>2023</v>
      </c>
      <c r="B30" s="37">
        <v>10063</v>
      </c>
      <c r="C30" s="47">
        <v>938110</v>
      </c>
      <c r="D30" s="40" t="s">
        <v>42</v>
      </c>
      <c r="E30" s="55"/>
      <c r="F30" s="96">
        <v>3711.89</v>
      </c>
      <c r="G30" s="96">
        <v>27511.65</v>
      </c>
      <c r="H30" s="96">
        <v>226611.84</v>
      </c>
      <c r="I30" s="96"/>
      <c r="J30" s="96"/>
      <c r="K30" s="96">
        <f>VLOOKUP(C30,'[7]JULY PERIOD 4'!$A$1:$I$128,9,0)</f>
        <v>222602.95</v>
      </c>
      <c r="L30" s="48" t="s">
        <v>284</v>
      </c>
      <c r="M30" s="48">
        <v>100721242</v>
      </c>
      <c r="N30" s="38"/>
      <c r="O30" s="38"/>
      <c r="P30" s="38"/>
      <c r="Q30" s="38"/>
    </row>
    <row r="31" spans="1:17" ht="16.5" thickBot="1">
      <c r="A31" s="37">
        <v>2022</v>
      </c>
      <c r="B31" s="37">
        <v>10062</v>
      </c>
      <c r="C31" s="47">
        <v>938105</v>
      </c>
      <c r="D31" s="40" t="s">
        <v>41</v>
      </c>
      <c r="E31" s="55"/>
      <c r="F31" s="92">
        <v>791.49</v>
      </c>
      <c r="G31" s="92">
        <v>24613.67</v>
      </c>
      <c r="H31" s="92">
        <v>254592.22</v>
      </c>
      <c r="I31" s="92"/>
      <c r="J31" s="92"/>
      <c r="K31" s="96">
        <f>VLOOKUP(C31,'[7]JULY PERIOD 4'!$A$1:$I$128,9,0)</f>
        <v>253800.72</v>
      </c>
      <c r="L31" s="40" t="s">
        <v>270</v>
      </c>
      <c r="M31" s="40">
        <v>100715376</v>
      </c>
      <c r="N31" s="38"/>
      <c r="O31" s="38"/>
      <c r="P31" s="38"/>
      <c r="Q31" s="38"/>
    </row>
    <row r="32" spans="1:17" ht="16.5" thickBot="1">
      <c r="A32" s="37">
        <v>3524</v>
      </c>
      <c r="B32" s="37">
        <v>11278</v>
      </c>
      <c r="C32" s="47">
        <v>938590</v>
      </c>
      <c r="D32" s="40" t="s">
        <v>396</v>
      </c>
      <c r="E32" s="55"/>
      <c r="F32" s="92"/>
      <c r="G32" s="92"/>
      <c r="H32" s="92"/>
      <c r="I32" s="92"/>
      <c r="J32" s="92"/>
      <c r="K32" s="96"/>
      <c r="L32" s="40"/>
      <c r="M32" s="40">
        <v>1</v>
      </c>
      <c r="N32" s="38"/>
      <c r="O32" s="38"/>
      <c r="P32" s="38"/>
      <c r="Q32" s="38"/>
    </row>
    <row r="33" spans="1:17" ht="16.5" thickBot="1">
      <c r="A33" s="37">
        <v>2024</v>
      </c>
      <c r="B33" s="37">
        <v>10064</v>
      </c>
      <c r="C33" s="47">
        <v>938115</v>
      </c>
      <c r="D33" s="40" t="s">
        <v>43</v>
      </c>
      <c r="E33" s="55"/>
      <c r="F33" s="92">
        <v>2801.29</v>
      </c>
      <c r="G33" s="92">
        <v>24819.71</v>
      </c>
      <c r="H33" s="92">
        <v>238711.75</v>
      </c>
      <c r="I33" s="92"/>
      <c r="J33" s="92"/>
      <c r="K33" s="96">
        <f>VLOOKUP(C33,'[7]JULY PERIOD 4'!$A$1:$I$128,9,0)</f>
        <v>235910.46</v>
      </c>
      <c r="L33" s="40" t="s">
        <v>283</v>
      </c>
      <c r="M33" s="40">
        <v>100718776</v>
      </c>
      <c r="N33" s="38"/>
      <c r="O33" s="38"/>
      <c r="P33" s="38"/>
      <c r="Q33" s="38"/>
    </row>
    <row r="34" spans="1:17" ht="16.5" thickBot="1">
      <c r="A34" s="37">
        <v>2025</v>
      </c>
      <c r="B34" s="37">
        <v>10065</v>
      </c>
      <c r="C34" s="47">
        <v>938120</v>
      </c>
      <c r="D34" s="40" t="s">
        <v>44</v>
      </c>
      <c r="E34" s="55"/>
      <c r="F34" s="92">
        <v>3035.19</v>
      </c>
      <c r="G34" s="92">
        <v>23741.37</v>
      </c>
      <c r="H34" s="92">
        <v>208934.82</v>
      </c>
      <c r="I34" s="92"/>
      <c r="J34" s="92"/>
      <c r="K34" s="96">
        <f>VLOOKUP(C34,'[7]JULY PERIOD 4'!$A$1:$I$128,9,0)</f>
        <v>205899.63</v>
      </c>
      <c r="L34" s="40" t="s">
        <v>274</v>
      </c>
      <c r="M34" s="40">
        <v>100716157</v>
      </c>
      <c r="N34" s="38"/>
      <c r="O34" s="38"/>
      <c r="P34" s="38"/>
      <c r="Q34" s="38"/>
    </row>
    <row r="35" spans="1:17" ht="16.5" thickBot="1">
      <c r="A35" s="37">
        <v>2026</v>
      </c>
      <c r="B35" s="37">
        <v>10066</v>
      </c>
      <c r="C35" s="47">
        <v>938125</v>
      </c>
      <c r="D35" s="40" t="s">
        <v>45</v>
      </c>
      <c r="E35" s="55"/>
      <c r="F35" s="92">
        <v>3760.55</v>
      </c>
      <c r="G35" s="92">
        <v>47155.31</v>
      </c>
      <c r="H35" s="92">
        <v>347982.67</v>
      </c>
      <c r="I35" s="92"/>
      <c r="J35" s="92"/>
      <c r="K35" s="96">
        <f>VLOOKUP(C35,'[7]JULY PERIOD 4'!$A$1:$I$128,9,0)</f>
        <v>344222.12</v>
      </c>
      <c r="L35" s="40" t="s">
        <v>271</v>
      </c>
      <c r="M35" s="40">
        <v>100715410</v>
      </c>
      <c r="N35" s="38"/>
      <c r="O35" s="38"/>
      <c r="P35" s="38"/>
      <c r="Q35" s="38"/>
    </row>
    <row r="36" spans="1:17" ht="16.5" thickBot="1">
      <c r="A36" s="37">
        <v>2028</v>
      </c>
      <c r="B36" s="37">
        <v>10068</v>
      </c>
      <c r="C36" s="47">
        <v>938135</v>
      </c>
      <c r="D36" s="40" t="s">
        <v>47</v>
      </c>
      <c r="E36" s="55"/>
      <c r="F36" s="92">
        <v>2051.48</v>
      </c>
      <c r="G36" s="92">
        <v>28188.7</v>
      </c>
      <c r="H36" s="92">
        <v>181482.81</v>
      </c>
      <c r="I36" s="92"/>
      <c r="J36" s="92"/>
      <c r="K36" s="96">
        <f>VLOOKUP(C36,'[7]JULY PERIOD 4'!$A$1:$I$128,9,0)</f>
        <v>179431.33</v>
      </c>
      <c r="L36" s="40" t="s">
        <v>272</v>
      </c>
      <c r="M36" s="40">
        <v>100715797</v>
      </c>
      <c r="N36" s="38"/>
      <c r="O36" s="38"/>
      <c r="P36" s="38"/>
      <c r="Q36" s="38"/>
    </row>
    <row r="37" spans="1:17" ht="16.5" thickBot="1">
      <c r="A37" s="37">
        <v>2027</v>
      </c>
      <c r="B37" s="37">
        <v>10067</v>
      </c>
      <c r="C37" s="47">
        <v>938130</v>
      </c>
      <c r="D37" s="40" t="s">
        <v>46</v>
      </c>
      <c r="E37" s="55"/>
      <c r="F37" s="92">
        <f>4218.14-25.51</f>
        <v>4192.63</v>
      </c>
      <c r="G37" s="92">
        <v>28190.18</v>
      </c>
      <c r="H37" s="92">
        <v>221820.98</v>
      </c>
      <c r="I37" s="92"/>
      <c r="J37" s="92"/>
      <c r="K37" s="96">
        <f>VLOOKUP(C37,'[7]JULY PERIOD 4'!$A$1:$I$128,9,0)</f>
        <v>217628.35</v>
      </c>
      <c r="L37" s="40" t="s">
        <v>270</v>
      </c>
      <c r="M37" s="40">
        <v>100715372</v>
      </c>
      <c r="N37" s="38"/>
      <c r="O37" s="38"/>
      <c r="P37" s="38"/>
      <c r="Q37" s="38"/>
    </row>
    <row r="38" spans="1:17" ht="16.5" thickBot="1">
      <c r="A38" s="37">
        <v>2029</v>
      </c>
      <c r="B38" s="37">
        <v>10069</v>
      </c>
      <c r="C38" s="47">
        <v>938140</v>
      </c>
      <c r="D38" s="40" t="s">
        <v>48</v>
      </c>
      <c r="E38" s="55"/>
      <c r="F38" s="92"/>
      <c r="G38" s="92"/>
      <c r="H38" s="92"/>
      <c r="I38" s="92"/>
      <c r="J38" s="92"/>
      <c r="K38" s="96">
        <f>VLOOKUP(C38,'[7]JULY PERIOD 4'!$A$1:$I$128,9,0)</f>
        <v>489966.16</v>
      </c>
      <c r="L38" s="40"/>
      <c r="M38" s="40"/>
      <c r="N38" s="38"/>
      <c r="O38" s="38"/>
      <c r="P38" s="38"/>
      <c r="Q38" s="38"/>
    </row>
    <row r="39" spans="1:17" ht="16.5" thickBot="1">
      <c r="A39" s="37">
        <v>2030</v>
      </c>
      <c r="B39" s="37">
        <v>10070</v>
      </c>
      <c r="C39" s="47">
        <v>938145</v>
      </c>
      <c r="D39" s="40" t="s">
        <v>50</v>
      </c>
      <c r="E39" s="55"/>
      <c r="F39" s="92">
        <v>246.18</v>
      </c>
      <c r="G39" s="92">
        <v>7762.9</v>
      </c>
      <c r="H39" s="92">
        <v>108083.71</v>
      </c>
      <c r="I39" s="92"/>
      <c r="J39" s="92"/>
      <c r="K39" s="96">
        <f>VLOOKUP(C39,'[7]JULY PERIOD 4'!$A$1:$I$128,9,0)</f>
        <v>107837.53</v>
      </c>
      <c r="L39" s="40" t="s">
        <v>274</v>
      </c>
      <c r="M39" s="40">
        <v>100716625</v>
      </c>
      <c r="N39" s="38"/>
      <c r="O39" s="38"/>
      <c r="P39" s="38"/>
      <c r="Q39" s="38"/>
    </row>
    <row r="40" spans="1:17" ht="16.5" thickBot="1">
      <c r="A40" s="37">
        <v>3516</v>
      </c>
      <c r="B40" s="37">
        <v>10121</v>
      </c>
      <c r="C40" s="47">
        <v>938425</v>
      </c>
      <c r="D40" s="40" t="s">
        <v>51</v>
      </c>
      <c r="E40" s="55"/>
      <c r="F40" s="92">
        <v>493.73</v>
      </c>
      <c r="G40" s="92">
        <v>3192.95</v>
      </c>
      <c r="H40" s="92">
        <v>1656.61</v>
      </c>
      <c r="I40" s="92"/>
      <c r="J40" s="83"/>
      <c r="K40" s="96">
        <f>VLOOKUP(C40,'[7]JULY PERIOD 4'!$A$1:$I$128,9,0)</f>
        <v>1162.8799999999792</v>
      </c>
      <c r="L40" s="40" t="s">
        <v>276</v>
      </c>
      <c r="M40" s="40">
        <v>100717255</v>
      </c>
      <c r="N40" s="38"/>
      <c r="O40" s="38"/>
      <c r="P40" s="38"/>
      <c r="Q40" s="38"/>
    </row>
    <row r="41" spans="1:17" ht="16.5" thickBot="1">
      <c r="A41" s="37">
        <v>2031</v>
      </c>
      <c r="B41" s="37">
        <v>10071</v>
      </c>
      <c r="C41" s="47">
        <v>938150</v>
      </c>
      <c r="D41" s="40" t="s">
        <v>52</v>
      </c>
      <c r="E41" s="55"/>
      <c r="F41" s="92">
        <v>9990.67</v>
      </c>
      <c r="G41" s="92">
        <v>79579.58</v>
      </c>
      <c r="H41" s="92">
        <v>130433.41</v>
      </c>
      <c r="I41" s="92"/>
      <c r="J41" s="92"/>
      <c r="K41" s="96">
        <f>VLOOKUP(C41,'[7]JULY PERIOD 4'!$A$1:$I$128,9,0)</f>
        <v>120442.74</v>
      </c>
      <c r="L41" s="40" t="s">
        <v>275</v>
      </c>
      <c r="M41" s="40">
        <v>100716979</v>
      </c>
      <c r="N41" s="38"/>
      <c r="O41" s="38"/>
      <c r="P41" s="38"/>
      <c r="Q41" s="38"/>
    </row>
    <row r="42" spans="1:17" ht="16.5" thickBot="1">
      <c r="A42" s="37">
        <v>2032</v>
      </c>
      <c r="B42" s="37">
        <v>10072</v>
      </c>
      <c r="C42" s="47">
        <v>938155</v>
      </c>
      <c r="D42" s="40" t="s">
        <v>53</v>
      </c>
      <c r="E42" s="55"/>
      <c r="F42" s="38"/>
      <c r="G42" s="38"/>
      <c r="H42" s="38"/>
      <c r="I42" s="92"/>
      <c r="J42" s="92"/>
      <c r="K42" s="96">
        <f>VLOOKUP(C42,'[7]JULY PERIOD 4'!$A$1:$I$128,9,0)</f>
        <v>158817.26</v>
      </c>
      <c r="L42" s="40"/>
      <c r="M42" s="40"/>
      <c r="N42" s="38"/>
      <c r="O42" s="38"/>
      <c r="P42" s="38"/>
      <c r="Q42" s="38"/>
    </row>
    <row r="43" spans="1:17" ht="16.5" thickBot="1">
      <c r="A43" s="37">
        <v>3304</v>
      </c>
      <c r="B43" s="37">
        <v>10073</v>
      </c>
      <c r="C43" s="47">
        <v>938290</v>
      </c>
      <c r="D43" s="40" t="s">
        <v>54</v>
      </c>
      <c r="E43" s="55"/>
      <c r="F43" s="92">
        <v>1115.67</v>
      </c>
      <c r="G43" s="92">
        <v>9539.5</v>
      </c>
      <c r="H43" s="92">
        <v>96252.27</v>
      </c>
      <c r="I43" s="92"/>
      <c r="J43" s="92"/>
      <c r="K43" s="96">
        <f>VLOOKUP(C43,'[7]JULY PERIOD 4'!$A$1:$I$128,9,0)</f>
        <v>95136.59999999995</v>
      </c>
      <c r="L43" s="40" t="s">
        <v>273</v>
      </c>
      <c r="M43" s="40">
        <v>100715429</v>
      </c>
      <c r="N43" s="38"/>
      <c r="O43" s="38"/>
      <c r="P43" s="38"/>
      <c r="Q43" s="38"/>
    </row>
    <row r="44" spans="1:17" ht="16.5" thickBot="1">
      <c r="A44" s="37">
        <v>2074</v>
      </c>
      <c r="B44" s="37">
        <v>10122</v>
      </c>
      <c r="C44" s="47">
        <v>938260</v>
      </c>
      <c r="D44" s="40" t="s">
        <v>55</v>
      </c>
      <c r="E44" s="55"/>
      <c r="F44" s="92">
        <v>10066.77</v>
      </c>
      <c r="G44" s="92">
        <v>-21813</v>
      </c>
      <c r="H44" s="92">
        <v>347844.01</v>
      </c>
      <c r="I44" s="92"/>
      <c r="J44" s="92"/>
      <c r="K44" s="96">
        <f>VLOOKUP(C44,'[7]JULY PERIOD 4'!$A$1:$I$128,9,0)</f>
        <v>337777.25</v>
      </c>
      <c r="L44" s="40" t="s">
        <v>280</v>
      </c>
      <c r="M44" s="40">
        <v>100717266</v>
      </c>
      <c r="N44" s="38"/>
      <c r="O44" s="38"/>
      <c r="P44" s="38"/>
      <c r="Q44" s="38"/>
    </row>
    <row r="45" spans="1:17" ht="16.5" thickBot="1">
      <c r="A45" s="37">
        <v>3515</v>
      </c>
      <c r="B45" s="37">
        <v>10106</v>
      </c>
      <c r="C45" s="47">
        <v>938420</v>
      </c>
      <c r="D45" s="40" t="s">
        <v>56</v>
      </c>
      <c r="E45" s="55"/>
      <c r="F45" s="92">
        <v>2136.72</v>
      </c>
      <c r="G45" s="92">
        <v>16351</v>
      </c>
      <c r="H45" s="92">
        <v>43961.43</v>
      </c>
      <c r="I45" s="92"/>
      <c r="J45" s="92"/>
      <c r="K45" s="96">
        <f>VLOOKUP(C45,'[7]JULY PERIOD 4'!$A$1:$I$128,9,0)</f>
        <v>41824.71</v>
      </c>
      <c r="L45" s="40" t="s">
        <v>283</v>
      </c>
      <c r="M45" s="40">
        <v>100718462</v>
      </c>
      <c r="N45" s="38"/>
      <c r="O45" s="38"/>
      <c r="P45" s="38"/>
      <c r="Q45" s="38"/>
    </row>
    <row r="46" spans="1:17" ht="16.5" thickBot="1">
      <c r="A46" s="37">
        <v>2036</v>
      </c>
      <c r="B46" s="37">
        <v>10074</v>
      </c>
      <c r="C46" s="47">
        <v>938160</v>
      </c>
      <c r="D46" s="40" t="s">
        <v>57</v>
      </c>
      <c r="E46" s="55"/>
      <c r="F46" s="92"/>
      <c r="G46" s="92"/>
      <c r="H46" s="92"/>
      <c r="I46" s="92"/>
      <c r="J46" s="92"/>
      <c r="K46" s="96">
        <f>VLOOKUP(C46,'[7]JULY PERIOD 4'!$A$1:$I$128,9,0)</f>
        <v>434461.59</v>
      </c>
      <c r="L46" s="40"/>
      <c r="M46" s="40"/>
      <c r="N46" s="38"/>
      <c r="O46" s="38"/>
      <c r="P46" s="38"/>
      <c r="Q46" s="38"/>
    </row>
    <row r="47" spans="1:17" ht="16.5" thickBot="1">
      <c r="A47" s="37">
        <v>2037</v>
      </c>
      <c r="B47" s="37">
        <v>10075</v>
      </c>
      <c r="C47" s="47">
        <v>938165</v>
      </c>
      <c r="D47" s="40" t="s">
        <v>58</v>
      </c>
      <c r="E47" s="55"/>
      <c r="F47" s="92">
        <f>1640.44-7.79</f>
        <v>1632.65</v>
      </c>
      <c r="G47" s="92">
        <v>28482.62</v>
      </c>
      <c r="H47" s="92">
        <v>178257.1</v>
      </c>
      <c r="I47" s="92"/>
      <c r="J47" s="92"/>
      <c r="K47" s="96">
        <f>VLOOKUP(C47,'[7]JULY PERIOD 4'!$A$1:$I$128,9,0)</f>
        <v>176624.45</v>
      </c>
      <c r="L47" s="40" t="s">
        <v>276</v>
      </c>
      <c r="M47" s="40">
        <v>100716994</v>
      </c>
      <c r="N47" s="38"/>
      <c r="O47" s="38"/>
      <c r="P47" s="38"/>
      <c r="Q47" s="38"/>
    </row>
    <row r="48" spans="1:13" s="38" customFormat="1" ht="16.5" thickBot="1">
      <c r="A48" s="37">
        <v>3523</v>
      </c>
      <c r="B48" s="37">
        <v>11093</v>
      </c>
      <c r="C48" s="47">
        <v>938580</v>
      </c>
      <c r="D48" s="40" t="s">
        <v>177</v>
      </c>
      <c r="E48" s="55"/>
      <c r="F48" s="92">
        <v>4309.1</v>
      </c>
      <c r="G48" s="92">
        <v>30483.45</v>
      </c>
      <c r="H48" s="92">
        <v>263502.67</v>
      </c>
      <c r="I48" s="92"/>
      <c r="J48" s="92"/>
      <c r="K48" s="96">
        <f>VLOOKUP(C48,'[7]JULY PERIOD 4'!$A$1:$I$128,9,0)</f>
        <v>259193.57</v>
      </c>
      <c r="L48" s="40" t="s">
        <v>274</v>
      </c>
      <c r="M48" s="40">
        <v>100716170</v>
      </c>
    </row>
    <row r="49" spans="1:17" ht="16.5" thickBot="1">
      <c r="A49" s="37">
        <v>5948</v>
      </c>
      <c r="B49" s="37">
        <v>10125</v>
      </c>
      <c r="C49" s="47">
        <v>938550</v>
      </c>
      <c r="D49" s="40" t="s">
        <v>59</v>
      </c>
      <c r="E49" s="55"/>
      <c r="F49" s="45">
        <v>2894.92</v>
      </c>
      <c r="G49" s="96">
        <v>-48607.2</v>
      </c>
      <c r="H49" s="45">
        <v>151394.74</v>
      </c>
      <c r="I49" s="92"/>
      <c r="J49" s="92"/>
      <c r="K49" s="96">
        <f>VLOOKUP(C49,'[7]JULY PERIOD 4'!$A$1:$I$128,9,0)</f>
        <v>148499.82</v>
      </c>
      <c r="L49" s="48" t="s">
        <v>284</v>
      </c>
      <c r="M49" s="48">
        <v>100721226</v>
      </c>
      <c r="N49" s="38"/>
      <c r="O49" s="38"/>
      <c r="P49" s="38"/>
      <c r="Q49" s="38"/>
    </row>
    <row r="50" spans="1:17" ht="16.5" thickBot="1">
      <c r="A50" s="37">
        <v>5949</v>
      </c>
      <c r="B50" s="37">
        <v>10126</v>
      </c>
      <c r="C50" s="47">
        <v>938555</v>
      </c>
      <c r="D50" s="40" t="s">
        <v>61</v>
      </c>
      <c r="E50" s="55"/>
      <c r="F50" s="92">
        <v>1391.61</v>
      </c>
      <c r="G50" s="92">
        <v>18760.58</v>
      </c>
      <c r="H50" s="92">
        <v>15212.19</v>
      </c>
      <c r="I50" s="96"/>
      <c r="J50" s="96"/>
      <c r="K50" s="96">
        <f>VLOOKUP(C50,'[7]JULY PERIOD 4'!$A$1:$I$128,9,0)</f>
        <v>13820.58</v>
      </c>
      <c r="L50" s="40" t="s">
        <v>282</v>
      </c>
      <c r="M50" s="40">
        <v>100718450</v>
      </c>
      <c r="N50" s="38"/>
      <c r="O50" s="38"/>
      <c r="P50" s="38"/>
      <c r="Q50" s="38"/>
    </row>
    <row r="51" spans="1:17" ht="16.5" thickBot="1">
      <c r="A51" s="37">
        <v>3513</v>
      </c>
      <c r="B51" s="37">
        <v>10114</v>
      </c>
      <c r="C51" s="47">
        <v>938410</v>
      </c>
      <c r="D51" s="40" t="s">
        <v>60</v>
      </c>
      <c r="E51" s="55"/>
      <c r="F51" s="92"/>
      <c r="G51" s="92"/>
      <c r="H51" s="92"/>
      <c r="I51" s="92"/>
      <c r="J51" s="92"/>
      <c r="K51" s="96">
        <f>VLOOKUP(C51,'[7]JULY PERIOD 4'!$A$1:$I$128,9,0)</f>
        <v>154203.66</v>
      </c>
      <c r="L51" s="40"/>
      <c r="M51" s="40"/>
      <c r="N51" s="38"/>
      <c r="O51" s="38"/>
      <c r="P51" s="38"/>
      <c r="Q51" s="38"/>
    </row>
    <row r="52" spans="1:17" ht="16.5" thickBot="1">
      <c r="A52" s="37">
        <v>3305</v>
      </c>
      <c r="B52" s="37">
        <v>10078</v>
      </c>
      <c r="C52" s="47">
        <v>938295</v>
      </c>
      <c r="D52" s="40" t="s">
        <v>62</v>
      </c>
      <c r="E52" s="55"/>
      <c r="F52" s="92">
        <v>815.08</v>
      </c>
      <c r="G52" s="92">
        <v>26597.61</v>
      </c>
      <c r="H52" s="92">
        <v>57153.9</v>
      </c>
      <c r="I52" s="92"/>
      <c r="J52" s="92"/>
      <c r="K52" s="96">
        <f>VLOOKUP(C52,'[7]JULY PERIOD 4'!$A$1:$I$128,9,0)</f>
        <v>56338.82</v>
      </c>
      <c r="L52" s="40" t="s">
        <v>280</v>
      </c>
      <c r="M52" s="40">
        <v>100717263</v>
      </c>
      <c r="N52" s="38"/>
      <c r="O52" s="38"/>
      <c r="P52" s="38"/>
      <c r="Q52" s="38"/>
    </row>
    <row r="53" spans="1:17" ht="16.5" thickBot="1">
      <c r="A53" s="37">
        <v>2042</v>
      </c>
      <c r="B53" s="37">
        <v>10079</v>
      </c>
      <c r="C53" s="47">
        <v>938180</v>
      </c>
      <c r="D53" s="40" t="s">
        <v>63</v>
      </c>
      <c r="E53" s="55"/>
      <c r="F53" s="92">
        <v>2927.67</v>
      </c>
      <c r="G53" s="92">
        <v>98105.56</v>
      </c>
      <c r="H53" s="92">
        <v>167590.6</v>
      </c>
      <c r="I53" s="92"/>
      <c r="J53" s="92"/>
      <c r="K53" s="96">
        <f>VLOOKUP(C53,'[7]JULY PERIOD 4'!$A$1:$I$128,9,0)</f>
        <v>164662.93</v>
      </c>
      <c r="L53" s="40" t="s">
        <v>272</v>
      </c>
      <c r="M53" s="40">
        <v>100715794</v>
      </c>
      <c r="N53" s="38"/>
      <c r="O53" s="38"/>
      <c r="P53" s="38"/>
      <c r="Q53" s="38"/>
    </row>
    <row r="54" spans="1:17" ht="16.5" thickBot="1">
      <c r="A54" s="37">
        <v>2044</v>
      </c>
      <c r="B54" s="37">
        <v>10081</v>
      </c>
      <c r="C54" s="47">
        <v>938190</v>
      </c>
      <c r="D54" s="40" t="s">
        <v>65</v>
      </c>
      <c r="E54" s="55"/>
      <c r="F54" s="92">
        <v>4351.88</v>
      </c>
      <c r="G54" s="92">
        <v>22087.31</v>
      </c>
      <c r="H54" s="92">
        <v>206497.22</v>
      </c>
      <c r="I54" s="92"/>
      <c r="J54" s="92"/>
      <c r="K54" s="96">
        <f>VLOOKUP(C54,'[7]JULY PERIOD 4'!$A$1:$I$128,9,0)</f>
        <v>202145.34</v>
      </c>
      <c r="L54" s="40" t="s">
        <v>283</v>
      </c>
      <c r="M54" s="40">
        <v>100718783</v>
      </c>
      <c r="N54" s="38"/>
      <c r="O54" s="38"/>
      <c r="P54" s="38"/>
      <c r="Q54" s="38"/>
    </row>
    <row r="55" spans="1:17" ht="16.5" thickBot="1">
      <c r="A55" s="37">
        <v>2043</v>
      </c>
      <c r="B55" s="37">
        <v>10080</v>
      </c>
      <c r="C55" s="47">
        <v>938185</v>
      </c>
      <c r="D55" s="40" t="s">
        <v>64</v>
      </c>
      <c r="E55" s="55"/>
      <c r="F55" s="92">
        <v>20315.6</v>
      </c>
      <c r="G55" s="92">
        <v>173744.31</v>
      </c>
      <c r="H55" s="92">
        <v>144719.53</v>
      </c>
      <c r="I55" s="92"/>
      <c r="J55" s="92"/>
      <c r="K55" s="96">
        <f>VLOOKUP(C55,'[7]JULY PERIOD 4'!$A$1:$I$128,9,0)</f>
        <v>124403.93</v>
      </c>
      <c r="L55" s="40" t="s">
        <v>275</v>
      </c>
      <c r="M55" s="40">
        <v>100716993</v>
      </c>
      <c r="N55" s="38"/>
      <c r="O55" s="38"/>
      <c r="P55" s="38"/>
      <c r="Q55" s="38"/>
    </row>
    <row r="56" spans="1:17" ht="16.5" thickBot="1">
      <c r="A56" s="37">
        <v>2045</v>
      </c>
      <c r="B56" s="37">
        <v>10082</v>
      </c>
      <c r="C56" s="47">
        <v>938195</v>
      </c>
      <c r="D56" s="40" t="s">
        <v>66</v>
      </c>
      <c r="E56" s="55"/>
      <c r="F56" s="92">
        <v>1981.3</v>
      </c>
      <c r="G56" s="92">
        <v>41553.44</v>
      </c>
      <c r="H56" s="92">
        <v>220735.24</v>
      </c>
      <c r="I56" s="92"/>
      <c r="J56" s="92"/>
      <c r="K56" s="96">
        <f>VLOOKUP(C56,'[7]JULY PERIOD 4'!$A$1:$I$128,9,0)</f>
        <v>218753.94</v>
      </c>
      <c r="L56" s="40" t="s">
        <v>268</v>
      </c>
      <c r="M56" s="40">
        <v>100714099</v>
      </c>
      <c r="N56" s="38"/>
      <c r="O56" s="38"/>
      <c r="P56" s="38"/>
      <c r="Q56" s="38"/>
    </row>
    <row r="57" spans="1:17" ht="16.5" thickBot="1">
      <c r="A57" s="37">
        <v>2077</v>
      </c>
      <c r="B57" s="37">
        <v>10127</v>
      </c>
      <c r="C57" s="47">
        <v>938270</v>
      </c>
      <c r="D57" s="40" t="s">
        <v>49</v>
      </c>
      <c r="E57" s="55"/>
      <c r="F57" s="92">
        <f>5284.17-8.44</f>
        <v>5275.7300000000005</v>
      </c>
      <c r="G57" s="92">
        <v>63084.76</v>
      </c>
      <c r="H57" s="92">
        <v>180579.68</v>
      </c>
      <c r="I57" s="92"/>
      <c r="J57" s="92"/>
      <c r="K57" s="96">
        <f>VLOOKUP(C57,'[7]JULY PERIOD 4'!$A$1:$I$128,9,0)</f>
        <v>175303.95</v>
      </c>
      <c r="L57" s="40" t="s">
        <v>276</v>
      </c>
      <c r="M57" s="40">
        <v>100717209</v>
      </c>
      <c r="N57" s="38"/>
      <c r="O57" s="38"/>
      <c r="P57" s="38"/>
      <c r="Q57" s="38"/>
    </row>
    <row r="58" spans="1:17" ht="16.5" thickBot="1">
      <c r="A58" s="37">
        <v>5201</v>
      </c>
      <c r="B58" s="37">
        <v>10084</v>
      </c>
      <c r="C58" s="47">
        <v>938495</v>
      </c>
      <c r="D58" s="40" t="s">
        <v>68</v>
      </c>
      <c r="E58" s="55"/>
      <c r="F58" s="92">
        <f>4815.8-47.21</f>
        <v>4768.59</v>
      </c>
      <c r="G58" s="92">
        <v>19345.38</v>
      </c>
      <c r="H58" s="92">
        <v>175690.94</v>
      </c>
      <c r="I58" s="92"/>
      <c r="J58" s="92"/>
      <c r="K58" s="96">
        <f>VLOOKUP(C58,'[7]JULY PERIOD 4'!$A$1:$I$128,9,0)</f>
        <v>170922.35</v>
      </c>
      <c r="L58" s="40" t="s">
        <v>275</v>
      </c>
      <c r="M58" s="40">
        <v>100716663</v>
      </c>
      <c r="N58" s="38"/>
      <c r="O58" s="38"/>
      <c r="P58" s="38"/>
      <c r="Q58" s="38"/>
    </row>
    <row r="59" spans="1:17" ht="16.5" thickBot="1">
      <c r="A59" s="37">
        <v>3501</v>
      </c>
      <c r="B59" s="37">
        <v>10085</v>
      </c>
      <c r="C59" s="47">
        <v>938360</v>
      </c>
      <c r="D59" s="40" t="s">
        <v>67</v>
      </c>
      <c r="E59" s="55"/>
      <c r="F59" s="92">
        <f>823.17-10.43</f>
        <v>812.74</v>
      </c>
      <c r="G59" s="92">
        <v>12049.31</v>
      </c>
      <c r="H59" s="92">
        <v>134652.41</v>
      </c>
      <c r="I59" s="92"/>
      <c r="J59" s="92"/>
      <c r="K59" s="96">
        <f>VLOOKUP(C59,'[7]JULY PERIOD 4'!$A$1:$I$128,9,0)</f>
        <v>133839.67</v>
      </c>
      <c r="L59" s="40" t="s">
        <v>271</v>
      </c>
      <c r="M59" s="40">
        <v>100715397</v>
      </c>
      <c r="N59" s="38"/>
      <c r="O59" s="38"/>
      <c r="P59" s="38"/>
      <c r="Q59" s="38"/>
    </row>
    <row r="60" spans="1:17" ht="16.5" thickBot="1">
      <c r="A60" s="37">
        <v>2078</v>
      </c>
      <c r="B60" s="37">
        <v>10129</v>
      </c>
      <c r="C60" s="47">
        <v>938275</v>
      </c>
      <c r="D60" s="40" t="s">
        <v>123</v>
      </c>
      <c r="E60" s="55"/>
      <c r="F60" s="92"/>
      <c r="G60" s="92"/>
      <c r="H60" s="92"/>
      <c r="I60" s="92"/>
      <c r="J60" s="92"/>
      <c r="K60" s="96">
        <f>VLOOKUP(C60,'[7]JULY PERIOD 4'!$A$1:$I$128,9,0)</f>
        <v>22483.86</v>
      </c>
      <c r="L60" s="40"/>
      <c r="M60" s="40"/>
      <c r="N60" s="38"/>
      <c r="O60" s="38"/>
      <c r="P60" s="38"/>
      <c r="Q60" s="38"/>
    </row>
    <row r="61" spans="1:17" ht="16.5" thickBot="1">
      <c r="A61" s="37">
        <v>2000</v>
      </c>
      <c r="B61" s="37">
        <v>10120</v>
      </c>
      <c r="C61" s="47">
        <v>938020</v>
      </c>
      <c r="D61" s="40" t="s">
        <v>69</v>
      </c>
      <c r="E61" s="55"/>
      <c r="F61" s="92">
        <f>10663.58-27.94</f>
        <v>10635.64</v>
      </c>
      <c r="G61" s="92">
        <v>90132.82</v>
      </c>
      <c r="H61" s="92">
        <v>40720.67</v>
      </c>
      <c r="I61" s="92"/>
      <c r="J61" s="92"/>
      <c r="K61" s="96">
        <f>VLOOKUP(C61,'[7]JULY PERIOD 4'!$A$1:$I$128,9,0)</f>
        <v>30085.030000000057</v>
      </c>
      <c r="L61" s="40" t="s">
        <v>275</v>
      </c>
      <c r="M61" s="40">
        <v>100716971</v>
      </c>
      <c r="N61" s="38"/>
      <c r="O61" s="38"/>
      <c r="P61" s="38"/>
      <c r="Q61" s="38"/>
    </row>
    <row r="62" spans="1:17" ht="16.5" thickBot="1">
      <c r="A62" s="37">
        <v>2071</v>
      </c>
      <c r="B62" s="37">
        <v>10119</v>
      </c>
      <c r="C62" s="47">
        <v>938245</v>
      </c>
      <c r="D62" s="40" t="s">
        <v>71</v>
      </c>
      <c r="E62" s="55"/>
      <c r="F62" s="92"/>
      <c r="G62" s="92"/>
      <c r="H62" s="92"/>
      <c r="I62" s="92"/>
      <c r="J62" s="92"/>
      <c r="K62" s="96">
        <f>VLOOKUP(C62,'[7]JULY PERIOD 4'!$A$1:$I$128,9,0)</f>
        <v>146981.65</v>
      </c>
      <c r="L62" s="40"/>
      <c r="M62" s="40"/>
      <c r="N62" s="38"/>
      <c r="O62" s="38"/>
      <c r="P62" s="38"/>
      <c r="Q62" s="38"/>
    </row>
    <row r="63" spans="1:17" ht="16.5" thickBot="1">
      <c r="A63" s="37">
        <v>2072</v>
      </c>
      <c r="B63" s="37">
        <v>10086</v>
      </c>
      <c r="C63" s="47">
        <v>938250</v>
      </c>
      <c r="D63" s="40" t="s">
        <v>70</v>
      </c>
      <c r="E63" s="55"/>
      <c r="F63" s="92">
        <v>2656.47</v>
      </c>
      <c r="G63" s="92">
        <v>7054.56</v>
      </c>
      <c r="H63" s="92">
        <v>231267.96</v>
      </c>
      <c r="I63" s="92"/>
      <c r="J63" s="92"/>
      <c r="K63" s="96">
        <f>VLOOKUP(C63,'[7]JULY PERIOD 4'!$A$1:$I$128,9,0)</f>
        <v>228611.49</v>
      </c>
      <c r="L63" s="40" t="s">
        <v>272</v>
      </c>
      <c r="M63" s="40">
        <v>100715792</v>
      </c>
      <c r="N63" s="38"/>
      <c r="O63" s="38"/>
      <c r="P63" s="38"/>
      <c r="Q63" s="38"/>
    </row>
    <row r="64" spans="1:17" ht="16.5" thickBot="1">
      <c r="A64" s="37">
        <v>3512</v>
      </c>
      <c r="B64" s="37">
        <v>10112</v>
      </c>
      <c r="C64" s="47">
        <v>938405</v>
      </c>
      <c r="D64" s="40" t="s">
        <v>72</v>
      </c>
      <c r="E64" s="55"/>
      <c r="F64" s="92">
        <v>978.36</v>
      </c>
      <c r="G64" s="92">
        <v>1881.59</v>
      </c>
      <c r="H64" s="92">
        <v>233228.47</v>
      </c>
      <c r="I64" s="92"/>
      <c r="J64" s="92"/>
      <c r="K64" s="96">
        <f>VLOOKUP(C64,'[7]JULY PERIOD 4'!$A$1:$I$128,9,0)</f>
        <v>232250.11</v>
      </c>
      <c r="L64" s="40" t="s">
        <v>270</v>
      </c>
      <c r="M64" s="113">
        <v>100714123</v>
      </c>
      <c r="N64" s="38"/>
      <c r="O64" s="38"/>
      <c r="P64" s="38"/>
      <c r="Q64" s="38"/>
    </row>
    <row r="65" spans="1:17" ht="16.5" thickBot="1">
      <c r="A65" s="37">
        <v>3510</v>
      </c>
      <c r="B65" s="37">
        <v>10110</v>
      </c>
      <c r="C65" s="47">
        <v>938395</v>
      </c>
      <c r="D65" s="40" t="s">
        <v>73</v>
      </c>
      <c r="E65" s="55"/>
      <c r="F65" s="92">
        <f>2274.95-36.04</f>
        <v>2238.91</v>
      </c>
      <c r="G65" s="92">
        <v>8569.8</v>
      </c>
      <c r="H65" s="92">
        <v>210382.37</v>
      </c>
      <c r="I65" s="92"/>
      <c r="J65" s="92"/>
      <c r="K65" s="96">
        <f>VLOOKUP(C65,'[7]JULY PERIOD 4'!$A$1:$I$128,9,0)</f>
        <v>208143.46</v>
      </c>
      <c r="L65" s="40" t="s">
        <v>274</v>
      </c>
      <c r="M65" s="40">
        <v>100716158</v>
      </c>
      <c r="N65" s="38"/>
      <c r="O65" s="38"/>
      <c r="P65" s="38"/>
      <c r="Q65" s="38"/>
    </row>
    <row r="66" spans="1:17" ht="16.5" thickBot="1">
      <c r="A66" s="37">
        <v>3502</v>
      </c>
      <c r="B66" s="37">
        <v>10087</v>
      </c>
      <c r="C66" s="47">
        <v>938365</v>
      </c>
      <c r="D66" s="40" t="s">
        <v>74</v>
      </c>
      <c r="E66" s="55"/>
      <c r="F66" s="92">
        <v>770.08</v>
      </c>
      <c r="G66" s="92">
        <v>5056.2</v>
      </c>
      <c r="H66" s="92">
        <v>187080.78</v>
      </c>
      <c r="I66" s="92"/>
      <c r="J66" s="92"/>
      <c r="K66" s="96">
        <f>VLOOKUP(C66,'[7]JULY PERIOD 4'!$A$1:$I$128,9,0)</f>
        <v>186310.7</v>
      </c>
      <c r="L66" s="40" t="s">
        <v>268</v>
      </c>
      <c r="M66" s="40">
        <v>100714085</v>
      </c>
      <c r="N66" s="38"/>
      <c r="O66" s="38"/>
      <c r="P66" s="38"/>
      <c r="Q66" s="38"/>
    </row>
    <row r="67" spans="1:17" ht="16.5" thickBot="1">
      <c r="A67" s="37">
        <v>3315</v>
      </c>
      <c r="B67" s="37">
        <v>10099</v>
      </c>
      <c r="C67" s="47">
        <v>938340</v>
      </c>
      <c r="D67" s="40" t="s">
        <v>75</v>
      </c>
      <c r="E67" s="55"/>
      <c r="F67" s="92">
        <f>2617.32-8.19</f>
        <v>2609.13</v>
      </c>
      <c r="G67" s="92">
        <v>-10502.95</v>
      </c>
      <c r="H67" s="92">
        <v>75584.33</v>
      </c>
      <c r="I67" s="92"/>
      <c r="J67" s="92"/>
      <c r="K67" s="96">
        <f>VLOOKUP(C67,'[7]JULY PERIOD 4'!$A$1:$I$128,9,0)</f>
        <v>72975.2</v>
      </c>
      <c r="L67" s="40" t="s">
        <v>281</v>
      </c>
      <c r="M67" s="40">
        <v>100717826</v>
      </c>
      <c r="N67" s="38"/>
      <c r="O67" s="38"/>
      <c r="P67" s="38"/>
      <c r="Q67" s="38"/>
    </row>
    <row r="68" spans="1:17" ht="16.5" thickBot="1">
      <c r="A68" s="37">
        <v>3504</v>
      </c>
      <c r="B68" s="37">
        <v>10088</v>
      </c>
      <c r="C68" s="47">
        <v>938370</v>
      </c>
      <c r="D68" s="40" t="s">
        <v>76</v>
      </c>
      <c r="E68" s="55"/>
      <c r="F68" s="92">
        <v>1814.95</v>
      </c>
      <c r="G68" s="92">
        <v>30855.77</v>
      </c>
      <c r="H68" s="92">
        <v>175037.79</v>
      </c>
      <c r="I68" s="92"/>
      <c r="J68" s="92"/>
      <c r="K68" s="96">
        <f>VLOOKUP(C68,'[7]JULY PERIOD 4'!$A$1:$I$128,9,0)</f>
        <v>173222.84</v>
      </c>
      <c r="L68" s="40" t="s">
        <v>276</v>
      </c>
      <c r="M68" s="40">
        <v>100717001</v>
      </c>
      <c r="N68" s="38"/>
      <c r="O68" s="38"/>
      <c r="P68" s="38"/>
      <c r="Q68" s="38"/>
    </row>
    <row r="69" spans="1:17" ht="16.5" thickBot="1">
      <c r="A69" s="37">
        <v>3307</v>
      </c>
      <c r="B69" s="37">
        <v>10089</v>
      </c>
      <c r="C69" s="47">
        <v>938300</v>
      </c>
      <c r="D69" s="40" t="s">
        <v>77</v>
      </c>
      <c r="E69" s="55"/>
      <c r="F69" s="92">
        <f>1988.61-20.59</f>
        <v>1968.02</v>
      </c>
      <c r="G69" s="92">
        <v>3890.36</v>
      </c>
      <c r="H69" s="92">
        <v>132494.81</v>
      </c>
      <c r="I69" s="92"/>
      <c r="J69" s="83"/>
      <c r="K69" s="96">
        <f>VLOOKUP(C69,'[7]JULY PERIOD 4'!$A$1:$I$128,9,0)</f>
        <v>130526.79</v>
      </c>
      <c r="L69" s="40" t="s">
        <v>275</v>
      </c>
      <c r="M69" s="40">
        <v>100716665</v>
      </c>
      <c r="N69" s="38"/>
      <c r="O69" s="38"/>
      <c r="P69" s="38"/>
      <c r="Q69" s="38"/>
    </row>
    <row r="70" spans="1:17" ht="16.5" thickBot="1">
      <c r="A70" s="37">
        <v>3309</v>
      </c>
      <c r="B70" s="37">
        <v>10116</v>
      </c>
      <c r="C70" s="47">
        <v>938310</v>
      </c>
      <c r="D70" s="40" t="s">
        <v>78</v>
      </c>
      <c r="E70" s="55"/>
      <c r="F70" s="92">
        <v>584.59</v>
      </c>
      <c r="G70" s="92">
        <v>26961.29</v>
      </c>
      <c r="H70" s="92">
        <v>201124.46</v>
      </c>
      <c r="I70" s="92"/>
      <c r="J70" s="92"/>
      <c r="K70" s="96">
        <f>VLOOKUP(C70,'[7]JULY PERIOD 4'!$A$1:$I$128,9,0)</f>
        <v>200539.87</v>
      </c>
      <c r="L70" s="40" t="s">
        <v>275</v>
      </c>
      <c r="M70" s="40">
        <v>100716669</v>
      </c>
      <c r="N70" s="38"/>
      <c r="O70" s="38"/>
      <c r="P70" s="38"/>
      <c r="Q70" s="38"/>
    </row>
    <row r="71" spans="1:17" ht="16.5" thickBot="1">
      <c r="A71" s="37">
        <v>3508</v>
      </c>
      <c r="B71" s="37">
        <v>10111</v>
      </c>
      <c r="C71" s="47">
        <v>938385</v>
      </c>
      <c r="D71" s="40" t="s">
        <v>80</v>
      </c>
      <c r="E71" s="55"/>
      <c r="F71" s="92">
        <f>948.85-41.94</f>
        <v>906.9100000000001</v>
      </c>
      <c r="G71" s="92">
        <v>21715.15</v>
      </c>
      <c r="H71" s="92">
        <v>68290.83</v>
      </c>
      <c r="I71" s="92"/>
      <c r="J71" s="92"/>
      <c r="K71" s="96">
        <f>VLOOKUP(C71,'[7]JULY PERIOD 4'!$A$1:$I$128,9,0)</f>
        <v>67383.92</v>
      </c>
      <c r="L71" s="40" t="s">
        <v>275</v>
      </c>
      <c r="M71" s="40">
        <v>100716967</v>
      </c>
      <c r="N71" s="38"/>
      <c r="O71" s="38"/>
      <c r="P71" s="38"/>
      <c r="Q71" s="38"/>
    </row>
    <row r="72" spans="1:17" ht="16.5" thickBot="1">
      <c r="A72" s="37">
        <v>3509</v>
      </c>
      <c r="B72" s="37">
        <v>10107</v>
      </c>
      <c r="C72" s="47">
        <v>938390</v>
      </c>
      <c r="D72" s="40" t="s">
        <v>79</v>
      </c>
      <c r="E72" s="55"/>
      <c r="F72" s="92">
        <f>767.6-39.19</f>
        <v>728.4100000000001</v>
      </c>
      <c r="G72" s="92">
        <v>-6918.53</v>
      </c>
      <c r="H72" s="92">
        <v>124086.4</v>
      </c>
      <c r="I72" s="92"/>
      <c r="J72" s="92"/>
      <c r="K72" s="96">
        <f>VLOOKUP(C72,'[7]JULY PERIOD 4'!$A$1:$I$128,9,0)</f>
        <v>123357.99</v>
      </c>
      <c r="L72" s="40" t="s">
        <v>268</v>
      </c>
      <c r="M72" s="40">
        <v>100714097</v>
      </c>
      <c r="N72" s="38"/>
      <c r="O72" s="38"/>
      <c r="P72" s="38"/>
      <c r="Q72" s="38"/>
    </row>
    <row r="73" spans="1:17" ht="16.5" thickBot="1">
      <c r="A73" s="37">
        <v>3312</v>
      </c>
      <c r="B73" s="37">
        <v>10093</v>
      </c>
      <c r="C73" s="47">
        <v>938325</v>
      </c>
      <c r="D73" s="40" t="s">
        <v>82</v>
      </c>
      <c r="E73" s="55"/>
      <c r="F73" s="92">
        <v>935.92</v>
      </c>
      <c r="G73" s="92">
        <v>11367.39</v>
      </c>
      <c r="H73" s="92">
        <v>119689.03</v>
      </c>
      <c r="I73" s="92"/>
      <c r="J73" s="92"/>
      <c r="K73" s="96">
        <f>VLOOKUP(C73,'[7]JULY PERIOD 4'!$A$1:$I$128,9,0)</f>
        <v>118753.11</v>
      </c>
      <c r="L73" s="40" t="s">
        <v>273</v>
      </c>
      <c r="M73" s="40">
        <v>100715768</v>
      </c>
      <c r="N73" s="38"/>
      <c r="O73" s="38"/>
      <c r="P73" s="38"/>
      <c r="Q73" s="38"/>
    </row>
    <row r="74" spans="1:17" ht="16.5" thickBot="1">
      <c r="A74" s="37">
        <v>3311</v>
      </c>
      <c r="B74" s="37">
        <v>10092</v>
      </c>
      <c r="C74" s="47">
        <v>938320</v>
      </c>
      <c r="D74" s="40" t="s">
        <v>81</v>
      </c>
      <c r="E74" s="55"/>
      <c r="F74" s="92">
        <v>6555.56</v>
      </c>
      <c r="G74" s="92">
        <v>45697.33</v>
      </c>
      <c r="H74" s="92">
        <v>189913.93</v>
      </c>
      <c r="I74" s="92"/>
      <c r="J74" s="92"/>
      <c r="K74" s="96">
        <f>VLOOKUP(C74,'[7]JULY PERIOD 4'!$A$1:$I$128,9,0)</f>
        <v>183358.37</v>
      </c>
      <c r="L74" s="40" t="s">
        <v>272</v>
      </c>
      <c r="M74" s="40">
        <v>100716155</v>
      </c>
      <c r="N74" s="38"/>
      <c r="O74" s="38"/>
      <c r="P74" s="38"/>
      <c r="Q74" s="38"/>
    </row>
    <row r="75" spans="1:17" ht="16.5" thickBot="1">
      <c r="A75" s="37">
        <v>3521</v>
      </c>
      <c r="B75" s="37">
        <v>10698</v>
      </c>
      <c r="C75" s="47">
        <v>938437</v>
      </c>
      <c r="D75" s="40" t="s">
        <v>136</v>
      </c>
      <c r="E75" s="55"/>
      <c r="F75" s="92">
        <v>2271.45</v>
      </c>
      <c r="G75" s="92">
        <v>22926.99</v>
      </c>
      <c r="H75" s="92">
        <v>207289.48</v>
      </c>
      <c r="I75" s="92"/>
      <c r="J75" s="92"/>
      <c r="K75" s="96">
        <f>VLOOKUP(C75,'[7]JULY PERIOD 4'!$A$1:$I$128,9,0)</f>
        <v>205018.03</v>
      </c>
      <c r="L75" s="40" t="s">
        <v>268</v>
      </c>
      <c r="M75" s="40">
        <v>100714105</v>
      </c>
      <c r="N75" s="38"/>
      <c r="O75" s="38"/>
      <c r="P75" s="38"/>
      <c r="Q75" s="38"/>
    </row>
    <row r="76" spans="1:17" ht="16.5" thickBot="1">
      <c r="A76" s="37">
        <v>3313</v>
      </c>
      <c r="B76" s="37">
        <v>10094</v>
      </c>
      <c r="C76" s="47">
        <v>938330</v>
      </c>
      <c r="D76" s="40" t="s">
        <v>83</v>
      </c>
      <c r="E76" s="55"/>
      <c r="F76" s="92">
        <f>1176.47-7.3</f>
        <v>1169.17</v>
      </c>
      <c r="G76" s="92">
        <v>12016.52</v>
      </c>
      <c r="H76" s="92">
        <v>127642.72</v>
      </c>
      <c r="I76" s="92"/>
      <c r="J76" s="92"/>
      <c r="K76" s="96">
        <f>VLOOKUP(C76,'[7]JULY PERIOD 4'!$A$1:$I$128,9,0)</f>
        <v>126473.55</v>
      </c>
      <c r="L76" s="40" t="s">
        <v>273</v>
      </c>
      <c r="M76" s="40">
        <v>100715432</v>
      </c>
      <c r="N76" s="38"/>
      <c r="O76" s="38"/>
      <c r="P76" s="38"/>
      <c r="Q76" s="38"/>
    </row>
    <row r="77" spans="1:17" ht="16.5" thickBot="1">
      <c r="A77" s="37">
        <v>3314</v>
      </c>
      <c r="B77" s="37">
        <v>10095</v>
      </c>
      <c r="C77" s="47">
        <v>938335</v>
      </c>
      <c r="D77" s="40" t="s">
        <v>84</v>
      </c>
      <c r="E77" s="55"/>
      <c r="F77" s="92">
        <f>893.83-5.69</f>
        <v>888.14</v>
      </c>
      <c r="G77" s="92">
        <v>118069.31</v>
      </c>
      <c r="H77" s="92">
        <v>108728.13</v>
      </c>
      <c r="I77" s="92"/>
      <c r="J77" s="92"/>
      <c r="K77" s="96">
        <f>VLOOKUP(C77,'[7]JULY PERIOD 4'!$A$1:$I$128,9,0)</f>
        <v>105118.08</v>
      </c>
      <c r="L77" s="40" t="s">
        <v>276</v>
      </c>
      <c r="M77" s="40">
        <v>100717003</v>
      </c>
      <c r="N77" s="38"/>
      <c r="O77" s="38"/>
      <c r="P77" s="38"/>
      <c r="Q77" s="38"/>
    </row>
    <row r="78" spans="1:17" ht="16.5" thickBot="1">
      <c r="A78" s="37">
        <v>3507</v>
      </c>
      <c r="B78" s="37">
        <v>10108</v>
      </c>
      <c r="C78" s="47">
        <v>938380</v>
      </c>
      <c r="D78" s="40" t="s">
        <v>85</v>
      </c>
      <c r="E78" s="55"/>
      <c r="F78" s="92">
        <v>1390.32</v>
      </c>
      <c r="G78" s="92">
        <v>10436.97</v>
      </c>
      <c r="H78" s="92">
        <v>106611.07</v>
      </c>
      <c r="I78" s="92"/>
      <c r="J78" s="92"/>
      <c r="K78" s="96">
        <f>VLOOKUP(C78,'[7]JULY PERIOD 4'!$A$1:$I$128,9,0)</f>
        <v>105220.75</v>
      </c>
      <c r="L78" s="40" t="s">
        <v>269</v>
      </c>
      <c r="M78" s="40">
        <v>100715773</v>
      </c>
      <c r="N78" s="38"/>
      <c r="O78" s="38"/>
      <c r="P78" s="38"/>
      <c r="Q78" s="38"/>
    </row>
    <row r="79" spans="1:17" ht="16.5" thickBot="1">
      <c r="A79" s="37">
        <v>3506</v>
      </c>
      <c r="B79" s="37">
        <v>10096</v>
      </c>
      <c r="C79" s="47">
        <v>938375</v>
      </c>
      <c r="D79" s="40" t="s">
        <v>86</v>
      </c>
      <c r="E79" s="55"/>
      <c r="F79" s="92">
        <f>2226.29-3.87</f>
        <v>2222.42</v>
      </c>
      <c r="G79" s="92">
        <v>21068.53</v>
      </c>
      <c r="H79" s="92">
        <v>169813.35</v>
      </c>
      <c r="I79" s="92"/>
      <c r="J79" s="92"/>
      <c r="K79" s="96">
        <f>VLOOKUP(C79,'[7]JULY PERIOD 4'!$A$1:$I$128,9,0)</f>
        <v>167590.93</v>
      </c>
      <c r="L79" s="40" t="s">
        <v>271</v>
      </c>
      <c r="M79" s="40">
        <v>100715379</v>
      </c>
      <c r="N79" s="38"/>
      <c r="O79" s="38"/>
      <c r="P79" s="38"/>
      <c r="Q79" s="38"/>
    </row>
    <row r="80" spans="1:17" ht="16.5" thickBot="1">
      <c r="A80" s="37">
        <v>2052</v>
      </c>
      <c r="B80" s="37">
        <v>10098</v>
      </c>
      <c r="C80" s="47">
        <v>938200</v>
      </c>
      <c r="D80" s="40" t="s">
        <v>87</v>
      </c>
      <c r="E80" s="55"/>
      <c r="F80" s="92">
        <f>2706.85-18.19</f>
        <v>2688.66</v>
      </c>
      <c r="G80" s="92">
        <v>19963.82</v>
      </c>
      <c r="H80" s="92">
        <v>246433.68</v>
      </c>
      <c r="I80" s="92"/>
      <c r="J80" s="83"/>
      <c r="K80" s="96">
        <f>VLOOKUP(C80,'[7]JULY PERIOD 4'!$A$1:$I$128,9,0)</f>
        <v>243745.02</v>
      </c>
      <c r="L80" s="40" t="s">
        <v>274</v>
      </c>
      <c r="M80" s="40">
        <v>100716189</v>
      </c>
      <c r="N80" s="38"/>
      <c r="O80" s="38"/>
      <c r="P80" s="38"/>
      <c r="Q80" s="38"/>
    </row>
    <row r="81" spans="1:17" ht="16.5" thickBot="1">
      <c r="A81" s="37">
        <v>2070</v>
      </c>
      <c r="B81" s="37">
        <v>10097</v>
      </c>
      <c r="C81" s="47">
        <v>938240</v>
      </c>
      <c r="D81" s="40" t="s">
        <v>88</v>
      </c>
      <c r="E81" s="55"/>
      <c r="F81" s="92">
        <f>795.13-12.6</f>
        <v>782.53</v>
      </c>
      <c r="G81" s="92">
        <v>4239.47</v>
      </c>
      <c r="H81" s="92">
        <v>148695.72</v>
      </c>
      <c r="I81" s="92"/>
      <c r="J81" s="92"/>
      <c r="K81" s="96">
        <f>VLOOKUP(C81,'[7]JULY PERIOD 4'!$A$1:$I$128,9,0)</f>
        <v>147913.19</v>
      </c>
      <c r="L81" s="40" t="s">
        <v>275</v>
      </c>
      <c r="M81" s="40">
        <v>100716977</v>
      </c>
      <c r="N81" s="38"/>
      <c r="O81" s="38"/>
      <c r="P81" s="38"/>
      <c r="Q81" s="38"/>
    </row>
    <row r="82" spans="1:17" ht="16.5" thickBot="1">
      <c r="A82" s="37">
        <v>3316</v>
      </c>
      <c r="B82" s="37">
        <v>10100</v>
      </c>
      <c r="C82" s="47">
        <v>938345</v>
      </c>
      <c r="D82" s="40" t="s">
        <v>89</v>
      </c>
      <c r="E82" s="55"/>
      <c r="F82" s="92">
        <f>628.96-7.86</f>
        <v>621.1</v>
      </c>
      <c r="G82" s="92">
        <v>1679.8</v>
      </c>
      <c r="H82" s="92">
        <v>84328.5</v>
      </c>
      <c r="I82" s="92"/>
      <c r="J82" s="92"/>
      <c r="K82" s="96">
        <f>VLOOKUP(C82,'[7]JULY PERIOD 4'!$A$1:$I$128,9,0)</f>
        <v>83707.39999999992</v>
      </c>
      <c r="L82" s="40" t="s">
        <v>273</v>
      </c>
      <c r="M82" s="40">
        <v>100715756</v>
      </c>
      <c r="N82" s="38"/>
      <c r="O82" s="38"/>
      <c r="P82" s="38"/>
      <c r="Q82" s="38"/>
    </row>
    <row r="83" spans="1:17" ht="16.5" thickBot="1">
      <c r="A83" s="37">
        <v>2055</v>
      </c>
      <c r="B83" s="37">
        <v>10101</v>
      </c>
      <c r="C83" s="47">
        <v>938210</v>
      </c>
      <c r="D83" s="40" t="s">
        <v>90</v>
      </c>
      <c r="E83" s="55"/>
      <c r="F83" s="92">
        <f>3132.45-22.79</f>
        <v>3109.66</v>
      </c>
      <c r="G83" s="92">
        <v>22933.62</v>
      </c>
      <c r="H83" s="92">
        <v>87181.46</v>
      </c>
      <c r="I83" s="92"/>
      <c r="J83" s="96"/>
      <c r="K83" s="96">
        <f>VLOOKUP(C83,'[7]JULY PERIOD 4'!$A$1:$I$128,9,0)</f>
        <v>84071.8</v>
      </c>
      <c r="L83" s="40" t="s">
        <v>281</v>
      </c>
      <c r="M83" s="40">
        <v>100717267</v>
      </c>
      <c r="N83" s="38"/>
      <c r="O83" s="38"/>
      <c r="P83" s="38"/>
      <c r="Q83" s="38"/>
    </row>
    <row r="84" spans="1:17" ht="16.5" thickBot="1">
      <c r="A84" s="37">
        <v>2057</v>
      </c>
      <c r="B84" s="37">
        <v>10103</v>
      </c>
      <c r="C84" s="47">
        <v>938220</v>
      </c>
      <c r="D84" s="40" t="s">
        <v>92</v>
      </c>
      <c r="E84" s="55"/>
      <c r="F84" s="92">
        <v>8881.27</v>
      </c>
      <c r="G84" s="92">
        <v>61618.17</v>
      </c>
      <c r="H84" s="92">
        <v>145323.37</v>
      </c>
      <c r="I84" s="92"/>
      <c r="J84" s="92"/>
      <c r="K84" s="96">
        <f>VLOOKUP(C84,'[7]JULY PERIOD 4'!$A$1:$I$128,9,0)</f>
        <v>136442.1</v>
      </c>
      <c r="L84" s="40" t="s">
        <v>280</v>
      </c>
      <c r="M84" s="40">
        <v>100717261</v>
      </c>
      <c r="N84" s="38"/>
      <c r="O84" s="38"/>
      <c r="P84" s="38"/>
      <c r="Q84" s="38"/>
    </row>
    <row r="85" spans="1:17" ht="16.5" thickBot="1">
      <c r="A85" s="37">
        <v>2056</v>
      </c>
      <c r="B85" s="37">
        <v>10102</v>
      </c>
      <c r="C85" s="47">
        <v>938215</v>
      </c>
      <c r="D85" s="40" t="s">
        <v>91</v>
      </c>
      <c r="E85" s="55"/>
      <c r="F85" s="92">
        <f>556.48-6.78</f>
        <v>549.7</v>
      </c>
      <c r="G85" s="92">
        <v>706.62</v>
      </c>
      <c r="H85" s="92">
        <v>136913.44</v>
      </c>
      <c r="I85" s="92"/>
      <c r="J85" s="92"/>
      <c r="K85" s="96">
        <f>VLOOKUP(C85,'[7]JULY PERIOD 4'!$A$1:$I$128,9,0)</f>
        <v>136363.74</v>
      </c>
      <c r="L85" s="40" t="s">
        <v>276</v>
      </c>
      <c r="M85" s="40">
        <v>100717254</v>
      </c>
      <c r="N85" s="38"/>
      <c r="O85" s="38"/>
      <c r="P85" s="38"/>
      <c r="Q85" s="38"/>
    </row>
    <row r="86" spans="1:17" ht="16.5" thickBot="1">
      <c r="A86" s="37">
        <v>2076</v>
      </c>
      <c r="B86" s="37">
        <v>10124</v>
      </c>
      <c r="C86" s="47">
        <v>938265</v>
      </c>
      <c r="D86" s="40" t="s">
        <v>93</v>
      </c>
      <c r="E86" s="55"/>
      <c r="F86" s="92">
        <f>4373-42.62</f>
        <v>4330.38</v>
      </c>
      <c r="G86" s="92">
        <v>33430.09</v>
      </c>
      <c r="H86" s="92">
        <v>305629.2</v>
      </c>
      <c r="I86" s="92"/>
      <c r="J86" s="92"/>
      <c r="K86" s="96">
        <f>VLOOKUP(C86,'[7]JULY PERIOD 4'!$A$1:$I$128,9,0)</f>
        <v>301298.82</v>
      </c>
      <c r="L86" s="40" t="s">
        <v>275</v>
      </c>
      <c r="M86" s="40">
        <v>100716668</v>
      </c>
      <c r="N86" s="38"/>
      <c r="O86" s="38"/>
      <c r="P86" s="38"/>
      <c r="Q86" s="38"/>
    </row>
    <row r="87" spans="1:17" ht="16.5" thickBot="1">
      <c r="A87" s="37">
        <v>2060</v>
      </c>
      <c r="B87" s="37">
        <v>10105</v>
      </c>
      <c r="C87" s="47">
        <v>938225</v>
      </c>
      <c r="D87" s="40" t="s">
        <v>94</v>
      </c>
      <c r="E87" s="55"/>
      <c r="F87" s="92">
        <v>1527.21</v>
      </c>
      <c r="G87" s="92">
        <v>18981.32</v>
      </c>
      <c r="H87" s="92">
        <v>435252.53</v>
      </c>
      <c r="I87" s="92"/>
      <c r="J87" s="92"/>
      <c r="K87" s="96">
        <f>VLOOKUP(C87,'[7]JULY PERIOD 4'!$A$1:$I$128,9,0)</f>
        <v>433725.32</v>
      </c>
      <c r="L87" s="40" t="s">
        <v>274</v>
      </c>
      <c r="M87" s="40">
        <v>100716626</v>
      </c>
      <c r="N87" s="38"/>
      <c r="O87" s="38"/>
      <c r="P87" s="38"/>
      <c r="Q87" s="38"/>
    </row>
    <row r="88" spans="1:17" ht="16.5" thickBot="1">
      <c r="A88" s="37">
        <v>3518</v>
      </c>
      <c r="B88" s="37">
        <v>10123</v>
      </c>
      <c r="C88" s="47">
        <v>938430</v>
      </c>
      <c r="D88" s="40" t="s">
        <v>131</v>
      </c>
      <c r="E88" s="55"/>
      <c r="F88" s="92">
        <f>5458.25-7.93</f>
        <v>5450.32</v>
      </c>
      <c r="G88" s="92">
        <v>65369.7</v>
      </c>
      <c r="H88" s="92">
        <v>293059.65</v>
      </c>
      <c r="I88" s="92"/>
      <c r="J88" s="92"/>
      <c r="K88" s="96">
        <f>VLOOKUP(C88,'[7]JULY PERIOD 4'!$A$1:$I$128,9,0)</f>
        <v>287609.33</v>
      </c>
      <c r="L88" s="40" t="s">
        <v>272</v>
      </c>
      <c r="M88" s="40">
        <v>100716153</v>
      </c>
      <c r="N88" s="38"/>
      <c r="O88" s="38"/>
      <c r="P88" s="38"/>
      <c r="Q88" s="38"/>
    </row>
    <row r="89" spans="1:17" ht="16.5" thickBot="1">
      <c r="A89" s="37">
        <v>2054</v>
      </c>
      <c r="B89" s="37">
        <v>10109</v>
      </c>
      <c r="C89" s="47">
        <v>938205</v>
      </c>
      <c r="D89" s="40" t="s">
        <v>95</v>
      </c>
      <c r="E89" s="55"/>
      <c r="F89" s="92"/>
      <c r="G89" s="92"/>
      <c r="H89" s="92"/>
      <c r="I89" s="92"/>
      <c r="J89" s="92"/>
      <c r="K89" s="96">
        <f>VLOOKUP(C89,'[7]JULY PERIOD 4'!$A$1:$I$128,9,0)</f>
        <v>212565.17</v>
      </c>
      <c r="L89" s="40"/>
      <c r="M89" s="40"/>
      <c r="N89" s="38"/>
      <c r="O89" s="38"/>
      <c r="P89" s="38"/>
      <c r="Q89" s="38"/>
    </row>
    <row r="90" spans="1:17" ht="16.5" thickBot="1">
      <c r="A90" s="37">
        <v>5406</v>
      </c>
      <c r="B90" s="37">
        <v>10136</v>
      </c>
      <c r="C90" s="47">
        <v>938530</v>
      </c>
      <c r="D90" s="40" t="s">
        <v>96</v>
      </c>
      <c r="E90" s="55"/>
      <c r="F90" s="96">
        <f>12068.08-6.02</f>
        <v>12062.06</v>
      </c>
      <c r="G90" s="96">
        <v>99680.28</v>
      </c>
      <c r="H90" s="96">
        <v>245913.77</v>
      </c>
      <c r="I90" s="96"/>
      <c r="J90" s="96"/>
      <c r="K90" s="96">
        <f>VLOOKUP(C90,'[7]JULY PERIOD 4'!$A$1:$I$128,9,0)</f>
        <v>233851.71</v>
      </c>
      <c r="L90" s="48" t="s">
        <v>284</v>
      </c>
      <c r="M90" s="48">
        <v>100721236</v>
      </c>
      <c r="N90" s="38"/>
      <c r="O90" s="38"/>
      <c r="P90" s="38"/>
      <c r="Q90" s="38"/>
    </row>
    <row r="91" spans="1:17" ht="16.5" thickBot="1">
      <c r="A91" s="37">
        <v>5408</v>
      </c>
      <c r="B91" s="37">
        <v>10137</v>
      </c>
      <c r="C91" s="47">
        <v>938540</v>
      </c>
      <c r="D91" s="40" t="s">
        <v>97</v>
      </c>
      <c r="E91" s="55"/>
      <c r="F91" s="92"/>
      <c r="G91" s="92"/>
      <c r="H91" s="92"/>
      <c r="I91" s="92"/>
      <c r="J91" s="92"/>
      <c r="K91" s="96">
        <f>VLOOKUP(C91,'[7]JULY PERIOD 4'!$A$1:$I$128,9,0)</f>
        <v>217347.58</v>
      </c>
      <c r="L91" s="40"/>
      <c r="M91" s="40"/>
      <c r="N91" s="38"/>
      <c r="O91" s="38"/>
      <c r="P91" s="38"/>
      <c r="Q91" s="38"/>
    </row>
    <row r="92" spans="1:17" ht="16.5" thickBot="1">
      <c r="A92" s="37">
        <v>4211</v>
      </c>
      <c r="B92" s="37">
        <v>10151</v>
      </c>
      <c r="C92" s="47">
        <v>938465</v>
      </c>
      <c r="D92" s="40" t="s">
        <v>98</v>
      </c>
      <c r="E92" s="55"/>
      <c r="F92" s="92">
        <v>14599.27</v>
      </c>
      <c r="G92" s="92">
        <v>128062.99</v>
      </c>
      <c r="H92" s="92">
        <v>549089.32</v>
      </c>
      <c r="I92" s="92"/>
      <c r="J92" s="92"/>
      <c r="K92" s="96">
        <f>VLOOKUP(C92,'[7]JULY PERIOD 4'!$A$1:$I$128,9,0)</f>
        <v>534490.05</v>
      </c>
      <c r="L92" s="40" t="s">
        <v>274</v>
      </c>
      <c r="M92" s="40">
        <v>100716163</v>
      </c>
      <c r="N92" s="38"/>
      <c r="O92" s="38"/>
      <c r="P92" s="38"/>
      <c r="Q92" s="38"/>
    </row>
    <row r="93" spans="1:17" ht="16.5" thickBot="1">
      <c r="A93" s="37">
        <v>4215</v>
      </c>
      <c r="B93" s="37">
        <v>10138</v>
      </c>
      <c r="C93" s="47">
        <v>938475</v>
      </c>
      <c r="D93" s="40" t="s">
        <v>99</v>
      </c>
      <c r="E93" s="55"/>
      <c r="F93" s="92">
        <f>8082.56-415.03</f>
        <v>7667.530000000001</v>
      </c>
      <c r="G93" s="92">
        <v>16652.61</v>
      </c>
      <c r="H93" s="92">
        <v>681258.65</v>
      </c>
      <c r="I93" s="92"/>
      <c r="J93" s="92"/>
      <c r="K93" s="96">
        <f>VLOOKUP(C93,'[7]JULY PERIOD 4'!$A$1:$I$128,9,0)</f>
        <v>673591.12</v>
      </c>
      <c r="L93" s="40" t="s">
        <v>283</v>
      </c>
      <c r="M93" s="40">
        <v>100718782</v>
      </c>
      <c r="N93" s="38"/>
      <c r="O93" s="38"/>
      <c r="P93" s="38"/>
      <c r="Q93" s="38"/>
    </row>
    <row r="94" spans="1:17" ht="16.5" thickBot="1">
      <c r="A94" s="37">
        <v>4210</v>
      </c>
      <c r="B94" s="37">
        <v>10152</v>
      </c>
      <c r="C94" s="47">
        <v>938460</v>
      </c>
      <c r="D94" s="40" t="s">
        <v>100</v>
      </c>
      <c r="E94" s="55"/>
      <c r="F94" s="92">
        <f>14425.75-9.32</f>
        <v>14416.43</v>
      </c>
      <c r="G94" s="92">
        <v>174630.74</v>
      </c>
      <c r="H94" s="92">
        <v>1015460.7</v>
      </c>
      <c r="I94" s="92"/>
      <c r="J94" s="127"/>
      <c r="K94" s="96">
        <f>VLOOKUP(C94,'[7]JULY PERIOD 4'!$A$1:$I$128,9,0)</f>
        <v>1001044.27</v>
      </c>
      <c r="L94" s="40" t="s">
        <v>274</v>
      </c>
      <c r="M94" s="40">
        <v>100716172</v>
      </c>
      <c r="N94" s="38"/>
      <c r="O94" s="38"/>
      <c r="P94" s="38"/>
      <c r="Q94" s="38"/>
    </row>
    <row r="95" spans="1:17" ht="16.5" thickBot="1">
      <c r="A95" s="37">
        <v>4212</v>
      </c>
      <c r="B95" s="37">
        <v>10153</v>
      </c>
      <c r="C95" s="47">
        <v>938470</v>
      </c>
      <c r="D95" s="40" t="s">
        <v>101</v>
      </c>
      <c r="E95" s="55"/>
      <c r="F95" s="144">
        <f>19573.91-444.41</f>
        <v>19129.5</v>
      </c>
      <c r="G95" s="144">
        <v>232714.25</v>
      </c>
      <c r="H95" s="144">
        <v>682076.03</v>
      </c>
      <c r="I95" s="92"/>
      <c r="J95" s="127"/>
      <c r="K95" s="144">
        <f>VLOOKUP(C95,'[7]JULY PERIOD 4'!$A$1:$I$128,9,0)</f>
        <v>895660.7800000006</v>
      </c>
      <c r="L95" s="145" t="s">
        <v>289</v>
      </c>
      <c r="M95" s="136">
        <v>100726372</v>
      </c>
      <c r="N95" s="38"/>
      <c r="O95" s="38"/>
      <c r="P95" s="38"/>
      <c r="Q95" s="38"/>
    </row>
    <row r="96" spans="1:17" ht="16.5" thickBot="1">
      <c r="A96" s="37">
        <v>5405</v>
      </c>
      <c r="B96" s="37">
        <v>10145</v>
      </c>
      <c r="C96" s="47">
        <v>938525</v>
      </c>
      <c r="D96" s="40" t="s">
        <v>102</v>
      </c>
      <c r="E96" s="55"/>
      <c r="F96" s="92">
        <v>5061.87</v>
      </c>
      <c r="G96" s="92">
        <v>327840.06</v>
      </c>
      <c r="H96" s="92">
        <v>1541876.67</v>
      </c>
      <c r="I96" s="92"/>
      <c r="J96" s="92"/>
      <c r="K96" s="96">
        <f>VLOOKUP(C96,'[7]JULY PERIOD 4'!$A$1:$I$128,9,0)</f>
        <v>1536814.8</v>
      </c>
      <c r="L96" s="100" t="s">
        <v>275</v>
      </c>
      <c r="M96" s="40">
        <v>100716978</v>
      </c>
      <c r="N96" s="38"/>
      <c r="O96" s="38"/>
      <c r="P96" s="38"/>
      <c r="Q96" s="38"/>
    </row>
    <row r="97" spans="1:17" ht="16.5" thickBot="1">
      <c r="A97" s="37">
        <v>4003</v>
      </c>
      <c r="B97" s="37">
        <v>10139</v>
      </c>
      <c r="C97" s="47">
        <v>938440</v>
      </c>
      <c r="D97" s="40" t="s">
        <v>103</v>
      </c>
      <c r="E97" s="55"/>
      <c r="F97" s="92">
        <f>17557.47-29.03</f>
        <v>17528.440000000002</v>
      </c>
      <c r="G97" s="92">
        <v>116287.73</v>
      </c>
      <c r="H97" s="92">
        <v>88750.94</v>
      </c>
      <c r="I97" s="92"/>
      <c r="J97" s="92"/>
      <c r="K97" s="96">
        <f>VLOOKUP(C97,'[7]JULY PERIOD 4'!$A$1:$I$128,9,0)</f>
        <v>71222.5000000001</v>
      </c>
      <c r="L97" s="40" t="s">
        <v>283</v>
      </c>
      <c r="M97" s="40">
        <v>100718777</v>
      </c>
      <c r="N97" s="38"/>
      <c r="O97" s="38"/>
      <c r="P97" s="38"/>
      <c r="Q97" s="38"/>
    </row>
    <row r="98" spans="1:17" ht="16.5" thickBot="1">
      <c r="A98" s="37">
        <v>5409</v>
      </c>
      <c r="B98" s="37">
        <v>10146</v>
      </c>
      <c r="C98" s="47">
        <v>938545</v>
      </c>
      <c r="D98" s="40" t="s">
        <v>104</v>
      </c>
      <c r="E98" s="55"/>
      <c r="F98" s="144">
        <v>12929.28</v>
      </c>
      <c r="G98" s="144">
        <v>-4944.72</v>
      </c>
      <c r="H98" s="144">
        <v>22887.72</v>
      </c>
      <c r="I98" s="92"/>
      <c r="J98" s="92"/>
      <c r="K98" s="144">
        <f>VLOOKUP(C98,'[7]JULY PERIOD 4'!$A$1:$I$128,9,0)</f>
        <v>5013.720000000007</v>
      </c>
      <c r="L98" s="136" t="s">
        <v>287</v>
      </c>
      <c r="M98" s="136">
        <v>100722354</v>
      </c>
      <c r="N98" s="38"/>
      <c r="O98" s="38"/>
      <c r="P98" s="38"/>
      <c r="Q98" s="38"/>
    </row>
    <row r="99" spans="1:17" ht="16.5" thickBot="1">
      <c r="A99" s="37">
        <v>5400</v>
      </c>
      <c r="B99" s="37">
        <v>10150</v>
      </c>
      <c r="C99" s="47">
        <v>938500</v>
      </c>
      <c r="D99" s="40" t="s">
        <v>105</v>
      </c>
      <c r="E99" s="55"/>
      <c r="F99" s="96">
        <v>10328.36</v>
      </c>
      <c r="G99" s="96">
        <v>97463.5</v>
      </c>
      <c r="H99" s="96">
        <v>506355.58</v>
      </c>
      <c r="I99" s="96"/>
      <c r="J99" s="96"/>
      <c r="K99" s="96">
        <f>VLOOKUP(C99,'[7]JULY PERIOD 4'!$A$1:$I$128,9,0)</f>
        <v>496040.55</v>
      </c>
      <c r="L99" s="48" t="s">
        <v>284</v>
      </c>
      <c r="M99" s="48">
        <v>100721241</v>
      </c>
      <c r="N99" s="38"/>
      <c r="O99" s="38"/>
      <c r="P99" s="38"/>
      <c r="Q99" s="38"/>
    </row>
    <row r="100" spans="1:17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55"/>
      <c r="F100" s="92"/>
      <c r="G100" s="92"/>
      <c r="H100" s="92"/>
      <c r="I100" s="38"/>
      <c r="J100" s="38"/>
      <c r="K100" s="96">
        <f>VLOOKUP(C100,'[7]JULY PERIOD 4'!$A$1:$I$128,9,0)</f>
        <v>251719.66</v>
      </c>
      <c r="L100" s="40"/>
      <c r="M100" s="40"/>
      <c r="N100" s="38"/>
      <c r="O100" s="38"/>
      <c r="P100" s="38"/>
      <c r="Q100" s="38"/>
    </row>
    <row r="101" spans="1:17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55"/>
      <c r="F101" s="92"/>
      <c r="G101" s="92"/>
      <c r="H101" s="92"/>
      <c r="I101" s="38"/>
      <c r="J101" s="38"/>
      <c r="K101" s="96">
        <f>VLOOKUP(C101,'[7]JULY PERIOD 4'!$A$1:$I$128,9,0)</f>
        <v>74301.2</v>
      </c>
      <c r="L101" s="40"/>
      <c r="M101" s="40"/>
      <c r="N101" s="38"/>
      <c r="O101" s="38"/>
      <c r="P101" s="38"/>
      <c r="Q101" s="38"/>
    </row>
    <row r="102" spans="1:17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55"/>
      <c r="F102" s="96">
        <v>44638.69</v>
      </c>
      <c r="G102" s="96">
        <v>298190.38</v>
      </c>
      <c r="H102" s="96">
        <v>977229.56</v>
      </c>
      <c r="I102" s="96"/>
      <c r="J102" s="96"/>
      <c r="K102" s="96">
        <f>VLOOKUP(C102,'[7]JULY PERIOD 4'!$A$1:$I$128,9,0)</f>
        <v>932590.87</v>
      </c>
      <c r="L102" s="128" t="s">
        <v>284</v>
      </c>
      <c r="M102" s="48">
        <v>100721237</v>
      </c>
      <c r="N102" s="38"/>
      <c r="O102" s="38"/>
      <c r="P102" s="38"/>
      <c r="Q102" s="38"/>
    </row>
    <row r="103" spans="1:17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55"/>
      <c r="F103" s="96">
        <v>17929.92</v>
      </c>
      <c r="G103" s="96">
        <v>142998.18</v>
      </c>
      <c r="H103" s="96">
        <v>444942.79</v>
      </c>
      <c r="I103" s="96"/>
      <c r="J103" s="114"/>
      <c r="K103" s="96">
        <f>VLOOKUP(C103,'[7]JULY PERIOD 4'!$A$1:$I$128,9,0)</f>
        <v>570011.05</v>
      </c>
      <c r="L103" s="48" t="s">
        <v>285</v>
      </c>
      <c r="M103" s="48">
        <v>100721629</v>
      </c>
      <c r="N103" s="38"/>
      <c r="O103" s="38"/>
      <c r="P103" s="38"/>
      <c r="Q103" s="38"/>
    </row>
    <row r="104" spans="1:17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55"/>
      <c r="F104" s="92"/>
      <c r="G104" s="92"/>
      <c r="H104" s="92"/>
      <c r="I104" s="92"/>
      <c r="J104" s="92"/>
      <c r="K104" s="96">
        <f>VLOOKUP(C104,'[7]JULY PERIOD 4'!$A$1:$I$128,9,0)</f>
        <v>400284.01</v>
      </c>
      <c r="L104" s="40"/>
      <c r="M104" s="40"/>
      <c r="N104" s="38"/>
      <c r="O104" s="38"/>
      <c r="P104" s="38"/>
      <c r="Q104" s="38"/>
    </row>
    <row r="105" spans="1:17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55"/>
      <c r="F105" s="92">
        <v>17931.12</v>
      </c>
      <c r="G105" s="92">
        <v>158362.62</v>
      </c>
      <c r="H105" s="92">
        <v>1059177.43</v>
      </c>
      <c r="I105" s="92"/>
      <c r="J105" s="92"/>
      <c r="K105" s="96">
        <f>VLOOKUP(C105,'[7]JULY PERIOD 4'!$A$1:$I$128,9,0)</f>
        <v>1041246.31</v>
      </c>
      <c r="L105" s="40" t="s">
        <v>274</v>
      </c>
      <c r="M105" s="40">
        <v>100716173</v>
      </c>
      <c r="N105" s="38"/>
      <c r="O105" s="38"/>
      <c r="P105" s="38"/>
      <c r="Q105" s="38"/>
    </row>
    <row r="106" spans="1:17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55"/>
      <c r="F106" s="96">
        <f>15405.55-115.56</f>
        <v>15289.99</v>
      </c>
      <c r="G106" s="96">
        <v>86600.09</v>
      </c>
      <c r="H106" s="96">
        <v>354394.98</v>
      </c>
      <c r="I106" s="96"/>
      <c r="J106" s="96"/>
      <c r="K106" s="96">
        <f>VLOOKUP(C106,'[7]JULY PERIOD 4'!$A$1:$I$128,9,0)</f>
        <v>339104.99</v>
      </c>
      <c r="L106" s="128" t="s">
        <v>284</v>
      </c>
      <c r="M106" s="48">
        <v>100721234</v>
      </c>
      <c r="N106" s="38"/>
      <c r="O106" s="38"/>
      <c r="P106" s="38"/>
      <c r="Q106" s="38"/>
    </row>
    <row r="107" spans="1:17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55"/>
      <c r="F107" s="96">
        <v>10768.62</v>
      </c>
      <c r="G107" s="96">
        <v>-520839.7</v>
      </c>
      <c r="H107" s="96">
        <v>901051.81</v>
      </c>
      <c r="I107" s="96"/>
      <c r="J107" s="96"/>
      <c r="K107" s="96">
        <f>VLOOKUP(C107,'[7]JULY PERIOD 4'!$A$1:$I$128,9,0)</f>
        <v>890283.19</v>
      </c>
      <c r="L107" s="48" t="s">
        <v>284</v>
      </c>
      <c r="M107" s="48">
        <v>100721232</v>
      </c>
      <c r="N107" s="38"/>
      <c r="O107" s="38"/>
      <c r="P107" s="38"/>
      <c r="Q107" s="38"/>
    </row>
    <row r="108" spans="1:17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55"/>
      <c r="F108" s="144">
        <f>7158.72-199.06</f>
        <v>6959.66</v>
      </c>
      <c r="G108" s="144">
        <v>86616.55</v>
      </c>
      <c r="H108" s="144">
        <v>134848.04</v>
      </c>
      <c r="I108" s="92"/>
      <c r="J108" s="92"/>
      <c r="K108" s="144">
        <f>VLOOKUP(C108,'[7]JULY PERIOD 4'!$A$1:$I$128,9,0)</f>
        <v>214504.93</v>
      </c>
      <c r="L108" s="136" t="s">
        <v>295</v>
      </c>
      <c r="M108" s="136">
        <v>100728168</v>
      </c>
      <c r="N108" s="38"/>
      <c r="O108" s="38"/>
      <c r="P108" s="38"/>
      <c r="Q108" s="38"/>
    </row>
    <row r="109" spans="1:17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55"/>
      <c r="F109" s="96"/>
      <c r="G109" s="96"/>
      <c r="H109" s="96"/>
      <c r="I109" s="96"/>
      <c r="J109" s="129"/>
      <c r="K109" s="96">
        <f>VLOOKUP(C109,'[7]JULY PERIOD 4'!$A$1:$I$128,9,0)</f>
        <v>608950.99</v>
      </c>
      <c r="L109" s="48"/>
      <c r="M109" s="48"/>
      <c r="N109" s="38"/>
      <c r="O109" s="38"/>
      <c r="P109" s="38"/>
      <c r="Q109" s="38"/>
    </row>
    <row r="110" spans="1:17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55"/>
      <c r="F110" s="92">
        <f>6365.25-2.94</f>
        <v>6362.31</v>
      </c>
      <c r="G110" s="92">
        <v>67003.91</v>
      </c>
      <c r="H110" s="92">
        <v>316694.19</v>
      </c>
      <c r="I110" s="92"/>
      <c r="J110" s="92"/>
      <c r="K110" s="96">
        <f>VLOOKUP(C110,'[7]JULY PERIOD 4'!$A$1:$I$128,9,0)</f>
        <v>310331.88</v>
      </c>
      <c r="L110" s="40" t="s">
        <v>276</v>
      </c>
      <c r="M110" s="40">
        <v>100717252</v>
      </c>
      <c r="N110" s="38"/>
      <c r="O110" s="38"/>
      <c r="P110" s="38"/>
      <c r="Q110" s="38"/>
    </row>
    <row r="111" spans="1:17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55"/>
      <c r="F111" s="92">
        <f>1725.44-2.12</f>
        <v>1723.3200000000002</v>
      </c>
      <c r="G111" s="92">
        <v>12936.13</v>
      </c>
      <c r="H111" s="92">
        <v>207253.68</v>
      </c>
      <c r="I111" s="92"/>
      <c r="J111" s="135" t="s">
        <v>248</v>
      </c>
      <c r="K111" s="96">
        <f>VLOOKUP(C111,'[7]JULY PERIOD 4'!$A$1:$I$128,9,0)</f>
        <v>205530.36</v>
      </c>
      <c r="L111" s="40" t="s">
        <v>276</v>
      </c>
      <c r="M111" s="143" t="s">
        <v>279</v>
      </c>
      <c r="N111" s="38"/>
      <c r="O111" s="38"/>
      <c r="P111" s="38"/>
      <c r="Q111" s="38"/>
    </row>
    <row r="112" spans="1:17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55"/>
      <c r="F112" s="92">
        <f>2809.95-14.11</f>
        <v>2795.8399999999997</v>
      </c>
      <c r="G112" s="92">
        <v>28036.4</v>
      </c>
      <c r="H112" s="92">
        <v>389956.49</v>
      </c>
      <c r="I112" s="92"/>
      <c r="J112" s="92"/>
      <c r="K112" s="96">
        <f>VLOOKUP(C112,'[7]JULY PERIOD 4'!$A$1:$I$128,9,0)</f>
        <v>387160.65</v>
      </c>
      <c r="L112" s="40" t="s">
        <v>273</v>
      </c>
      <c r="M112" s="40">
        <v>100715760</v>
      </c>
      <c r="N112" s="38"/>
      <c r="O112" s="38"/>
      <c r="P112" s="38"/>
      <c r="Q112" s="38"/>
    </row>
    <row r="113" spans="1:17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55"/>
      <c r="F113" s="92">
        <v>7836.22</v>
      </c>
      <c r="G113" s="92">
        <v>61241.93</v>
      </c>
      <c r="H113" s="92">
        <v>181145.04</v>
      </c>
      <c r="I113" s="92"/>
      <c r="J113" s="92"/>
      <c r="K113" s="96">
        <f>VLOOKUP(C113,'[7]JULY PERIOD 4'!$A$1:$I$128,9,0)</f>
        <v>173308.82</v>
      </c>
      <c r="L113" s="40" t="s">
        <v>275</v>
      </c>
      <c r="M113" s="40">
        <v>100716987</v>
      </c>
      <c r="N113" s="38"/>
      <c r="O113" s="38"/>
      <c r="P113" s="38"/>
      <c r="Q113" s="38"/>
    </row>
    <row r="114" spans="1:17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55"/>
      <c r="F114" s="92">
        <v>883.85</v>
      </c>
      <c r="G114" s="92">
        <v>-149.43</v>
      </c>
      <c r="H114" s="92">
        <v>177533.89</v>
      </c>
      <c r="I114" s="92"/>
      <c r="J114" s="92"/>
      <c r="K114" s="96">
        <f>VLOOKUP(C114,'[7]JULY PERIOD 4'!$A$1:$I$128,9,0)</f>
        <v>176650.04</v>
      </c>
      <c r="L114" s="40" t="s">
        <v>276</v>
      </c>
      <c r="M114" s="40">
        <v>100717218</v>
      </c>
      <c r="N114" s="38"/>
      <c r="O114" s="38"/>
      <c r="P114" s="38"/>
      <c r="Q114" s="38"/>
    </row>
    <row r="115" spans="1:17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55"/>
      <c r="F115" s="92">
        <v>491.53</v>
      </c>
      <c r="G115" s="92">
        <v>-27716.32</v>
      </c>
      <c r="H115" s="92">
        <v>180497.06</v>
      </c>
      <c r="I115" s="92"/>
      <c r="J115" s="92"/>
      <c r="K115" s="96">
        <f>VLOOKUP(C115,'[7]JULY PERIOD 4'!$A$1:$I$128,9,0)</f>
        <v>180005.53</v>
      </c>
      <c r="L115" s="40" t="s">
        <v>272</v>
      </c>
      <c r="M115" s="40">
        <v>100715778</v>
      </c>
      <c r="N115" s="38"/>
      <c r="O115" s="38"/>
      <c r="P115" s="38"/>
      <c r="Q115" s="38"/>
    </row>
    <row r="116" spans="1:17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55"/>
      <c r="F116" s="92">
        <v>163.75</v>
      </c>
      <c r="G116" s="92">
        <v>-1583.85</v>
      </c>
      <c r="H116" s="92">
        <v>177073.05</v>
      </c>
      <c r="I116" s="92"/>
      <c r="J116" s="92"/>
      <c r="K116" s="96">
        <f>VLOOKUP(C116,'[7]JULY PERIOD 4'!$A$1:$I$128,9,0)</f>
        <v>176909.3</v>
      </c>
      <c r="L116" s="40" t="s">
        <v>276</v>
      </c>
      <c r="M116" s="40">
        <v>100717248</v>
      </c>
      <c r="N116" s="38"/>
      <c r="O116" s="38"/>
      <c r="P116" s="38"/>
      <c r="Q116" s="38"/>
    </row>
    <row r="117" spans="1:17" ht="15.75">
      <c r="A117" s="37">
        <v>1003</v>
      </c>
      <c r="B117" s="37">
        <v>10133</v>
      </c>
      <c r="C117" s="47">
        <v>938015</v>
      </c>
      <c r="D117" s="40" t="s">
        <v>135</v>
      </c>
      <c r="E117" s="55"/>
      <c r="F117" s="92">
        <v>464.85</v>
      </c>
      <c r="G117" s="92">
        <v>-18811.15</v>
      </c>
      <c r="H117" s="92">
        <v>146928.65</v>
      </c>
      <c r="I117" s="92"/>
      <c r="J117" s="92"/>
      <c r="K117" s="96">
        <f>VLOOKUP(C117,'[7]JULY PERIOD 4'!$A$1:$I$128,9,0)</f>
        <v>146463.8</v>
      </c>
      <c r="L117" s="40" t="s">
        <v>280</v>
      </c>
      <c r="M117" s="40">
        <v>100717264</v>
      </c>
      <c r="N117" s="38"/>
      <c r="O117" s="38"/>
      <c r="P117" s="38"/>
      <c r="Q117" s="38"/>
    </row>
    <row r="118" spans="2:13" ht="15.75">
      <c r="B118" s="38"/>
      <c r="C118" s="42"/>
      <c r="D118" s="43" t="s">
        <v>139</v>
      </c>
      <c r="E118" s="55"/>
      <c r="F118" s="96">
        <f>SUM(F3:F117)+I118</f>
        <v>489064.35000000003</v>
      </c>
      <c r="G118" s="96">
        <f>SUM(G3:G117)</f>
        <v>3728307.2</v>
      </c>
      <c r="H118" s="96">
        <f>SUM(H3:H117)</f>
        <v>24108258.57999999</v>
      </c>
      <c r="I118" s="96">
        <f>SUM(I3:I117)</f>
        <v>0</v>
      </c>
      <c r="J118" s="96">
        <f>SUM(J3:J117)</f>
        <v>300000</v>
      </c>
      <c r="K118" s="96">
        <f>SUM(K3:K117)</f>
        <v>28278371.019999996</v>
      </c>
      <c r="L118" s="1"/>
      <c r="M118" s="1"/>
    </row>
    <row r="119" spans="2:11" ht="15.75">
      <c r="B119" s="38"/>
      <c r="C119" s="42"/>
      <c r="D119" s="41"/>
      <c r="E119" s="55"/>
      <c r="F119" s="55"/>
      <c r="G119" s="92"/>
      <c r="H119" s="55"/>
      <c r="I119" s="55"/>
      <c r="J119" s="55"/>
      <c r="K119" s="55"/>
    </row>
    <row r="120" spans="3:11" ht="15.75">
      <c r="C120" s="1">
        <f>COUNT(C3:C117)</f>
        <v>115</v>
      </c>
      <c r="D120" s="86">
        <f>COUNT(A3:A117)-COUNTA(M3:M117)</f>
        <v>17</v>
      </c>
      <c r="E120" s="40"/>
      <c r="F120" s="37" t="s">
        <v>175</v>
      </c>
      <c r="G120" s="92"/>
      <c r="H120" s="40"/>
      <c r="I120" s="40"/>
      <c r="J120" s="40"/>
      <c r="K120" s="40"/>
    </row>
    <row r="121" spans="4:11" ht="15.75">
      <c r="D121" s="86">
        <f>C120-D120</f>
        <v>98</v>
      </c>
      <c r="F121" s="38" t="s">
        <v>174</v>
      </c>
      <c r="G121" s="92"/>
      <c r="K121" s="98"/>
    </row>
    <row r="122" ht="15.75">
      <c r="F122" s="92"/>
    </row>
    <row r="125" ht="15.75">
      <c r="K125" s="98"/>
    </row>
    <row r="126" spans="6:7" ht="15.75">
      <c r="F126" s="144">
        <f>12929.28+F95+F108</f>
        <v>39018.44</v>
      </c>
      <c r="G126" s="37" t="s">
        <v>288</v>
      </c>
    </row>
  </sheetData>
  <autoFilter ref="A2:M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D78:D117 D3:D76">
    <cfRule type="expression" priority="1" dxfId="2" stopIfTrue="1">
      <formula>M3&lt;1</formula>
    </cfRule>
  </conditionalFormatting>
  <conditionalFormatting sqref="D77">
    <cfRule type="expression" priority="2" dxfId="2" stopIfTrue="1">
      <formula>L77&lt;1</formula>
    </cfRule>
  </conditionalFormatting>
  <conditionalFormatting sqref="F122 J70:J79 J110:J117 H91:H117 I102:I117 J81:J89 F126 F50:F119 G119:G121 J26:J39 J102:J108 J41:J68 G118:K118 H90:J90 H119:K119 F43:H48 H50:H89 G49:G117 E4:E119 J5:J24 H5:H41 H3:J4 M4 L3:L4 F3:G41 I5:I89 K3:K117 I91:J99">
    <cfRule type="cellIs" priority="3" dxfId="1" operator="lessThan" stopIfTrue="1">
      <formula>0</formula>
    </cfRule>
  </conditionalFormatting>
  <printOptions horizontalCentered="1"/>
  <pageMargins left="0" right="0" top="0" bottom="0" header="0" footer="0"/>
  <pageSetup cellComments="asDisplayed" fitToHeight="1" fitToWidth="1" horizontalDpi="600" verticalDpi="600" orientation="landscape" paperSize="9" scale="28" r:id="rId3"/>
  <rowBreaks count="2" manualBreakCount="2">
    <brk id="43" max="255" man="1"/>
    <brk id="84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33"/>
  </sheetPr>
  <dimension ref="A1:R239"/>
  <sheetViews>
    <sheetView zoomScale="75" zoomScaleNormal="75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3359375" style="37" customWidth="1"/>
    <col min="3" max="3" width="8.10546875" style="1" customWidth="1"/>
    <col min="4" max="4" width="31.5546875" style="37" customWidth="1"/>
    <col min="5" max="5" width="14.5546875" style="37" customWidth="1"/>
    <col min="6" max="6" width="13.6640625" style="37" customWidth="1"/>
    <col min="7" max="7" width="15.10546875" style="37" bestFit="1" customWidth="1"/>
    <col min="8" max="8" width="17.6640625" style="37" customWidth="1"/>
    <col min="9" max="9" width="9.21484375" style="37" customWidth="1"/>
    <col min="10" max="10" width="15.21484375" style="37" customWidth="1"/>
    <col min="11" max="11" width="16.3359375" style="63" customWidth="1"/>
    <col min="12" max="12" width="10.4453125" style="37" customWidth="1"/>
    <col min="13" max="13" width="15.6640625" style="37" customWidth="1"/>
    <col min="14" max="14" width="5.6640625" style="37" customWidth="1"/>
    <col min="15" max="16384" width="8.88671875" style="37" customWidth="1"/>
  </cols>
  <sheetData>
    <row r="1" spans="1:13" s="59" customFormat="1" ht="15.75">
      <c r="A1" s="56" t="s">
        <v>118</v>
      </c>
      <c r="B1" s="56" t="s">
        <v>120</v>
      </c>
      <c r="C1" s="56" t="s">
        <v>171</v>
      </c>
      <c r="D1" s="56" t="s">
        <v>121</v>
      </c>
      <c r="E1" s="197" t="s">
        <v>173</v>
      </c>
      <c r="F1" s="197" t="s">
        <v>122</v>
      </c>
      <c r="G1" s="197" t="s">
        <v>165</v>
      </c>
      <c r="H1" s="197" t="s">
        <v>125</v>
      </c>
      <c r="I1" s="199" t="s">
        <v>205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5.75">
      <c r="A2" s="57" t="s">
        <v>119</v>
      </c>
      <c r="B2" s="57" t="s">
        <v>137</v>
      </c>
      <c r="C2" s="57" t="s">
        <v>172</v>
      </c>
      <c r="D2" s="57" t="s">
        <v>252</v>
      </c>
      <c r="E2" s="197"/>
      <c r="F2" s="197"/>
      <c r="G2" s="197"/>
      <c r="H2" s="197"/>
      <c r="I2" s="199"/>
      <c r="J2" s="197"/>
      <c r="K2" s="197"/>
      <c r="L2" s="197"/>
      <c r="M2" s="197"/>
    </row>
    <row r="3" spans="1:18" s="59" customFormat="1" ht="15.75">
      <c r="A3" s="37">
        <v>3520</v>
      </c>
      <c r="B3" s="36">
        <v>11094</v>
      </c>
      <c r="C3" s="22">
        <v>938585</v>
      </c>
      <c r="D3" s="40" t="s">
        <v>176</v>
      </c>
      <c r="E3" s="134">
        <f>IF(ISERROR(VLOOKUP(C3,'[3]S A P 09.10.'!$A$2:$I$144,9,0)),0,VLOOKUP(C3,'[3]S A P 09.10.'!$A$2:$I$144,9,0))</f>
        <v>-30117</v>
      </c>
      <c r="F3" s="83">
        <f>3698.83-8.49</f>
        <v>3690.34</v>
      </c>
      <c r="G3" s="92">
        <v>-60297.97</v>
      </c>
      <c r="H3" s="83">
        <v>135044.23</v>
      </c>
      <c r="I3" s="83"/>
      <c r="J3" s="83"/>
      <c r="K3" s="83">
        <f>VLOOKUP(C3,'[5]PERIOD 3 JUNE.'!$A$1:$I$128,9,0)</f>
        <v>131354.23</v>
      </c>
      <c r="L3" s="89" t="s">
        <v>247</v>
      </c>
      <c r="M3" s="86">
        <v>100711059</v>
      </c>
      <c r="N3" s="38"/>
      <c r="O3" s="38"/>
      <c r="P3" s="38"/>
      <c r="Q3" s="38"/>
      <c r="R3" s="38"/>
    </row>
    <row r="4" spans="1:18" ht="16.5" thickBot="1">
      <c r="A4" s="37">
        <v>3317</v>
      </c>
      <c r="B4" s="36">
        <v>10042</v>
      </c>
      <c r="C4" s="22">
        <v>938350</v>
      </c>
      <c r="D4" s="40" t="s">
        <v>18</v>
      </c>
      <c r="E4" s="134">
        <f>IF(ISERROR(VLOOKUP(C4,'[3]S A P 09.10.'!$A$2:$I$144,9,0)),0,VLOOKUP(C4,'[3]S A P 09.10.'!$A$2:$I$144,9,0))</f>
        <v>-195</v>
      </c>
      <c r="F4" s="83">
        <f>1948.25-8.57</f>
        <v>1939.68</v>
      </c>
      <c r="G4" s="92">
        <v>34411.15</v>
      </c>
      <c r="H4" s="83">
        <v>148546.88</v>
      </c>
      <c r="I4" s="83"/>
      <c r="J4" s="83"/>
      <c r="K4" s="83">
        <f>VLOOKUP(C4,'[5]PERIOD 3 JUNE.'!$A$1:$I$128,9,0)</f>
        <v>146607.35</v>
      </c>
      <c r="L4" s="89" t="s">
        <v>263</v>
      </c>
      <c r="M4" s="40">
        <v>100710665</v>
      </c>
      <c r="N4" s="38"/>
      <c r="O4" s="38"/>
      <c r="P4" s="38"/>
      <c r="Q4" s="38"/>
      <c r="R4" s="38"/>
    </row>
    <row r="5" spans="1:18" ht="16.5" thickBot="1">
      <c r="A5" s="37">
        <v>3300</v>
      </c>
      <c r="B5" s="37">
        <v>10040</v>
      </c>
      <c r="C5" s="47">
        <v>938282</v>
      </c>
      <c r="D5" s="40" t="s">
        <v>17</v>
      </c>
      <c r="E5" s="111">
        <f>IF(ISERROR(VLOOKUP(C5,'[3]S A P 09.10.'!$A$2:$I$144,9,0)),0,VLOOKUP(C5,'[3]S A P 09.10.'!$A$2:$I$144,9,0))</f>
        <v>3343</v>
      </c>
      <c r="F5" s="83">
        <v>5152.12</v>
      </c>
      <c r="G5" s="92">
        <v>14343.46</v>
      </c>
      <c r="H5" s="83">
        <v>113184.74</v>
      </c>
      <c r="I5" s="83"/>
      <c r="J5" s="83"/>
      <c r="K5" s="83">
        <f>VLOOKUP(C5,'[5]PERIOD 3 JUNE.'!$A$1:$I$128,9,0)</f>
        <v>108032.62</v>
      </c>
      <c r="L5" s="89" t="s">
        <v>266</v>
      </c>
      <c r="M5" s="40">
        <v>100711103</v>
      </c>
      <c r="N5" s="38"/>
      <c r="O5" s="38"/>
      <c r="P5" s="38"/>
      <c r="Q5" s="38"/>
      <c r="R5" s="38"/>
    </row>
    <row r="6" spans="1:18" ht="16.5" thickBot="1">
      <c r="A6" s="37">
        <v>3500</v>
      </c>
      <c r="B6" s="37">
        <v>10043</v>
      </c>
      <c r="C6" s="47">
        <v>938355</v>
      </c>
      <c r="D6" s="40" t="s">
        <v>20</v>
      </c>
      <c r="E6" s="134">
        <f>IF(ISERROR(VLOOKUP(C6,'[3]S A P 09.10.'!$A$2:$I$144,9,0)),0,VLOOKUP(C6,'[3]S A P 09.10.'!$A$2:$I$144,9,0))</f>
        <v>-61628</v>
      </c>
      <c r="F6" s="83">
        <v>436.68</v>
      </c>
      <c r="G6" s="92">
        <v>-33056.65</v>
      </c>
      <c r="H6" s="83">
        <v>179652.79</v>
      </c>
      <c r="I6" s="83"/>
      <c r="J6" s="83"/>
      <c r="K6" s="83">
        <f>VLOOKUP(C6,'[5]PERIOD 3 JUNE.'!$A$1:$I$128,9,0)</f>
        <v>179216.11</v>
      </c>
      <c r="L6" s="89" t="s">
        <v>263</v>
      </c>
      <c r="M6" s="40">
        <v>100710662</v>
      </c>
      <c r="N6" s="38"/>
      <c r="O6" s="38"/>
      <c r="P6" s="38"/>
      <c r="Q6" s="38"/>
      <c r="R6" s="38"/>
    </row>
    <row r="7" spans="1:18" ht="16.5" thickBot="1">
      <c r="A7" s="37">
        <v>3514</v>
      </c>
      <c r="B7" s="37">
        <v>10117</v>
      </c>
      <c r="C7" s="47">
        <v>938415</v>
      </c>
      <c r="D7" s="40" t="s">
        <v>19</v>
      </c>
      <c r="E7" s="111">
        <f>IF(ISERROR(VLOOKUP(C7,'[3]S A P 09.10.'!$A$2:$I$144,9,0)),0,VLOOKUP(C7,'[3]S A P 09.10.'!$A$2:$I$144,9,0))</f>
        <v>28408</v>
      </c>
      <c r="F7" s="83">
        <f>2754.95-30.57</f>
        <v>2724.3799999999997</v>
      </c>
      <c r="G7" s="92">
        <v>-12802.78</v>
      </c>
      <c r="H7" s="83">
        <v>133163.57</v>
      </c>
      <c r="I7" s="83"/>
      <c r="J7" s="83"/>
      <c r="K7" s="83">
        <f>VLOOKUP(C7,'[5]PERIOD 3 JUNE.'!$A$1:$I$128,9,0)</f>
        <v>130439.19</v>
      </c>
      <c r="L7" s="89" t="s">
        <v>245</v>
      </c>
      <c r="M7" s="40">
        <v>100707156</v>
      </c>
      <c r="N7" s="38"/>
      <c r="O7" s="38"/>
      <c r="P7" s="38"/>
      <c r="Q7" s="38"/>
      <c r="R7" s="38"/>
    </row>
    <row r="8" spans="1:18" ht="16.5" thickBot="1">
      <c r="A8" s="37">
        <v>2002</v>
      </c>
      <c r="B8" s="37">
        <v>10044</v>
      </c>
      <c r="C8" s="47">
        <v>938025</v>
      </c>
      <c r="D8" s="40" t="s">
        <v>22</v>
      </c>
      <c r="E8" s="134">
        <f>IF(ISERROR(VLOOKUP(C8,'[3]S A P 09.10.'!$A$2:$I$144,9,0)),0,VLOOKUP(C8,'[3]S A P 09.10.'!$A$2:$I$144,9,0))</f>
        <v>-3016</v>
      </c>
      <c r="F8" s="83">
        <v>10661.77</v>
      </c>
      <c r="G8" s="92">
        <v>-63847.92</v>
      </c>
      <c r="H8" s="83">
        <v>349218.5</v>
      </c>
      <c r="I8" s="83"/>
      <c r="J8" s="83"/>
      <c r="K8" s="83">
        <f>VLOOKUP(C8,'[5]PERIOD 3 JUNE.'!$A$1:$I$128,9,0)</f>
        <v>338556.73</v>
      </c>
      <c r="L8" s="89" t="s">
        <v>247</v>
      </c>
      <c r="M8" s="40">
        <v>100708508</v>
      </c>
      <c r="N8" s="38"/>
      <c r="O8" s="38"/>
      <c r="P8" s="38"/>
      <c r="Q8" s="38"/>
      <c r="R8" s="38"/>
    </row>
    <row r="9" spans="1:18" ht="16.5" thickBot="1">
      <c r="A9" s="37">
        <v>2079</v>
      </c>
      <c r="B9" s="37">
        <v>10128</v>
      </c>
      <c r="C9" s="47">
        <v>938280</v>
      </c>
      <c r="D9" s="40" t="s">
        <v>124</v>
      </c>
      <c r="E9" s="134">
        <f>IF(ISERROR(VLOOKUP(C9,'[3]S A P 09.10.'!$A$2:$I$144,9,0)),0,VLOOKUP(C9,'[3]S A P 09.10.'!$A$2:$I$144,9,0))</f>
        <v>-15256</v>
      </c>
      <c r="F9" s="83">
        <v>3157.41</v>
      </c>
      <c r="G9" s="92">
        <v>-65369.54</v>
      </c>
      <c r="H9" s="83">
        <v>115499.34</v>
      </c>
      <c r="I9" s="83"/>
      <c r="J9" s="83"/>
      <c r="K9" s="83">
        <f>VLOOKUP(C9,'[5]PERIOD 3 JUNE.'!$A$1:$I$128,9,0)</f>
        <v>112341.94</v>
      </c>
      <c r="L9" s="89" t="s">
        <v>244</v>
      </c>
      <c r="M9" s="40">
        <v>100706158</v>
      </c>
      <c r="N9" s="38"/>
      <c r="O9" s="38"/>
      <c r="P9" s="38"/>
      <c r="Q9" s="38"/>
      <c r="R9" s="38"/>
    </row>
    <row r="10" spans="1:18" ht="16.5" thickBot="1">
      <c r="A10" s="37">
        <v>2003</v>
      </c>
      <c r="B10" s="37">
        <v>10045</v>
      </c>
      <c r="C10" s="47">
        <v>938030</v>
      </c>
      <c r="D10" s="40" t="s">
        <v>23</v>
      </c>
      <c r="E10" s="134">
        <f>IF(ISERROR(VLOOKUP(C10,'[3]S A P 09.10.'!$A$2:$I$144,9,0)),0,VLOOKUP(C10,'[3]S A P 09.10.'!$A$2:$I$144,9,0))</f>
        <v>-248663</v>
      </c>
      <c r="F10" s="83">
        <f>3546.45-9.99</f>
        <v>3536.46</v>
      </c>
      <c r="G10" s="92">
        <v>-61583.65</v>
      </c>
      <c r="H10" s="83">
        <v>281851.25</v>
      </c>
      <c r="I10" s="83"/>
      <c r="J10" s="83"/>
      <c r="K10" s="83">
        <f>VLOOKUP(C10,'[5]PERIOD 3 JUNE.'!$A$1:$I$128,9,0)</f>
        <v>278314.79</v>
      </c>
      <c r="L10" s="89" t="s">
        <v>246</v>
      </c>
      <c r="M10" s="40">
        <v>100708480</v>
      </c>
      <c r="N10" s="38"/>
      <c r="O10" s="38"/>
      <c r="P10" s="38"/>
      <c r="Q10" s="38"/>
      <c r="R10" s="38"/>
    </row>
    <row r="11" spans="1:18" ht="16.5" thickBot="1">
      <c r="A11" s="37">
        <v>3511</v>
      </c>
      <c r="B11" s="37">
        <v>10115</v>
      </c>
      <c r="C11" s="47">
        <v>938400</v>
      </c>
      <c r="D11" s="40" t="s">
        <v>24</v>
      </c>
      <c r="E11" s="134">
        <f>IF(ISERROR(VLOOKUP(C11,'[3]S A P 09.10.'!$A$2:$I$144,9,0)),0,VLOOKUP(C11,'[3]S A P 09.10.'!$A$2:$I$144,9,0))</f>
        <v>-16081</v>
      </c>
      <c r="F11" s="83">
        <f>2029.15-9.74</f>
        <v>2019.41</v>
      </c>
      <c r="G11" s="92">
        <v>37318.31</v>
      </c>
      <c r="H11" s="83">
        <v>133558.26</v>
      </c>
      <c r="I11" s="83"/>
      <c r="J11" s="83"/>
      <c r="K11" s="83">
        <f>VLOOKUP(C11,'[5]PERIOD 3 JUNE.'!$A$1:$I$128,9,0)</f>
        <v>131538.85</v>
      </c>
      <c r="L11" s="89" t="s">
        <v>266</v>
      </c>
      <c r="M11" s="40">
        <v>100711729</v>
      </c>
      <c r="N11" s="38"/>
      <c r="O11" s="38"/>
      <c r="P11" s="38"/>
      <c r="Q11" s="38"/>
      <c r="R11" s="38"/>
    </row>
    <row r="12" spans="1:18" ht="16.5" thickBot="1">
      <c r="A12" s="37">
        <v>3519</v>
      </c>
      <c r="B12" s="37">
        <v>10134</v>
      </c>
      <c r="C12" s="47">
        <v>938435</v>
      </c>
      <c r="D12" s="40" t="s">
        <v>130</v>
      </c>
      <c r="E12" s="134">
        <f>IF(ISERROR(VLOOKUP(C12,'[3]S A P 09.10.'!$A$2:$I$144,9,0)),0,VLOOKUP(C12,'[3]S A P 09.10.'!$A$2:$I$144,9,0))</f>
        <v>-70243</v>
      </c>
      <c r="F12" s="83">
        <f>9635.73-10.5</f>
        <v>9625.23</v>
      </c>
      <c r="G12" s="92">
        <v>25498.53</v>
      </c>
      <c r="H12" s="83">
        <v>245688.5</v>
      </c>
      <c r="I12" s="83"/>
      <c r="J12" s="83"/>
      <c r="K12" s="83">
        <f>VLOOKUP(C12,'[5]PERIOD 3 JUNE.'!$A$1:$I$128,9,0)</f>
        <v>236063.27</v>
      </c>
      <c r="L12" s="89" t="s">
        <v>266</v>
      </c>
      <c r="M12" s="40">
        <v>100711714</v>
      </c>
      <c r="N12" s="38"/>
      <c r="O12" s="38"/>
      <c r="P12" s="38"/>
      <c r="Q12" s="38"/>
      <c r="R12" s="38"/>
    </row>
    <row r="13" spans="1:18" ht="16.5" thickBot="1">
      <c r="A13" s="37">
        <v>2008</v>
      </c>
      <c r="B13" s="37">
        <v>10047</v>
      </c>
      <c r="C13" s="47">
        <v>938040</v>
      </c>
      <c r="D13" s="40" t="s">
        <v>26</v>
      </c>
      <c r="E13" s="134">
        <f>IF(ISERROR(VLOOKUP(C13,'[3]S A P 09.10.'!$A$2:$I$144,9,0)),0,VLOOKUP(C13,'[3]S A P 09.10.'!$A$2:$I$144,9,0))</f>
        <v>-18955</v>
      </c>
      <c r="F13" s="83">
        <f>1600.96-5.01</f>
        <v>1595.95</v>
      </c>
      <c r="G13" s="92">
        <v>-25870.97</v>
      </c>
      <c r="H13" s="83">
        <v>267842.84</v>
      </c>
      <c r="I13" s="83"/>
      <c r="J13" s="83"/>
      <c r="K13" s="83">
        <f>VLOOKUP(C13,'[5]PERIOD 3 JUNE.'!$A$1:$I$128,9,0)</f>
        <v>266246.89</v>
      </c>
      <c r="L13" s="89" t="s">
        <v>246</v>
      </c>
      <c r="M13" s="40">
        <v>100707694</v>
      </c>
      <c r="N13" s="38"/>
      <c r="O13" s="38"/>
      <c r="P13" s="38"/>
      <c r="Q13" s="38"/>
      <c r="R13" s="38"/>
    </row>
    <row r="14" spans="1:18" ht="16.5" thickBot="1">
      <c r="A14" s="37">
        <v>2007</v>
      </c>
      <c r="B14" s="37">
        <v>10046</v>
      </c>
      <c r="C14" s="47">
        <v>938035</v>
      </c>
      <c r="D14" s="40" t="s">
        <v>25</v>
      </c>
      <c r="E14" s="134">
        <f>IF(ISERROR(VLOOKUP(C14,'[3]S A P 09.10.'!$A$2:$I$144,9,0)),0,VLOOKUP(C14,'[3]S A P 09.10.'!$A$2:$I$144,9,0))</f>
        <v>-32303</v>
      </c>
      <c r="F14" s="83">
        <v>6442.23</v>
      </c>
      <c r="G14" s="92">
        <v>-7707.84</v>
      </c>
      <c r="H14" s="83">
        <v>241307.46</v>
      </c>
      <c r="I14" s="83"/>
      <c r="J14" s="83"/>
      <c r="K14" s="83">
        <f>VLOOKUP(C14,'[5]PERIOD 3 JUNE.'!$A$1:$I$128,9,0)</f>
        <v>234865.23</v>
      </c>
      <c r="L14" s="89" t="s">
        <v>246</v>
      </c>
      <c r="M14" s="40">
        <v>100708479</v>
      </c>
      <c r="N14" s="38"/>
      <c r="O14" s="38"/>
      <c r="P14" s="38"/>
      <c r="Q14" s="38"/>
      <c r="R14" s="38"/>
    </row>
    <row r="15" spans="1:18" ht="16.5" thickBot="1">
      <c r="A15" s="37">
        <v>2009</v>
      </c>
      <c r="B15" s="37">
        <v>10048</v>
      </c>
      <c r="C15" s="47">
        <v>938045</v>
      </c>
      <c r="D15" s="40" t="s">
        <v>27</v>
      </c>
      <c r="E15" s="134">
        <f>IF(ISERROR(VLOOKUP(C15,'[3]S A P 09.10.'!$A$2:$I$144,9,0)),0,VLOOKUP(C15,'[3]S A P 09.10.'!$A$2:$I$144,9,0))</f>
        <v>-49672</v>
      </c>
      <c r="F15" s="83">
        <f>2742.83-2.98</f>
        <v>2739.85</v>
      </c>
      <c r="G15" s="92">
        <v>-45858.96</v>
      </c>
      <c r="H15" s="83">
        <v>206234.87</v>
      </c>
      <c r="I15" s="83"/>
      <c r="J15" s="83"/>
      <c r="K15" s="83">
        <f>VLOOKUP(C15,'[5]PERIOD 3 JUNE.'!$A$1:$I$128,9,0)</f>
        <v>203495.02</v>
      </c>
      <c r="L15" s="89" t="s">
        <v>247</v>
      </c>
      <c r="M15" s="40">
        <v>100708510</v>
      </c>
      <c r="N15" s="38"/>
      <c r="O15" s="38"/>
      <c r="P15" s="38"/>
      <c r="Q15" s="38"/>
      <c r="R15" s="38"/>
    </row>
    <row r="16" spans="1:18" ht="16.5" thickBot="1">
      <c r="A16" s="37">
        <v>2067</v>
      </c>
      <c r="B16" s="37">
        <v>10118</v>
      </c>
      <c r="C16" s="47">
        <v>938235</v>
      </c>
      <c r="D16" s="40" t="s">
        <v>28</v>
      </c>
      <c r="E16" s="134">
        <f>IF(ISERROR(VLOOKUP(C16,'[3]S A P 09.10.'!$A$2:$I$144,9,0)),0,VLOOKUP(C16,'[3]S A P 09.10.'!$A$2:$I$144,9,0))</f>
        <v>-45483</v>
      </c>
      <c r="F16" s="83">
        <v>1967</v>
      </c>
      <c r="G16" s="92">
        <v>-18080.65</v>
      </c>
      <c r="H16" s="83">
        <v>218976.54</v>
      </c>
      <c r="I16" s="83"/>
      <c r="J16" s="83"/>
      <c r="K16" s="83">
        <f>VLOOKUP(C16,'[5]PERIOD 3 JUNE.'!$A$1:$I$128,9,0)</f>
        <v>217009.54</v>
      </c>
      <c r="L16" s="89" t="s">
        <v>246</v>
      </c>
      <c r="M16" s="40">
        <v>100708489</v>
      </c>
      <c r="N16" s="38"/>
      <c r="O16" s="38"/>
      <c r="P16" s="38"/>
      <c r="Q16" s="38"/>
      <c r="R16" s="38"/>
    </row>
    <row r="17" spans="1:18" ht="16.5" thickBot="1">
      <c r="A17" s="37">
        <v>2010</v>
      </c>
      <c r="B17" s="37">
        <v>10049</v>
      </c>
      <c r="C17" s="47">
        <v>938050</v>
      </c>
      <c r="D17" s="40" t="s">
        <v>29</v>
      </c>
      <c r="E17" s="111">
        <f>IF(ISERROR(VLOOKUP(C17,'[3]S A P 09.10.'!$A$2:$I$144,9,0)),0,VLOOKUP(C17,'[3]S A P 09.10.'!$A$2:$I$144,9,0))</f>
        <v>34015</v>
      </c>
      <c r="F17" s="83">
        <f>2706.51-12.23</f>
        <v>2694.28</v>
      </c>
      <c r="G17" s="92">
        <v>-53060.91</v>
      </c>
      <c r="H17" s="83">
        <v>436250.83</v>
      </c>
      <c r="I17" s="83"/>
      <c r="J17" s="139" t="s">
        <v>248</v>
      </c>
      <c r="K17" s="83">
        <f>VLOOKUP(C17,'[5]PERIOD 3 JUNE.'!$A$1:$I$128,9,0)</f>
        <v>433556.55</v>
      </c>
      <c r="L17" s="89" t="s">
        <v>264</v>
      </c>
      <c r="M17" s="40" t="s">
        <v>265</v>
      </c>
      <c r="N17" s="38"/>
      <c r="O17" s="38"/>
      <c r="P17" s="38"/>
      <c r="Q17" s="38"/>
      <c r="R17" s="38"/>
    </row>
    <row r="18" spans="1:18" ht="16.5" thickBot="1">
      <c r="A18" s="37">
        <v>3302</v>
      </c>
      <c r="B18" s="37">
        <v>10050</v>
      </c>
      <c r="C18" s="47">
        <v>938285</v>
      </c>
      <c r="D18" s="40" t="s">
        <v>30</v>
      </c>
      <c r="E18" s="134">
        <f>IF(ISERROR(VLOOKUP(C18,'[3]S A P 09.10.'!$A$2:$I$144,9,0)),0,VLOOKUP(C18,'[3]S A P 09.10.'!$A$2:$I$144,9,0))</f>
        <v>-61125</v>
      </c>
      <c r="F18" s="83">
        <v>997.7</v>
      </c>
      <c r="G18" s="92">
        <v>-22832.41</v>
      </c>
      <c r="H18" s="83">
        <v>127619.24</v>
      </c>
      <c r="I18" s="83"/>
      <c r="J18" s="83"/>
      <c r="K18" s="83">
        <f>VLOOKUP(C18,'[5]PERIOD 3 JUNE.'!$A$1:$I$128,9,0)</f>
        <v>126621.54</v>
      </c>
      <c r="L18" s="89" t="s">
        <v>249</v>
      </c>
      <c r="M18" s="40">
        <v>100708954</v>
      </c>
      <c r="N18" s="38"/>
      <c r="O18" s="38"/>
      <c r="P18" s="38"/>
      <c r="Q18" s="38"/>
      <c r="R18" s="38"/>
    </row>
    <row r="19" spans="1:18" ht="16.5" thickBot="1">
      <c r="A19" s="37">
        <v>2011</v>
      </c>
      <c r="B19" s="37">
        <v>10051</v>
      </c>
      <c r="C19" s="47">
        <v>938055</v>
      </c>
      <c r="D19" s="40" t="s">
        <v>31</v>
      </c>
      <c r="E19" s="134">
        <f>IF(ISERROR(VLOOKUP(C19,'[3]S A P 09.10.'!$A$2:$I$144,9,0)),0,VLOOKUP(C19,'[3]S A P 09.10.'!$A$2:$I$144,9,0))</f>
        <v>-23533</v>
      </c>
      <c r="F19" s="83">
        <f>1677.07-4.45</f>
        <v>1672.62</v>
      </c>
      <c r="G19" s="92">
        <v>-39559.46</v>
      </c>
      <c r="H19" s="83">
        <v>180084.81</v>
      </c>
      <c r="I19" s="83"/>
      <c r="J19" s="83"/>
      <c r="K19" s="83">
        <f>VLOOKUP(C19,'[5]PERIOD 3 JUNE.'!$A$1:$I$128,9,0)</f>
        <v>178412.19</v>
      </c>
      <c r="L19" s="89" t="s">
        <v>268</v>
      </c>
      <c r="M19" s="40">
        <v>100712239</v>
      </c>
      <c r="N19" s="38"/>
      <c r="O19" s="38"/>
      <c r="P19" s="38"/>
      <c r="Q19" s="38"/>
      <c r="R19" s="38"/>
    </row>
    <row r="20" spans="1:18" ht="16.5" thickBot="1">
      <c r="A20" s="37">
        <v>3522</v>
      </c>
      <c r="B20" s="37">
        <v>10953</v>
      </c>
      <c r="C20" s="47">
        <v>938438</v>
      </c>
      <c r="D20" s="40" t="s">
        <v>140</v>
      </c>
      <c r="E20" s="111">
        <f>IF(ISERROR(VLOOKUP(C20,'[3]S A P 09.10.'!$A$2:$I$144,9,0)),0,VLOOKUP(C20,'[3]S A P 09.10.'!$A$2:$I$144,9,0))</f>
        <v>33368</v>
      </c>
      <c r="F20" s="83">
        <f>9313.22-10.32</f>
        <v>9302.9</v>
      </c>
      <c r="G20" s="92">
        <v>-33114.17</v>
      </c>
      <c r="H20" s="83">
        <v>207344.26</v>
      </c>
      <c r="I20" s="83"/>
      <c r="J20" s="83"/>
      <c r="K20" s="83">
        <f>VLOOKUP(C20,'[5]PERIOD 3 JUNE.'!$A$1:$I$128,9,0)</f>
        <v>198041.36</v>
      </c>
      <c r="L20" s="89" t="s">
        <v>246</v>
      </c>
      <c r="M20" s="40">
        <v>100708478</v>
      </c>
      <c r="N20" s="38"/>
      <c r="O20" s="38"/>
      <c r="P20" s="38"/>
      <c r="Q20" s="38"/>
      <c r="R20" s="38"/>
    </row>
    <row r="21" spans="1:18" ht="16.5" thickBot="1">
      <c r="A21" s="37">
        <v>2014</v>
      </c>
      <c r="B21" s="37">
        <v>10054</v>
      </c>
      <c r="C21" s="47">
        <v>938070</v>
      </c>
      <c r="D21" s="40" t="s">
        <v>32</v>
      </c>
      <c r="E21" s="111">
        <f>IF(ISERROR(VLOOKUP(C21,'[3]S A P 09.10.'!$A$2:$I$144,9,0)),0,VLOOKUP(C21,'[3]S A P 09.10.'!$A$2:$I$144,9,0))</f>
        <v>34322</v>
      </c>
      <c r="F21" s="83">
        <f>4175.06-0.3</f>
        <v>4174.76</v>
      </c>
      <c r="G21" s="92">
        <v>-24035.53</v>
      </c>
      <c r="H21" s="83">
        <v>698584.01</v>
      </c>
      <c r="I21" s="83"/>
      <c r="J21" s="83"/>
      <c r="K21" s="83">
        <f>VLOOKUP(C21,'[5]PERIOD 3 JUNE.'!$A$1:$I$128,9,0)</f>
        <v>694409.25</v>
      </c>
      <c r="L21" s="89" t="s">
        <v>245</v>
      </c>
      <c r="M21" s="40">
        <v>100707150</v>
      </c>
      <c r="N21" s="38"/>
      <c r="O21" s="38"/>
      <c r="P21" s="38"/>
      <c r="Q21" s="38"/>
      <c r="R21" s="38"/>
    </row>
    <row r="22" spans="1:18" ht="16.5" thickBot="1">
      <c r="A22" s="37">
        <v>2015</v>
      </c>
      <c r="B22" s="37">
        <v>10055</v>
      </c>
      <c r="C22" s="47">
        <v>938075</v>
      </c>
      <c r="D22" s="40" t="s">
        <v>33</v>
      </c>
      <c r="E22" s="134">
        <f>IF(ISERROR(VLOOKUP(C22,'[3]S A P 09.10.'!$A$2:$I$144,9,0)),0,VLOOKUP(C22,'[3]S A P 09.10.'!$A$2:$I$144,9,0))</f>
        <v>-19850</v>
      </c>
      <c r="F22" s="83">
        <f>7890.32-43.23</f>
        <v>7847.09</v>
      </c>
      <c r="G22" s="92">
        <v>44912.9</v>
      </c>
      <c r="H22" s="83">
        <v>289666.99</v>
      </c>
      <c r="I22" s="83"/>
      <c r="J22" s="83"/>
      <c r="K22" s="83">
        <f>VLOOKUP(C22,'[5]PERIOD 3 JUNE.'!$A$1:$I$128,9,0)</f>
        <v>281819.9</v>
      </c>
      <c r="L22" s="89" t="s">
        <v>251</v>
      </c>
      <c r="M22" s="40">
        <v>100710272</v>
      </c>
      <c r="N22" s="38"/>
      <c r="O22" s="38"/>
      <c r="P22" s="38"/>
      <c r="Q22" s="38"/>
      <c r="R22" s="38"/>
    </row>
    <row r="23" spans="1:18" ht="16.5" thickBot="1">
      <c r="A23" s="37">
        <v>2016</v>
      </c>
      <c r="B23" s="37">
        <v>10056</v>
      </c>
      <c r="C23" s="47">
        <v>938080</v>
      </c>
      <c r="D23" s="40" t="s">
        <v>34</v>
      </c>
      <c r="E23" s="134">
        <f>IF(ISERROR(VLOOKUP(C23,'[3]S A P 09.10.'!$A$2:$I$144,9,0)),0,VLOOKUP(C23,'[3]S A P 09.10.'!$A$2:$I$144,9,0))</f>
        <v>-8376</v>
      </c>
      <c r="F23" s="83">
        <f>4709.48-8.53</f>
        <v>4700.95</v>
      </c>
      <c r="G23" s="92">
        <v>-6298.78</v>
      </c>
      <c r="H23" s="83">
        <v>183153.69</v>
      </c>
      <c r="I23" s="83"/>
      <c r="J23" s="83"/>
      <c r="K23" s="83">
        <f>VLOOKUP(C23,'[5]PERIOD 3 JUNE.'!$A$1:$I$128,9,0)</f>
        <v>178451.74</v>
      </c>
      <c r="L23" s="89" t="s">
        <v>268</v>
      </c>
      <c r="M23" s="40">
        <v>100712240</v>
      </c>
      <c r="N23" s="38"/>
      <c r="O23" s="38"/>
      <c r="P23" s="38"/>
      <c r="Q23" s="38"/>
      <c r="R23" s="38"/>
    </row>
    <row r="24" spans="1:18" ht="16.5" thickBot="1">
      <c r="A24" s="37">
        <v>2017</v>
      </c>
      <c r="B24" s="37">
        <v>10057</v>
      </c>
      <c r="C24" s="47">
        <v>938085</v>
      </c>
      <c r="D24" s="40" t="s">
        <v>35</v>
      </c>
      <c r="E24" s="134">
        <f>IF(ISERROR(VLOOKUP(C24,'[3]S A P 09.10.'!$A$2:$I$144,9,0)),0,VLOOKUP(C24,'[3]S A P 09.10.'!$A$2:$I$144,9,0))</f>
        <v>-119694</v>
      </c>
      <c r="F24" s="83">
        <v>3311.48</v>
      </c>
      <c r="G24" s="92">
        <v>-32263.56</v>
      </c>
      <c r="H24" s="83">
        <v>190632.64</v>
      </c>
      <c r="I24" s="83"/>
      <c r="J24" s="83"/>
      <c r="K24" s="83">
        <f>VLOOKUP(C24,'[5]PERIOD 3 JUNE.'!$A$1:$I$128,9,0)</f>
        <v>187321.16</v>
      </c>
      <c r="L24" s="89" t="s">
        <v>247</v>
      </c>
      <c r="M24" s="40">
        <v>100708504</v>
      </c>
      <c r="N24" s="38"/>
      <c r="O24" s="38"/>
      <c r="P24" s="38"/>
      <c r="Q24" s="38"/>
      <c r="R24" s="38"/>
    </row>
    <row r="25" spans="1:18" ht="16.5" thickBot="1">
      <c r="A25" s="37">
        <v>2073</v>
      </c>
      <c r="B25" s="37">
        <v>10083</v>
      </c>
      <c r="C25" s="47">
        <v>938255</v>
      </c>
      <c r="D25" s="40" t="s">
        <v>36</v>
      </c>
      <c r="E25" s="111">
        <f>IF(ISERROR(VLOOKUP(C25,'[3]S A P 09.10.'!$A$2:$I$144,9,0)),0,VLOOKUP(C25,'[3]S A P 09.10.'!$A$2:$I$144,9,0))</f>
        <v>4747</v>
      </c>
      <c r="F25" s="83">
        <f>12097.26-13.97</f>
        <v>12083.29</v>
      </c>
      <c r="G25" s="92">
        <v>73445.51</v>
      </c>
      <c r="H25" s="83">
        <v>234763.69</v>
      </c>
      <c r="I25" s="83"/>
      <c r="J25" s="83"/>
      <c r="K25" s="83">
        <f>VLOOKUP(C25,'[5]PERIOD 3 JUNE.'!$A$1:$I$128,9,0)</f>
        <v>222680.4</v>
      </c>
      <c r="L25" s="89" t="s">
        <v>263</v>
      </c>
      <c r="M25" s="40">
        <v>100710666</v>
      </c>
      <c r="N25" s="38"/>
      <c r="O25" s="38"/>
      <c r="P25" s="38"/>
      <c r="Q25" s="38"/>
      <c r="R25" s="38"/>
    </row>
    <row r="26" spans="1:18" ht="16.5" thickBot="1">
      <c r="A26" s="37">
        <v>2019</v>
      </c>
      <c r="B26" s="37">
        <v>10059</v>
      </c>
      <c r="C26" s="47">
        <v>938095</v>
      </c>
      <c r="D26" s="40" t="s">
        <v>38</v>
      </c>
      <c r="E26" s="111">
        <f>IF(ISERROR(VLOOKUP(C26,'[3]S A P 09.10.'!$A$2:$I$144,9,0)),0,VLOOKUP(C26,'[3]S A P 09.10.'!$A$2:$I$144,9,0))</f>
        <v>39956</v>
      </c>
      <c r="F26" s="83">
        <f>10548.99-18.67</f>
        <v>10530.32</v>
      </c>
      <c r="G26" s="92">
        <v>-4407.57</v>
      </c>
      <c r="H26" s="83">
        <v>242086.44</v>
      </c>
      <c r="I26" s="83"/>
      <c r="J26" s="83"/>
      <c r="K26" s="83">
        <f>VLOOKUP(C26,'[5]PERIOD 3 JUNE.'!$A$1:$I$128,9,0)</f>
        <v>231556.12</v>
      </c>
      <c r="L26" s="89" t="s">
        <v>247</v>
      </c>
      <c r="M26" s="40">
        <v>100708522</v>
      </c>
      <c r="N26" s="38"/>
      <c r="O26" s="38"/>
      <c r="P26" s="38"/>
      <c r="Q26" s="38"/>
      <c r="R26" s="38"/>
    </row>
    <row r="27" spans="1:18" ht="16.5" thickBot="1">
      <c r="A27" s="37">
        <v>2018</v>
      </c>
      <c r="B27" s="37">
        <v>10058</v>
      </c>
      <c r="C27" s="47">
        <v>938090</v>
      </c>
      <c r="D27" s="40" t="s">
        <v>37</v>
      </c>
      <c r="E27" s="134">
        <f>IF(ISERROR(VLOOKUP(C27,'[3]S A P 09.10.'!$A$2:$I$144,9,0)),0,VLOOKUP(C27,'[3]S A P 09.10.'!$A$2:$I$144,9,0))</f>
        <v>-36847</v>
      </c>
      <c r="F27" s="83">
        <f>6940.64-32.32</f>
        <v>6908.320000000001</v>
      </c>
      <c r="G27" s="92">
        <v>-166998.72</v>
      </c>
      <c r="H27" s="83">
        <v>321729.72</v>
      </c>
      <c r="I27" s="83"/>
      <c r="J27" s="83"/>
      <c r="K27" s="83">
        <f>VLOOKUP(C27,'[5]PERIOD 3 JUNE.'!$A$1:$I$128,9,0)</f>
        <v>314821.4</v>
      </c>
      <c r="L27" s="89" t="s">
        <v>266</v>
      </c>
      <c r="M27" s="40">
        <v>100711716</v>
      </c>
      <c r="N27" s="38"/>
      <c r="O27" s="38"/>
      <c r="P27" s="38"/>
      <c r="Q27" s="38"/>
      <c r="R27" s="38"/>
    </row>
    <row r="28" spans="1:18" ht="16.5" thickBot="1">
      <c r="A28" s="37">
        <v>2021</v>
      </c>
      <c r="B28" s="37">
        <v>10061</v>
      </c>
      <c r="C28" s="47">
        <v>938100</v>
      </c>
      <c r="D28" s="40" t="s">
        <v>40</v>
      </c>
      <c r="E28" s="134">
        <f>IF(ISERROR(VLOOKUP(C28,'[3]S A P 09.10.'!$A$2:$I$144,9,0)),0,VLOOKUP(C28,'[3]S A P 09.10.'!$A$2:$I$144,9,0))</f>
        <v>-21809</v>
      </c>
      <c r="F28" s="83">
        <f>4105.71-32.61</f>
        <v>4073.1</v>
      </c>
      <c r="G28" s="92">
        <v>-26388.13</v>
      </c>
      <c r="H28" s="83">
        <v>232597.38</v>
      </c>
      <c r="I28" s="83"/>
      <c r="J28" s="83"/>
      <c r="K28" s="83">
        <f>VLOOKUP(C28,'[5]PERIOD 3 JUNE.'!$A$1:$I$128,9,0)</f>
        <v>228524.28</v>
      </c>
      <c r="L28" s="89" t="s">
        <v>267</v>
      </c>
      <c r="M28" s="40">
        <v>100711751</v>
      </c>
      <c r="N28" s="38"/>
      <c r="O28" s="38"/>
      <c r="P28" s="38"/>
      <c r="Q28" s="38"/>
      <c r="R28" s="38"/>
    </row>
    <row r="29" spans="1:18" ht="16.5" thickBot="1">
      <c r="A29" s="37">
        <v>5200</v>
      </c>
      <c r="B29" s="37">
        <v>10060</v>
      </c>
      <c r="C29" s="47">
        <v>938490</v>
      </c>
      <c r="D29" s="40" t="s">
        <v>39</v>
      </c>
      <c r="E29" s="111">
        <f>IF(ISERROR(VLOOKUP(C29,'[3]S A P 09.10.'!$A$2:$I$144,9,0)),0,VLOOKUP(C29,'[3]S A P 09.10.'!$A$2:$I$144,9,0))</f>
        <v>9439</v>
      </c>
      <c r="F29" s="83">
        <f>7601.77-47.44</f>
        <v>7554.330000000001</v>
      </c>
      <c r="G29" s="92">
        <v>-19105.81</v>
      </c>
      <c r="H29" s="83">
        <v>105482.14</v>
      </c>
      <c r="I29" s="83"/>
      <c r="J29" s="83"/>
      <c r="K29" s="83">
        <f>VLOOKUP(C29,'[5]PERIOD 3 JUNE.'!$A$1:$I$128,9,0)</f>
        <v>97927.81</v>
      </c>
      <c r="L29" s="89" t="s">
        <v>264</v>
      </c>
      <c r="M29" s="40">
        <v>100711053</v>
      </c>
      <c r="N29" s="38"/>
      <c r="O29" s="38"/>
      <c r="P29" s="38"/>
      <c r="Q29" s="38"/>
      <c r="R29" s="38"/>
    </row>
    <row r="30" spans="1:18" ht="16.5" thickBot="1">
      <c r="A30" s="37">
        <v>2023</v>
      </c>
      <c r="B30" s="37">
        <v>10063</v>
      </c>
      <c r="C30" s="47">
        <v>938110</v>
      </c>
      <c r="D30" s="40" t="s">
        <v>42</v>
      </c>
      <c r="E30" s="134">
        <f>IF(ISERROR(VLOOKUP(C30,'[3]S A P 09.10.'!$A$2:$I$144,9,0)),0,VLOOKUP(C30,'[3]S A P 09.10.'!$A$2:$I$144,9,0))</f>
        <v>-137897</v>
      </c>
      <c r="F30" s="83">
        <v>3169.24</v>
      </c>
      <c r="G30" s="92">
        <v>37563.67</v>
      </c>
      <c r="H30" s="83">
        <v>250411.6</v>
      </c>
      <c r="I30" s="83"/>
      <c r="J30" s="83"/>
      <c r="K30" s="83">
        <f>VLOOKUP(C30,'[5]PERIOD 3 JUNE.'!$A$1:$I$128,9,0)</f>
        <v>246945.36</v>
      </c>
      <c r="L30" s="89" t="s">
        <v>249</v>
      </c>
      <c r="M30" s="40">
        <v>100711712</v>
      </c>
      <c r="N30" s="38"/>
      <c r="O30" s="38"/>
      <c r="P30" s="38"/>
      <c r="Q30" s="38"/>
      <c r="R30" s="38"/>
    </row>
    <row r="31" spans="1:18" ht="16.5" thickBot="1">
      <c r="A31" s="37">
        <v>2022</v>
      </c>
      <c r="B31" s="37">
        <v>10062</v>
      </c>
      <c r="C31" s="47">
        <v>938105</v>
      </c>
      <c r="D31" s="40" t="s">
        <v>41</v>
      </c>
      <c r="E31" s="134">
        <f>IF(ISERROR(VLOOKUP(C31,'[3]S A P 09.10.'!$A$2:$I$144,9,0)),0,VLOOKUP(C31,'[3]S A P 09.10.'!$A$2:$I$144,9,0))</f>
        <v>-102862</v>
      </c>
      <c r="F31" s="83">
        <v>3979.2</v>
      </c>
      <c r="G31" s="92">
        <v>-36690.99</v>
      </c>
      <c r="H31" s="83">
        <v>278414.39</v>
      </c>
      <c r="I31" s="83"/>
      <c r="J31" s="83"/>
      <c r="K31" s="83">
        <f>VLOOKUP(C31,'[5]PERIOD 3 JUNE.'!$A$1:$I$128,9,0)</f>
        <v>274435.19</v>
      </c>
      <c r="L31" s="89" t="s">
        <v>246</v>
      </c>
      <c r="M31" s="40">
        <v>100708482</v>
      </c>
      <c r="N31" s="38"/>
      <c r="O31" s="38"/>
      <c r="P31" s="38"/>
      <c r="Q31" s="38"/>
      <c r="R31" s="38"/>
    </row>
    <row r="32" spans="1:18" ht="16.5" thickBot="1">
      <c r="A32" s="37">
        <v>3524</v>
      </c>
      <c r="B32" s="37">
        <v>11278</v>
      </c>
      <c r="C32" s="47">
        <v>938590</v>
      </c>
      <c r="D32" s="40" t="s">
        <v>396</v>
      </c>
      <c r="E32" s="134"/>
      <c r="F32" s="83"/>
      <c r="G32" s="92"/>
      <c r="H32" s="83"/>
      <c r="I32" s="83"/>
      <c r="J32" s="83"/>
      <c r="K32" s="83"/>
      <c r="L32" s="89"/>
      <c r="M32" s="40">
        <v>1</v>
      </c>
      <c r="N32" s="38"/>
      <c r="O32" s="38"/>
      <c r="P32" s="38"/>
      <c r="Q32" s="38"/>
      <c r="R32" s="38"/>
    </row>
    <row r="33" spans="1:18" ht="16.5" thickBot="1">
      <c r="A33" s="37">
        <v>2024</v>
      </c>
      <c r="B33" s="37">
        <v>10064</v>
      </c>
      <c r="C33" s="47">
        <v>938115</v>
      </c>
      <c r="D33" s="40" t="s">
        <v>43</v>
      </c>
      <c r="E33" s="134">
        <f>IF(ISERROR(VLOOKUP(C33,'[3]S A P 09.10.'!$A$2:$I$144,9,0)),0,VLOOKUP(C33,'[3]S A P 09.10.'!$A$2:$I$144,9,0))</f>
        <v>-20114</v>
      </c>
      <c r="F33" s="83">
        <v>2022.87</v>
      </c>
      <c r="G33" s="92">
        <v>-16895.93</v>
      </c>
      <c r="H33" s="83">
        <v>260730.17</v>
      </c>
      <c r="I33" s="83"/>
      <c r="J33" s="83"/>
      <c r="K33" s="83">
        <f>VLOOKUP(C33,'[5]PERIOD 3 JUNE.'!$A$1:$I$128,9,0)</f>
        <v>258707.3</v>
      </c>
      <c r="L33" s="89" t="s">
        <v>242</v>
      </c>
      <c r="M33" s="40">
        <v>100705729</v>
      </c>
      <c r="N33" s="38"/>
      <c r="O33" s="38"/>
      <c r="P33" s="38"/>
      <c r="Q33" s="38"/>
      <c r="R33" s="38"/>
    </row>
    <row r="34" spans="1:18" ht="16.5" thickBot="1">
      <c r="A34" s="37">
        <v>2025</v>
      </c>
      <c r="B34" s="37">
        <v>10065</v>
      </c>
      <c r="C34" s="47">
        <v>938120</v>
      </c>
      <c r="D34" s="40" t="s">
        <v>44</v>
      </c>
      <c r="E34" s="134">
        <f>IF(ISERROR(VLOOKUP(C34,'[3]S A P 09.10.'!$A$2:$I$144,9,0)),0,VLOOKUP(C34,'[3]S A P 09.10.'!$A$2:$I$144,9,0))</f>
        <v>-27825</v>
      </c>
      <c r="F34" s="83">
        <v>3545.86</v>
      </c>
      <c r="G34" s="92">
        <v>-7042.04</v>
      </c>
      <c r="H34" s="83">
        <v>229641</v>
      </c>
      <c r="I34" s="83"/>
      <c r="J34" s="83"/>
      <c r="K34" s="83">
        <f>VLOOKUP(C34,'[5]PERIOD 3 JUNE.'!$A$1:$I$128,9,0)</f>
        <v>226095.14</v>
      </c>
      <c r="L34" s="89" t="s">
        <v>245</v>
      </c>
      <c r="M34" s="40">
        <v>100707662</v>
      </c>
      <c r="N34" s="38"/>
      <c r="O34" s="38"/>
      <c r="P34" s="38"/>
      <c r="Q34" s="38"/>
      <c r="R34" s="38"/>
    </row>
    <row r="35" spans="1:18" ht="16.5" thickBot="1">
      <c r="A35" s="37">
        <v>2026</v>
      </c>
      <c r="B35" s="37">
        <v>10066</v>
      </c>
      <c r="C35" s="47">
        <v>938125</v>
      </c>
      <c r="D35" s="40" t="s">
        <v>45</v>
      </c>
      <c r="E35" s="134">
        <f>IF(ISERROR(VLOOKUP(C35,'[3]S A P 09.10.'!$A$2:$I$144,9,0)),0,VLOOKUP(C35,'[3]S A P 09.10.'!$A$2:$I$144,9,0))</f>
        <v>-126422</v>
      </c>
      <c r="F35" s="83">
        <v>6215.52</v>
      </c>
      <c r="G35" s="92">
        <v>-39535.23</v>
      </c>
      <c r="H35" s="83">
        <v>391377.43</v>
      </c>
      <c r="I35" s="83"/>
      <c r="J35" s="83"/>
      <c r="K35" s="83">
        <f>VLOOKUP(C35,'[5]PERIOD 3 JUNE.'!$A$1:$I$128,9,0)</f>
        <v>385161.91</v>
      </c>
      <c r="L35" s="89" t="s">
        <v>249</v>
      </c>
      <c r="M35" s="40">
        <v>100708928</v>
      </c>
      <c r="N35" s="38"/>
      <c r="O35" s="38"/>
      <c r="P35" s="38"/>
      <c r="Q35" s="38"/>
      <c r="R35" s="38"/>
    </row>
    <row r="36" spans="1:18" ht="16.5" thickBot="1">
      <c r="A36" s="37">
        <v>2028</v>
      </c>
      <c r="B36" s="37">
        <v>10068</v>
      </c>
      <c r="C36" s="47">
        <v>938135</v>
      </c>
      <c r="D36" s="40" t="s">
        <v>47</v>
      </c>
      <c r="E36" s="111">
        <f>IF(ISERROR(VLOOKUP(C36,'[3]S A P 09.10.'!$A$2:$I$144,9,0)),0,VLOOKUP(C36,'[3]S A P 09.10.'!$A$2:$I$144,9,0))</f>
        <v>10092</v>
      </c>
      <c r="F36" s="83">
        <f>4253.92-11.21</f>
        <v>4242.71</v>
      </c>
      <c r="G36" s="92">
        <v>-2497.71</v>
      </c>
      <c r="H36" s="83">
        <v>207620.03</v>
      </c>
      <c r="I36" s="83"/>
      <c r="J36" s="83"/>
      <c r="K36" s="83">
        <f>VLOOKUP(C36,'[5]PERIOD 3 JUNE.'!$A$1:$I$128,9,0)</f>
        <v>203377.32</v>
      </c>
      <c r="L36" s="89" t="s">
        <v>251</v>
      </c>
      <c r="M36" s="40">
        <v>100709377</v>
      </c>
      <c r="N36" s="38"/>
      <c r="O36" s="38"/>
      <c r="P36" s="38"/>
      <c r="Q36" s="38"/>
      <c r="R36" s="38"/>
    </row>
    <row r="37" spans="1:18" ht="16.5" thickBot="1">
      <c r="A37" s="37">
        <v>2027</v>
      </c>
      <c r="B37" s="37">
        <v>10067</v>
      </c>
      <c r="C37" s="47">
        <v>938130</v>
      </c>
      <c r="D37" s="40" t="s">
        <v>46</v>
      </c>
      <c r="E37" s="111">
        <f>IF(ISERROR(VLOOKUP(C37,'[3]S A P 09.10.'!$A$2:$I$144,9,0)),0,VLOOKUP(C37,'[3]S A P 09.10.'!$A$2:$I$144,9,0))</f>
        <v>18601</v>
      </c>
      <c r="F37" s="83">
        <f>7551.47-27.18</f>
        <v>7524.29</v>
      </c>
      <c r="G37" s="92">
        <v>-9051.32</v>
      </c>
      <c r="H37" s="83">
        <v>245818.53</v>
      </c>
      <c r="I37" s="83"/>
      <c r="J37" s="97"/>
      <c r="K37" s="83">
        <f>VLOOKUP(C37,'[5]PERIOD 3 JUNE.'!$A$1:$I$128,9,0)</f>
        <v>238294.24</v>
      </c>
      <c r="L37" s="89" t="s">
        <v>246</v>
      </c>
      <c r="M37" s="40">
        <v>100707699</v>
      </c>
      <c r="N37" s="38"/>
      <c r="O37" s="38"/>
      <c r="P37" s="38"/>
      <c r="Q37" s="38"/>
      <c r="R37" s="38"/>
    </row>
    <row r="38" spans="1:18" ht="16.5" thickBot="1">
      <c r="A38" s="37">
        <v>2029</v>
      </c>
      <c r="B38" s="37">
        <v>10069</v>
      </c>
      <c r="C38" s="47">
        <v>938140</v>
      </c>
      <c r="D38" s="40" t="s">
        <v>48</v>
      </c>
      <c r="E38" s="111">
        <f>IF(ISERROR(VLOOKUP(C38,'[3]S A P 09.10.'!$A$2:$I$144,9,0)),0,VLOOKUP(C38,'[3]S A P 09.10.'!$A$2:$I$144,9,0))</f>
        <v>35437</v>
      </c>
      <c r="F38" s="83">
        <v>1632.64</v>
      </c>
      <c r="G38" s="92">
        <v>-104297.96</v>
      </c>
      <c r="H38" s="83">
        <v>489966.16</v>
      </c>
      <c r="I38" s="83"/>
      <c r="J38" s="83"/>
      <c r="K38" s="83">
        <f>VLOOKUP(C38,'[5]PERIOD 3 JUNE.'!$A$1:$I$128,9,0)</f>
        <v>488333.52</v>
      </c>
      <c r="L38" s="89" t="s">
        <v>266</v>
      </c>
      <c r="M38" s="40">
        <v>100711106</v>
      </c>
      <c r="N38" s="38"/>
      <c r="O38" s="38"/>
      <c r="P38" s="38"/>
      <c r="Q38" s="38"/>
      <c r="R38" s="38"/>
    </row>
    <row r="39" spans="1:18" ht="16.5" thickBot="1">
      <c r="A39" s="37">
        <v>2030</v>
      </c>
      <c r="B39" s="37">
        <v>10070</v>
      </c>
      <c r="C39" s="47">
        <v>938145</v>
      </c>
      <c r="D39" s="40" t="s">
        <v>50</v>
      </c>
      <c r="E39" s="134">
        <f>IF(ISERROR(VLOOKUP(C39,'[3]S A P 09.10.'!$A$2:$I$144,9,0)),0,VLOOKUP(C39,'[3]S A P 09.10.'!$A$2:$I$144,9,0))</f>
        <v>-12262</v>
      </c>
      <c r="F39" s="83">
        <v>662.53</v>
      </c>
      <c r="G39" s="92">
        <v>-26542.32</v>
      </c>
      <c r="H39" s="83">
        <v>115600.43</v>
      </c>
      <c r="I39" s="83"/>
      <c r="J39" s="83"/>
      <c r="K39" s="83">
        <f>VLOOKUP(C39,'[5]PERIOD 3 JUNE.'!$A$1:$I$128,9,0)</f>
        <v>114937.9</v>
      </c>
      <c r="L39" s="89" t="s">
        <v>249</v>
      </c>
      <c r="M39" s="40">
        <v>100708973</v>
      </c>
      <c r="N39" s="38"/>
      <c r="O39" s="38"/>
      <c r="P39" s="38"/>
      <c r="Q39" s="38"/>
      <c r="R39" s="38"/>
    </row>
    <row r="40" spans="1:18" ht="16.5" thickBot="1">
      <c r="A40" s="37">
        <v>3516</v>
      </c>
      <c r="B40" s="37">
        <v>10121</v>
      </c>
      <c r="C40" s="47">
        <v>938425</v>
      </c>
      <c r="D40" s="40" t="s">
        <v>51</v>
      </c>
      <c r="E40" s="134">
        <f>IF(ISERROR(VLOOKUP(C40,'[3]S A P 09.10.'!$A$2:$I$144,9,0)),0,VLOOKUP(C40,'[3]S A P 09.10.'!$A$2:$I$144,9,0))</f>
        <v>-47968</v>
      </c>
      <c r="F40" s="83">
        <v>3341.29</v>
      </c>
      <c r="G40" s="92">
        <v>-21330.17</v>
      </c>
      <c r="H40" s="83">
        <v>4355.83</v>
      </c>
      <c r="I40" s="83"/>
      <c r="J40" s="83"/>
      <c r="K40" s="83">
        <f>VLOOKUP(C40,'[5]PERIOD 3 JUNE.'!$A$1:$I$128,9,0)</f>
        <v>1014.539999999979</v>
      </c>
      <c r="L40" s="89" t="s">
        <v>247</v>
      </c>
      <c r="M40" s="40">
        <v>100708916</v>
      </c>
      <c r="N40" s="38"/>
      <c r="O40" s="38"/>
      <c r="P40" s="38"/>
      <c r="Q40" s="38"/>
      <c r="R40" s="38"/>
    </row>
    <row r="41" spans="1:18" ht="16.5" thickBot="1">
      <c r="A41" s="37">
        <v>2031</v>
      </c>
      <c r="B41" s="37">
        <v>10071</v>
      </c>
      <c r="C41" s="47">
        <v>938150</v>
      </c>
      <c r="D41" s="40" t="s">
        <v>52</v>
      </c>
      <c r="E41" s="134">
        <f>IF(ISERROR(VLOOKUP(C41,'[3]S A P 09.10.'!$A$2:$I$144,9,0)),0,VLOOKUP(C41,'[3]S A P 09.10.'!$A$2:$I$144,9,0))</f>
        <v>-109647</v>
      </c>
      <c r="F41" s="83">
        <f>1702.38</f>
        <v>1702.38</v>
      </c>
      <c r="G41" s="92">
        <v>-36883.94</v>
      </c>
      <c r="H41" s="83">
        <v>200022.32</v>
      </c>
      <c r="I41" s="83"/>
      <c r="J41" s="83"/>
      <c r="K41" s="83">
        <f>VLOOKUP(C41,'[5]PERIOD 3 JUNE.'!$A$1:$I$128,9,0)</f>
        <v>198319.94</v>
      </c>
      <c r="L41" s="89" t="s">
        <v>247</v>
      </c>
      <c r="M41" s="40">
        <v>100708521</v>
      </c>
      <c r="N41" s="38"/>
      <c r="O41" s="38"/>
      <c r="P41" s="38"/>
      <c r="Q41" s="38"/>
      <c r="R41" s="38"/>
    </row>
    <row r="42" spans="1:18" ht="16.5" thickBot="1">
      <c r="A42" s="37">
        <v>2032</v>
      </c>
      <c r="B42" s="37">
        <v>10072</v>
      </c>
      <c r="C42" s="47">
        <v>938155</v>
      </c>
      <c r="D42" s="40" t="s">
        <v>53</v>
      </c>
      <c r="E42" s="134">
        <f>IF(ISERROR(VLOOKUP(C42,'[3]S A P 09.10.'!$A$2:$I$144,9,0)),0,VLOOKUP(C42,'[3]S A P 09.10.'!$A$2:$I$144,9,0))</f>
        <v>-86469</v>
      </c>
      <c r="F42" s="83">
        <f>5223.46-24.87</f>
        <v>5198.59</v>
      </c>
      <c r="G42" s="92">
        <v>-36445.94</v>
      </c>
      <c r="H42" s="83">
        <v>158817.26</v>
      </c>
      <c r="I42" s="83"/>
      <c r="J42" s="83"/>
      <c r="K42" s="83">
        <f>VLOOKUP(C42,'[5]PERIOD 3 JUNE.'!$A$1:$I$128,9,0)</f>
        <v>153618.67</v>
      </c>
      <c r="L42" s="89" t="s">
        <v>268</v>
      </c>
      <c r="M42" s="40">
        <v>100712221</v>
      </c>
      <c r="N42" s="38"/>
      <c r="O42" s="38"/>
      <c r="P42" s="38"/>
      <c r="Q42" s="38"/>
      <c r="R42" s="38"/>
    </row>
    <row r="43" spans="1:18" ht="16.5" thickBot="1">
      <c r="A43" s="37">
        <v>3304</v>
      </c>
      <c r="B43" s="37">
        <v>10073</v>
      </c>
      <c r="C43" s="47">
        <v>938290</v>
      </c>
      <c r="D43" s="40" t="s">
        <v>54</v>
      </c>
      <c r="E43" s="134">
        <f>IF(ISERROR(VLOOKUP(C43,'[3]S A P 09.10.'!$A$2:$I$144,9,0)),0,VLOOKUP(C43,'[3]S A P 09.10.'!$A$2:$I$144,9,0))</f>
        <v>-24594</v>
      </c>
      <c r="F43" s="83">
        <v>2703.96</v>
      </c>
      <c r="G43" s="92">
        <v>-8090.28</v>
      </c>
      <c r="H43" s="83">
        <v>104676.1</v>
      </c>
      <c r="I43" s="83"/>
      <c r="J43" s="83"/>
      <c r="K43" s="83">
        <f>VLOOKUP(C43,'[5]PERIOD 3 JUNE.'!$A$1:$I$128,9,0)</f>
        <v>101972.14</v>
      </c>
      <c r="L43" s="89" t="s">
        <v>249</v>
      </c>
      <c r="M43" s="40">
        <v>100708937</v>
      </c>
      <c r="N43" s="38"/>
      <c r="O43" s="38"/>
      <c r="P43" s="38"/>
      <c r="Q43" s="38"/>
      <c r="R43" s="38"/>
    </row>
    <row r="44" spans="1:18" ht="16.5" thickBot="1">
      <c r="A44" s="37">
        <v>2074</v>
      </c>
      <c r="B44" s="37">
        <v>10122</v>
      </c>
      <c r="C44" s="47">
        <v>938260</v>
      </c>
      <c r="D44" s="40" t="s">
        <v>55</v>
      </c>
      <c r="E44" s="111">
        <f>IF(ISERROR(VLOOKUP(C44,'[3]S A P 09.10.'!$A$2:$I$144,9,0)),0,VLOOKUP(C44,'[3]S A P 09.10.'!$A$2:$I$144,9,0))</f>
        <v>19754</v>
      </c>
      <c r="F44" s="83">
        <v>5130.58</v>
      </c>
      <c r="G44" s="92">
        <v>-60778.43</v>
      </c>
      <c r="H44" s="83">
        <v>315964.24</v>
      </c>
      <c r="I44" s="83"/>
      <c r="J44" s="83"/>
      <c r="K44" s="83">
        <f>VLOOKUP(C44,'[5]PERIOD 3 JUNE.'!$A$1:$I$128,9,0)</f>
        <v>310833.67</v>
      </c>
      <c r="L44" s="89" t="s">
        <v>244</v>
      </c>
      <c r="M44" s="40">
        <v>100706634</v>
      </c>
      <c r="N44" s="38"/>
      <c r="O44" s="38"/>
      <c r="P44" s="38"/>
      <c r="Q44" s="38"/>
      <c r="R44" s="38"/>
    </row>
    <row r="45" spans="1:18" ht="16.5" thickBot="1">
      <c r="A45" s="37">
        <v>3515</v>
      </c>
      <c r="B45" s="37">
        <v>10106</v>
      </c>
      <c r="C45" s="47">
        <v>938420</v>
      </c>
      <c r="D45" s="40" t="s">
        <v>56</v>
      </c>
      <c r="E45" s="134">
        <f>IF(ISERROR(VLOOKUP(C45,'[3]S A P 09.10.'!$A$2:$I$144,9,0)),0,VLOOKUP(C45,'[3]S A P 09.10.'!$A$2:$I$144,9,0))</f>
        <v>-7369</v>
      </c>
      <c r="F45" s="83">
        <v>1993.26</v>
      </c>
      <c r="G45" s="92">
        <v>-8228.74</v>
      </c>
      <c r="H45" s="83">
        <v>58175.71</v>
      </c>
      <c r="I45" s="83"/>
      <c r="J45" s="83"/>
      <c r="K45" s="83">
        <f>VLOOKUP(C45,'[5]PERIOD 3 JUNE.'!$A$1:$I$128,9,0)</f>
        <v>56182.45</v>
      </c>
      <c r="L45" s="89" t="s">
        <v>263</v>
      </c>
      <c r="M45" s="40">
        <v>100710333</v>
      </c>
      <c r="N45" s="38"/>
      <c r="O45" s="38"/>
      <c r="P45" s="38"/>
      <c r="Q45" s="38"/>
      <c r="R45" s="38"/>
    </row>
    <row r="46" spans="1:18" ht="16.5" thickBot="1">
      <c r="A46" s="37">
        <v>2036</v>
      </c>
      <c r="B46" s="37">
        <v>10074</v>
      </c>
      <c r="C46" s="47">
        <v>938160</v>
      </c>
      <c r="D46" s="40" t="s">
        <v>57</v>
      </c>
      <c r="E46" s="111">
        <f>IF(ISERROR(VLOOKUP(C46,'[3]S A P 09.10.'!$A$2:$I$144,9,0)),0,VLOOKUP(C46,'[3]S A P 09.10.'!$A$2:$I$144,9,0))</f>
        <v>62006</v>
      </c>
      <c r="F46" s="83">
        <f>1885.27-101.88</f>
        <v>1783.3899999999999</v>
      </c>
      <c r="G46" s="92">
        <v>-18757</v>
      </c>
      <c r="H46" s="83">
        <v>434461.59</v>
      </c>
      <c r="I46" s="83"/>
      <c r="J46" s="83"/>
      <c r="K46" s="83">
        <f>VLOOKUP(C46,'[5]PERIOD 3 JUNE.'!$A$1:$I$128,9,0)</f>
        <v>432678.2</v>
      </c>
      <c r="L46" s="89" t="s">
        <v>251</v>
      </c>
      <c r="M46" s="40">
        <v>100710263</v>
      </c>
      <c r="N46" s="38"/>
      <c r="O46" s="38"/>
      <c r="P46" s="38"/>
      <c r="Q46" s="38"/>
      <c r="R46" s="38"/>
    </row>
    <row r="47" spans="1:18" ht="16.5" thickBot="1">
      <c r="A47" s="37">
        <v>2037</v>
      </c>
      <c r="B47" s="37">
        <v>10075</v>
      </c>
      <c r="C47" s="47">
        <v>938165</v>
      </c>
      <c r="D47" s="40" t="s">
        <v>58</v>
      </c>
      <c r="E47" s="134">
        <f>IF(ISERROR(VLOOKUP(C47,'[3]S A P 09.10.'!$A$2:$I$144,9,0)),0,VLOOKUP(C47,'[3]S A P 09.10.'!$A$2:$I$144,9,0))</f>
        <v>-35355</v>
      </c>
      <c r="F47" s="83">
        <f>2870.09-5.97</f>
        <v>2864.1200000000003</v>
      </c>
      <c r="G47" s="92">
        <v>-46745.71</v>
      </c>
      <c r="H47" s="83">
        <v>205107.07</v>
      </c>
      <c r="I47" s="83"/>
      <c r="J47" s="83"/>
      <c r="K47" s="83">
        <f>VLOOKUP(C47,'[5]PERIOD 3 JUNE.'!$A$1:$I$128,9,0)</f>
        <v>202242.95</v>
      </c>
      <c r="L47" s="89" t="s">
        <v>249</v>
      </c>
      <c r="M47" s="40">
        <v>100709342</v>
      </c>
      <c r="N47" s="38"/>
      <c r="O47" s="38"/>
      <c r="P47" s="38"/>
      <c r="Q47" s="38"/>
      <c r="R47" s="38"/>
    </row>
    <row r="48" spans="1:18" ht="16.5" thickBot="1">
      <c r="A48" s="37">
        <v>3523</v>
      </c>
      <c r="B48" s="37">
        <v>11093</v>
      </c>
      <c r="C48" s="47">
        <v>938580</v>
      </c>
      <c r="D48" s="40" t="s">
        <v>177</v>
      </c>
      <c r="E48" s="134">
        <f>IF(ISERROR(VLOOKUP(C48,'[3]S A P 09.10.'!$A$2:$I$144,9,0)),0,VLOOKUP(C48,'[3]S A P 09.10.'!$A$2:$I$144,9,0))</f>
        <v>-195904</v>
      </c>
      <c r="F48" s="83">
        <f>1913.7-7.45</f>
        <v>1906.25</v>
      </c>
      <c r="G48" s="92">
        <v>-88032.63</v>
      </c>
      <c r="H48" s="83">
        <v>289677.02</v>
      </c>
      <c r="I48" s="83"/>
      <c r="J48" s="83"/>
      <c r="K48" s="83">
        <f>VLOOKUP(C48,'[5]PERIOD 3 JUNE.'!$A$1:$I$128,9,0)</f>
        <v>287770.77</v>
      </c>
      <c r="L48" s="89" t="s">
        <v>244</v>
      </c>
      <c r="M48" s="40">
        <v>100706638</v>
      </c>
      <c r="N48" s="38"/>
      <c r="O48" s="38"/>
      <c r="P48" s="38"/>
      <c r="Q48" s="38"/>
      <c r="R48" s="38"/>
    </row>
    <row r="49" spans="1:18" ht="16.5" thickBot="1">
      <c r="A49" s="37">
        <v>5948</v>
      </c>
      <c r="B49" s="37">
        <v>10125</v>
      </c>
      <c r="C49" s="47">
        <v>938550</v>
      </c>
      <c r="D49" s="40" t="s">
        <v>59</v>
      </c>
      <c r="E49" s="111">
        <f>IF(ISERROR(VLOOKUP(C49,'[3]S A P 09.10.'!$A$2:$I$144,9,0)),0,VLOOKUP(C49,'[3]S A P 09.10.'!$A$2:$I$144,9,0))</f>
        <v>3907</v>
      </c>
      <c r="F49" s="83">
        <f>2102.57-11.2</f>
        <v>2091.3700000000003</v>
      </c>
      <c r="G49" s="92">
        <v>-22360.77</v>
      </c>
      <c r="H49" s="83">
        <v>99892.62</v>
      </c>
      <c r="I49" s="83"/>
      <c r="J49" s="83"/>
      <c r="K49" s="83">
        <f>VLOOKUP(C49,'[5]PERIOD 3 JUNE.'!$A$1:$I$128,9,0)</f>
        <v>97801.24999999993</v>
      </c>
      <c r="L49" s="89" t="s">
        <v>264</v>
      </c>
      <c r="M49" s="40">
        <v>100711094</v>
      </c>
      <c r="N49" s="38"/>
      <c r="O49" s="38"/>
      <c r="P49" s="38"/>
      <c r="Q49" s="38"/>
      <c r="R49" s="38"/>
    </row>
    <row r="50" spans="1:18" ht="16.5" thickBot="1">
      <c r="A50" s="37">
        <v>5949</v>
      </c>
      <c r="B50" s="37">
        <v>10126</v>
      </c>
      <c r="C50" s="47">
        <v>938555</v>
      </c>
      <c r="D50" s="40" t="s">
        <v>61</v>
      </c>
      <c r="E50" s="111">
        <f>IF(ISERROR(VLOOKUP(C50,'[3]S A P 09.10.'!$A$2:$I$144,9,0)),0,VLOOKUP(C50,'[3]S A P 09.10.'!$A$2:$I$144,9,0))</f>
        <v>0</v>
      </c>
      <c r="F50" s="83">
        <v>1361.64</v>
      </c>
      <c r="G50" s="92">
        <v>30422.61</v>
      </c>
      <c r="H50" s="83">
        <v>32581.16</v>
      </c>
      <c r="I50" s="83"/>
      <c r="J50" s="83"/>
      <c r="K50" s="83">
        <f>VLOOKUP(C50,'[5]PERIOD 3 JUNE.'!$A$1:$I$128,9,0)</f>
        <v>31219.52</v>
      </c>
      <c r="L50" s="89" t="s">
        <v>246</v>
      </c>
      <c r="M50" s="40">
        <v>100708485</v>
      </c>
      <c r="N50" s="38"/>
      <c r="O50" s="38"/>
      <c r="P50" s="38"/>
      <c r="Q50" s="38"/>
      <c r="R50" s="38"/>
    </row>
    <row r="51" spans="1:18" ht="16.5" thickBot="1">
      <c r="A51" s="37">
        <v>3513</v>
      </c>
      <c r="B51" s="37">
        <v>10114</v>
      </c>
      <c r="C51" s="47">
        <v>938410</v>
      </c>
      <c r="D51" s="40" t="s">
        <v>60</v>
      </c>
      <c r="E51" s="134">
        <f>IF(ISERROR(VLOOKUP(C51,'[3]S A P 09.10.'!$A$2:$I$144,9,0)),0,VLOOKUP(C51,'[3]S A P 09.10.'!$A$2:$I$144,9,0))</f>
        <v>-31800</v>
      </c>
      <c r="F51" s="83">
        <v>2270.12</v>
      </c>
      <c r="G51" s="92">
        <v>-25840.62</v>
      </c>
      <c r="H51" s="83">
        <v>154203.66</v>
      </c>
      <c r="I51" s="83"/>
      <c r="J51" s="83"/>
      <c r="K51" s="83">
        <f>VLOOKUP(C51,'[5]PERIOD 3 JUNE.'!$A$1:$I$128,9,0)</f>
        <v>151933.54</v>
      </c>
      <c r="L51" s="89" t="s">
        <v>267</v>
      </c>
      <c r="M51" s="40">
        <v>100711743</v>
      </c>
      <c r="N51" s="38"/>
      <c r="O51" s="38"/>
      <c r="P51" s="38"/>
      <c r="Q51" s="38"/>
      <c r="R51" s="38"/>
    </row>
    <row r="52" spans="1:18" ht="16.5" thickBot="1">
      <c r="A52" s="37">
        <v>3305</v>
      </c>
      <c r="B52" s="37">
        <v>10078</v>
      </c>
      <c r="C52" s="47">
        <v>938295</v>
      </c>
      <c r="D52" s="40" t="s">
        <v>62</v>
      </c>
      <c r="E52" s="134">
        <f>IF(ISERROR(VLOOKUP(C52,'[3]S A P 09.10.'!$A$2:$I$144,9,0)),0,VLOOKUP(C52,'[3]S A P 09.10.'!$A$2:$I$144,9,0))</f>
        <v>-28122</v>
      </c>
      <c r="F52" s="83">
        <v>853.14</v>
      </c>
      <c r="G52" s="92">
        <v>-11838.62</v>
      </c>
      <c r="H52" s="83">
        <v>82936.43</v>
      </c>
      <c r="I52" s="83"/>
      <c r="J52" s="83"/>
      <c r="K52" s="83">
        <f>VLOOKUP(C52,'[5]PERIOD 3 JUNE.'!$A$1:$I$128,9,0)</f>
        <v>82083.29</v>
      </c>
      <c r="L52" s="89" t="s">
        <v>250</v>
      </c>
      <c r="M52" s="40">
        <v>100709360</v>
      </c>
      <c r="N52" s="38"/>
      <c r="O52" s="38"/>
      <c r="P52" s="38"/>
      <c r="Q52" s="38"/>
      <c r="R52" s="38"/>
    </row>
    <row r="53" spans="1:18" ht="16.5" thickBot="1">
      <c r="A53" s="37">
        <v>2042</v>
      </c>
      <c r="B53" s="37">
        <v>10079</v>
      </c>
      <c r="C53" s="47">
        <v>938180</v>
      </c>
      <c r="D53" s="40" t="s">
        <v>63</v>
      </c>
      <c r="E53" s="111">
        <f>IF(ISERROR(VLOOKUP(C53,'[3]S A P 09.10.'!$A$2:$I$144,9,0)),0,VLOOKUP(C53,'[3]S A P 09.10.'!$A$2:$I$144,9,0))</f>
        <v>1898</v>
      </c>
      <c r="F53" s="83">
        <v>1836.57</v>
      </c>
      <c r="G53" s="92">
        <v>-127586.74</v>
      </c>
      <c r="H53" s="83">
        <v>262768.49</v>
      </c>
      <c r="I53" s="83"/>
      <c r="J53" s="83"/>
      <c r="K53" s="83">
        <f>VLOOKUP(C53,'[5]PERIOD 3 JUNE.'!$A$1:$I$128,9,0)</f>
        <v>260931.92</v>
      </c>
      <c r="L53" s="89" t="s">
        <v>247</v>
      </c>
      <c r="M53" s="40">
        <v>100708493</v>
      </c>
      <c r="N53" s="38"/>
      <c r="O53" s="38"/>
      <c r="P53" s="38"/>
      <c r="Q53" s="38"/>
      <c r="R53" s="38"/>
    </row>
    <row r="54" spans="1:18" ht="16.5" thickBot="1">
      <c r="A54" s="37">
        <v>2044</v>
      </c>
      <c r="B54" s="37">
        <v>10081</v>
      </c>
      <c r="C54" s="47">
        <v>938190</v>
      </c>
      <c r="D54" s="40" t="s">
        <v>65</v>
      </c>
      <c r="E54" s="111">
        <f>IF(ISERROR(VLOOKUP(C54,'[3]S A P 09.10.'!$A$2:$I$144,9,0)),0,VLOOKUP(C54,'[3]S A P 09.10.'!$A$2:$I$144,9,0))</f>
        <v>16803</v>
      </c>
      <c r="F54" s="83">
        <v>6481.93</v>
      </c>
      <c r="G54" s="92">
        <v>10256.47</v>
      </c>
      <c r="H54" s="83">
        <v>224232.65</v>
      </c>
      <c r="I54" s="83"/>
      <c r="J54" s="83"/>
      <c r="K54" s="83">
        <f>VLOOKUP(C54,'[5]PERIOD 3 JUNE.'!$A$1:$I$128,9,0)</f>
        <v>217750.72</v>
      </c>
      <c r="L54" s="89" t="s">
        <v>263</v>
      </c>
      <c r="M54" s="40">
        <v>100710676</v>
      </c>
      <c r="N54" s="38"/>
      <c r="O54" s="38"/>
      <c r="P54" s="38"/>
      <c r="Q54" s="38"/>
      <c r="R54" s="38"/>
    </row>
    <row r="55" spans="1:18" ht="16.5" thickBot="1">
      <c r="A55" s="37">
        <v>2043</v>
      </c>
      <c r="B55" s="37">
        <v>10080</v>
      </c>
      <c r="C55" s="47">
        <v>938185</v>
      </c>
      <c r="D55" s="40" t="s">
        <v>64</v>
      </c>
      <c r="E55" s="134">
        <f>IF(ISERROR(VLOOKUP(C55,'[3]S A P 09.10.'!$A$2:$I$144,9,0)),0,VLOOKUP(C55,'[3]S A P 09.10.'!$A$2:$I$144,9,0))</f>
        <v>-43742</v>
      </c>
      <c r="F55" s="83">
        <v>5945.19</v>
      </c>
      <c r="G55" s="92">
        <v>-22138.53</v>
      </c>
      <c r="H55" s="83">
        <v>298148.24</v>
      </c>
      <c r="I55" s="83"/>
      <c r="J55" s="83"/>
      <c r="K55" s="83">
        <f>VLOOKUP(C55,'[5]PERIOD 3 JUNE.'!$A$1:$I$128,9,0)</f>
        <v>292203.05</v>
      </c>
      <c r="L55" s="89" t="s">
        <v>246</v>
      </c>
      <c r="M55" s="40">
        <v>100707695</v>
      </c>
      <c r="N55" s="38"/>
      <c r="O55" s="38"/>
      <c r="P55" s="38"/>
      <c r="Q55" s="38"/>
      <c r="R55" s="38"/>
    </row>
    <row r="56" spans="1:18" ht="16.5" thickBot="1">
      <c r="A56" s="37">
        <v>2045</v>
      </c>
      <c r="B56" s="37">
        <v>10082</v>
      </c>
      <c r="C56" s="47">
        <v>938195</v>
      </c>
      <c r="D56" s="40" t="s">
        <v>66</v>
      </c>
      <c r="E56" s="134">
        <f>IF(ISERROR(VLOOKUP(C56,'[3]S A P 09.10.'!$A$2:$I$144,9,0)),0,VLOOKUP(C56,'[3]S A P 09.10.'!$A$2:$I$144,9,0))</f>
        <v>-69977</v>
      </c>
      <c r="F56" s="83">
        <v>1898.51</v>
      </c>
      <c r="G56" s="92">
        <v>-51025.71</v>
      </c>
      <c r="H56" s="83">
        <v>260307.38</v>
      </c>
      <c r="I56" s="83"/>
      <c r="J56" s="83"/>
      <c r="K56" s="83">
        <f>VLOOKUP(C56,'[5]PERIOD 3 JUNE.'!$A$1:$I$128,9,0)</f>
        <v>258408.87</v>
      </c>
      <c r="L56" s="89" t="s">
        <v>245</v>
      </c>
      <c r="M56" s="40">
        <v>100707635</v>
      </c>
      <c r="N56" s="38"/>
      <c r="O56" s="38"/>
      <c r="P56" s="38"/>
      <c r="Q56" s="38"/>
      <c r="R56" s="38"/>
    </row>
    <row r="57" spans="1:18" ht="16.5" thickBot="1">
      <c r="A57" s="37">
        <v>2077</v>
      </c>
      <c r="B57" s="37">
        <v>10127</v>
      </c>
      <c r="C57" s="47">
        <v>938270</v>
      </c>
      <c r="D57" s="40" t="s">
        <v>49</v>
      </c>
      <c r="E57" s="111">
        <f>IF(ISERROR(VLOOKUP(C57,'[3]S A P 09.10.'!$A$2:$I$144,9,0)),0,VLOOKUP(C57,'[3]S A P 09.10.'!$A$2:$I$144,9,0))</f>
        <v>46195</v>
      </c>
      <c r="F57" s="83">
        <f>10575.7-10.12</f>
        <v>10565.58</v>
      </c>
      <c r="G57" s="92">
        <v>-6246.42</v>
      </c>
      <c r="H57" s="83">
        <v>238388.71</v>
      </c>
      <c r="I57" s="83"/>
      <c r="J57" s="83"/>
      <c r="K57" s="83">
        <f>VLOOKUP(C57,'[5]PERIOD 3 JUNE.'!$A$1:$I$128,9,0)</f>
        <v>227823.13</v>
      </c>
      <c r="L57" s="89" t="s">
        <v>249</v>
      </c>
      <c r="M57" s="40">
        <v>100708952</v>
      </c>
      <c r="N57" s="38"/>
      <c r="O57" s="38"/>
      <c r="P57" s="38"/>
      <c r="Q57" s="38"/>
      <c r="R57" s="38"/>
    </row>
    <row r="58" spans="1:18" ht="16.5" thickBot="1">
      <c r="A58" s="37">
        <v>5201</v>
      </c>
      <c r="B58" s="37">
        <v>10084</v>
      </c>
      <c r="C58" s="47">
        <v>938495</v>
      </c>
      <c r="D58" s="40" t="s">
        <v>68</v>
      </c>
      <c r="E58" s="111">
        <f>IF(ISERROR(VLOOKUP(C58,'[3]S A P 09.10.'!$A$2:$I$144,9,0)),0,VLOOKUP(C58,'[3]S A P 09.10.'!$A$2:$I$144,9,0))</f>
        <v>1613</v>
      </c>
      <c r="F58" s="83">
        <v>6673.4</v>
      </c>
      <c r="G58" s="92">
        <v>41272.53</v>
      </c>
      <c r="H58" s="83">
        <v>190267.73</v>
      </c>
      <c r="I58" s="83"/>
      <c r="J58" s="83"/>
      <c r="K58" s="83">
        <f>VLOOKUP(C58,'[5]PERIOD 3 JUNE.'!$A$1:$I$128,9,0)</f>
        <v>183594.33</v>
      </c>
      <c r="L58" s="89" t="s">
        <v>251</v>
      </c>
      <c r="M58" s="40">
        <v>100710271</v>
      </c>
      <c r="N58" s="38"/>
      <c r="O58" s="38"/>
      <c r="P58" s="38"/>
      <c r="Q58" s="38"/>
      <c r="R58" s="38"/>
    </row>
    <row r="59" spans="1:18" ht="16.5" thickBot="1">
      <c r="A59" s="37">
        <v>3501</v>
      </c>
      <c r="B59" s="37">
        <v>10085</v>
      </c>
      <c r="C59" s="47">
        <v>938360</v>
      </c>
      <c r="D59" s="40" t="s">
        <v>67</v>
      </c>
      <c r="E59" s="134">
        <f>IF(ISERROR(VLOOKUP(C59,'[3]S A P 09.10.'!$A$2:$I$144,9,0)),0,VLOOKUP(C59,'[3]S A P 09.10.'!$A$2:$I$144,9,0))</f>
        <v>-44508</v>
      </c>
      <c r="F59" s="83">
        <f>1931.58-7.54</f>
        <v>1924.04</v>
      </c>
      <c r="G59" s="92">
        <v>-17546.14</v>
      </c>
      <c r="H59" s="83">
        <v>145888.98</v>
      </c>
      <c r="I59" s="83"/>
      <c r="J59" s="83"/>
      <c r="K59" s="83">
        <f>VLOOKUP(C59,'[5]PERIOD 3 JUNE.'!$A$1:$I$128,9,0)</f>
        <v>143964.94</v>
      </c>
      <c r="L59" s="89" t="s">
        <v>247</v>
      </c>
      <c r="M59" s="40">
        <v>100708913</v>
      </c>
      <c r="N59" s="38"/>
      <c r="O59" s="38"/>
      <c r="P59" s="38"/>
      <c r="Q59" s="38"/>
      <c r="R59" s="38"/>
    </row>
    <row r="60" spans="1:18" ht="16.5" thickBot="1">
      <c r="A60" s="37">
        <v>2078</v>
      </c>
      <c r="B60" s="37">
        <v>10129</v>
      </c>
      <c r="C60" s="47">
        <v>938275</v>
      </c>
      <c r="D60" s="40" t="s">
        <v>123</v>
      </c>
      <c r="E60" s="111">
        <f>IF(ISERROR(VLOOKUP(C60,'[3]S A P 09.10.'!$A$2:$I$144,9,0)),0,VLOOKUP(C60,'[3]S A P 09.10.'!$A$2:$I$144,9,0))</f>
        <v>0</v>
      </c>
      <c r="F60" s="83">
        <v>3157.09</v>
      </c>
      <c r="G60" s="92">
        <v>-9321.26</v>
      </c>
      <c r="H60" s="83">
        <v>22483.86</v>
      </c>
      <c r="I60" s="83"/>
      <c r="J60" s="83"/>
      <c r="K60" s="83">
        <f>VLOOKUP(C60,'[5]PERIOD 3 JUNE.'!$A$1:$I$128,9,0)</f>
        <v>19326.77</v>
      </c>
      <c r="L60" s="89" t="s">
        <v>264</v>
      </c>
      <c r="M60" s="40">
        <v>100710678</v>
      </c>
      <c r="N60" s="38"/>
      <c r="O60" s="38"/>
      <c r="P60" s="38"/>
      <c r="Q60" s="38"/>
      <c r="R60" s="38"/>
    </row>
    <row r="61" spans="1:18" ht="16.5" thickBot="1">
      <c r="A61" s="37">
        <v>2000</v>
      </c>
      <c r="B61" s="37">
        <v>10120</v>
      </c>
      <c r="C61" s="47">
        <v>938020</v>
      </c>
      <c r="D61" s="40" t="s">
        <v>69</v>
      </c>
      <c r="E61" s="111">
        <f>IF(ISERROR(VLOOKUP(C61,'[3]S A P 09.10.'!$A$2:$I$144,9,0)),0,VLOOKUP(C61,'[3]S A P 09.10.'!$A$2:$I$144,9,0))</f>
        <v>34164</v>
      </c>
      <c r="F61" s="83">
        <f>7124.88-41.75</f>
        <v>7083.13</v>
      </c>
      <c r="G61" s="92">
        <v>-39069.94</v>
      </c>
      <c r="H61" s="83">
        <v>120217.85</v>
      </c>
      <c r="I61" s="83"/>
      <c r="J61" s="83"/>
      <c r="K61" s="83">
        <f>VLOOKUP(C61,'[5]PERIOD 3 JUNE.'!$A$1:$I$128,9,0)</f>
        <v>113134.72</v>
      </c>
      <c r="L61" s="89" t="s">
        <v>242</v>
      </c>
      <c r="M61" s="40">
        <v>100706139</v>
      </c>
      <c r="N61" s="38"/>
      <c r="O61" s="38"/>
      <c r="P61" s="38"/>
      <c r="Q61" s="38"/>
      <c r="R61" s="38"/>
    </row>
    <row r="62" spans="1:18" ht="16.5" thickBot="1">
      <c r="A62" s="37">
        <v>2071</v>
      </c>
      <c r="B62" s="37">
        <v>10119</v>
      </c>
      <c r="C62" s="47">
        <v>938245</v>
      </c>
      <c r="D62" s="40" t="s">
        <v>71</v>
      </c>
      <c r="E62" s="134">
        <f>IF(ISERROR(VLOOKUP(C62,'[3]S A P 09.10.'!$A$2:$I$144,9,0)),0,VLOOKUP(C62,'[3]S A P 09.10.'!$A$2:$I$144,9,0))</f>
        <v>-68365</v>
      </c>
      <c r="F62" s="83">
        <f>2775.04-15.2</f>
        <v>2759.84</v>
      </c>
      <c r="G62" s="92">
        <v>-32643.16</v>
      </c>
      <c r="H62" s="83">
        <v>146981.65</v>
      </c>
      <c r="I62" s="83"/>
      <c r="J62" s="83"/>
      <c r="K62" s="83">
        <f>VLOOKUP(C62,'[5]PERIOD 3 JUNE.'!$A$1:$I$128,9,0)</f>
        <v>144221.81</v>
      </c>
      <c r="L62" s="89" t="s">
        <v>264</v>
      </c>
      <c r="M62" s="40">
        <v>100710696</v>
      </c>
      <c r="N62" s="38"/>
      <c r="O62" s="38"/>
      <c r="P62" s="38"/>
      <c r="Q62" s="38"/>
      <c r="R62" s="38"/>
    </row>
    <row r="63" spans="1:18" ht="16.5" thickBot="1">
      <c r="A63" s="37">
        <v>2072</v>
      </c>
      <c r="B63" s="37">
        <v>10086</v>
      </c>
      <c r="C63" s="47">
        <v>938250</v>
      </c>
      <c r="D63" s="40" t="s">
        <v>70</v>
      </c>
      <c r="E63" s="134">
        <f>IF(ISERROR(VLOOKUP(C63,'[3]S A P 09.10.'!$A$2:$I$144,9,0)),0,VLOOKUP(C63,'[3]S A P 09.10.'!$A$2:$I$144,9,0))</f>
        <v>-16714</v>
      </c>
      <c r="F63" s="83">
        <f>2047.74-3.59</f>
        <v>2044.15</v>
      </c>
      <c r="G63" s="92">
        <v>-26455.84</v>
      </c>
      <c r="H63" s="83">
        <v>235666.05</v>
      </c>
      <c r="I63" s="83"/>
      <c r="J63" s="83"/>
      <c r="K63" s="83">
        <f>VLOOKUP(C63,'[5]PERIOD 3 JUNE.'!$A$1:$I$128,9,0)</f>
        <v>233621.9</v>
      </c>
      <c r="L63" s="89" t="s">
        <v>251</v>
      </c>
      <c r="M63" s="40">
        <v>100709371</v>
      </c>
      <c r="N63" s="38"/>
      <c r="O63" s="38"/>
      <c r="P63" s="38"/>
      <c r="Q63" s="38"/>
      <c r="R63" s="38"/>
    </row>
    <row r="64" spans="1:18" ht="16.5" thickBot="1">
      <c r="A64" s="37">
        <v>3512</v>
      </c>
      <c r="B64" s="37">
        <v>10112</v>
      </c>
      <c r="C64" s="47">
        <v>938405</v>
      </c>
      <c r="D64" s="40" t="s">
        <v>72</v>
      </c>
      <c r="E64" s="134">
        <f>IF(ISERROR(VLOOKUP(C64,'[3]S A P 09.10.'!$A$2:$I$144,9,0)),0,VLOOKUP(C64,'[3]S A P 09.10.'!$A$2:$I$144,9,0))</f>
        <v>-157182</v>
      </c>
      <c r="F64" s="83">
        <v>2270.29</v>
      </c>
      <c r="G64" s="92">
        <v>-18020.45</v>
      </c>
      <c r="H64" s="83">
        <v>234131.7</v>
      </c>
      <c r="I64" s="83"/>
      <c r="J64" s="83"/>
      <c r="K64" s="83">
        <f>VLOOKUP(C64,'[5]PERIOD 3 JUNE.'!$A$1:$I$128,9,0)</f>
        <v>231861.41</v>
      </c>
      <c r="L64" s="89" t="s">
        <v>246</v>
      </c>
      <c r="M64" s="40">
        <v>100707692</v>
      </c>
      <c r="N64" s="38"/>
      <c r="O64" s="38"/>
      <c r="P64" s="38"/>
      <c r="Q64" s="38"/>
      <c r="R64" s="38"/>
    </row>
    <row r="65" spans="1:18" ht="16.5" thickBot="1">
      <c r="A65" s="37">
        <v>3510</v>
      </c>
      <c r="B65" s="37">
        <v>10110</v>
      </c>
      <c r="C65" s="47">
        <v>938395</v>
      </c>
      <c r="D65" s="40" t="s">
        <v>73</v>
      </c>
      <c r="E65" s="134">
        <f>IF(ISERROR(VLOOKUP(C65,'[3]S A P 09.10.'!$A$2:$I$144,9,0)),0,VLOOKUP(C65,'[3]S A P 09.10.'!$A$2:$I$144,9,0))</f>
        <v>-42500</v>
      </c>
      <c r="F65" s="83">
        <f>2005.32-105.78</f>
        <v>1899.54</v>
      </c>
      <c r="G65" s="92">
        <v>-26309.93</v>
      </c>
      <c r="H65" s="83">
        <v>216713.26</v>
      </c>
      <c r="I65" s="83"/>
      <c r="J65" s="83"/>
      <c r="K65" s="83">
        <f>VLOOKUP(C65,'[5]PERIOD 3 JUNE.'!$A$1:$I$128,9,0)</f>
        <v>214813.72</v>
      </c>
      <c r="L65" s="89" t="s">
        <v>246</v>
      </c>
      <c r="M65" s="40">
        <v>100707671</v>
      </c>
      <c r="N65" s="38"/>
      <c r="O65" s="38"/>
      <c r="P65" s="38"/>
      <c r="Q65" s="38"/>
      <c r="R65" s="38"/>
    </row>
    <row r="66" spans="1:18" ht="16.5" thickBot="1">
      <c r="A66" s="37">
        <v>3502</v>
      </c>
      <c r="B66" s="37">
        <v>10087</v>
      </c>
      <c r="C66" s="47">
        <v>938365</v>
      </c>
      <c r="D66" s="40" t="s">
        <v>74</v>
      </c>
      <c r="E66" s="111">
        <f>IF(ISERROR(VLOOKUP(C66,'[3]S A P 09.10.'!$A$2:$I$144,9,0)),0,VLOOKUP(C66,'[3]S A P 09.10.'!$A$2:$I$144,9,0))</f>
        <v>6583</v>
      </c>
      <c r="F66" s="83">
        <v>2869.24</v>
      </c>
      <c r="G66" s="92">
        <v>17535.92</v>
      </c>
      <c r="H66" s="83">
        <v>191366.9</v>
      </c>
      <c r="I66" s="83"/>
      <c r="J66" s="83"/>
      <c r="K66" s="83">
        <f>VLOOKUP(C66,'[5]PERIOD 3 JUNE.'!$A$1:$I$128,9,0)</f>
        <v>188497.66</v>
      </c>
      <c r="L66" s="89" t="s">
        <v>245</v>
      </c>
      <c r="M66" s="40">
        <v>100707121</v>
      </c>
      <c r="N66" s="38"/>
      <c r="O66" s="38"/>
      <c r="P66" s="38"/>
      <c r="Q66" s="38"/>
      <c r="R66" s="38"/>
    </row>
    <row r="67" spans="1:18" ht="16.5" thickBot="1">
      <c r="A67" s="37">
        <v>3315</v>
      </c>
      <c r="B67" s="37">
        <v>10099</v>
      </c>
      <c r="C67" s="47">
        <v>938340</v>
      </c>
      <c r="D67" s="40" t="s">
        <v>75</v>
      </c>
      <c r="E67" s="134">
        <f>IF(ISERROR(VLOOKUP(C67,'[3]S A P 09.10.'!$A$2:$I$144,9,0)),0,VLOOKUP(C67,'[3]S A P 09.10.'!$A$2:$I$144,9,0))</f>
        <v>-3269</v>
      </c>
      <c r="F67" s="83">
        <f>2854.6-8.9</f>
        <v>2845.7</v>
      </c>
      <c r="G67" s="92">
        <v>3538.17</v>
      </c>
      <c r="H67" s="83">
        <v>62472.25</v>
      </c>
      <c r="I67" s="83"/>
      <c r="J67" s="83"/>
      <c r="K67" s="83">
        <f>VLOOKUP(C67,'[5]PERIOD 3 JUNE.'!$A$1:$I$128,9,0)</f>
        <v>59626.55</v>
      </c>
      <c r="L67" s="89" t="s">
        <v>247</v>
      </c>
      <c r="M67" s="40">
        <v>100708915</v>
      </c>
      <c r="N67" s="38"/>
      <c r="O67" s="38"/>
      <c r="P67" s="38"/>
      <c r="Q67" s="38"/>
      <c r="R67" s="38"/>
    </row>
    <row r="68" spans="1:18" ht="16.5" thickBot="1">
      <c r="A68" s="37">
        <v>3504</v>
      </c>
      <c r="B68" s="37">
        <v>10088</v>
      </c>
      <c r="C68" s="47">
        <v>938370</v>
      </c>
      <c r="D68" s="40" t="s">
        <v>76</v>
      </c>
      <c r="E68" s="134">
        <f>IF(ISERROR(VLOOKUP(C68,'[3]S A P 09.10.'!$A$2:$I$144,9,0)),0,VLOOKUP(C68,'[3]S A P 09.10.'!$A$2:$I$144,9,0))</f>
        <v>-87936</v>
      </c>
      <c r="F68" s="83">
        <v>1472.37</v>
      </c>
      <c r="G68" s="92">
        <v>-36237.07</v>
      </c>
      <c r="H68" s="83">
        <v>204078.61</v>
      </c>
      <c r="I68" s="83"/>
      <c r="J68" s="83"/>
      <c r="K68" s="83">
        <f>VLOOKUP(C68,'[5]PERIOD 3 JUNE.'!$A$1:$I$128,9,0)</f>
        <v>202606.24</v>
      </c>
      <c r="L68" s="89" t="s">
        <v>250</v>
      </c>
      <c r="M68" s="40">
        <v>100709386</v>
      </c>
      <c r="N68" s="38"/>
      <c r="O68" s="38"/>
      <c r="P68" s="38"/>
      <c r="Q68" s="38"/>
      <c r="R68" s="38"/>
    </row>
    <row r="69" spans="1:18" ht="16.5" thickBot="1">
      <c r="A69" s="37">
        <v>3307</v>
      </c>
      <c r="B69" s="37">
        <v>10089</v>
      </c>
      <c r="C69" s="47">
        <v>938300</v>
      </c>
      <c r="D69" s="40" t="s">
        <v>77</v>
      </c>
      <c r="E69" s="134">
        <f>IF(ISERROR(VLOOKUP(C69,'[3]S A P 09.10.'!$A$2:$I$144,9,0)),0,VLOOKUP(C69,'[3]S A P 09.10.'!$A$2:$I$144,9,0))</f>
        <v>-43045</v>
      </c>
      <c r="F69" s="84">
        <f>1225.36-12.96</f>
        <v>1212.3999999999999</v>
      </c>
      <c r="G69" s="92">
        <v>-20816.22</v>
      </c>
      <c r="H69" s="83">
        <v>134417.15</v>
      </c>
      <c r="I69" s="83"/>
      <c r="J69" s="83"/>
      <c r="K69" s="83">
        <f>VLOOKUP(C69,'[5]PERIOD 3 JUNE.'!$A$1:$I$128,9,0)</f>
        <v>133204.75</v>
      </c>
      <c r="L69" s="89" t="s">
        <v>249</v>
      </c>
      <c r="M69" s="40">
        <v>100708955</v>
      </c>
      <c r="N69" s="38"/>
      <c r="O69" s="38"/>
      <c r="P69" s="38"/>
      <c r="Q69" s="38"/>
      <c r="R69" s="38"/>
    </row>
    <row r="70" spans="1:18" ht="16.5" thickBot="1">
      <c r="A70" s="37">
        <v>3309</v>
      </c>
      <c r="B70" s="37">
        <v>10116</v>
      </c>
      <c r="C70" s="47">
        <v>938310</v>
      </c>
      <c r="D70" s="40" t="s">
        <v>78</v>
      </c>
      <c r="E70" s="134">
        <f>IF(ISERROR(VLOOKUP(C70,'[3]S A P 09.10.'!$A$2:$I$144,9,0)),0,VLOOKUP(C70,'[3]S A P 09.10.'!$A$2:$I$144,9,0))</f>
        <v>-9463</v>
      </c>
      <c r="F70" s="83">
        <v>721.47</v>
      </c>
      <c r="G70" s="92">
        <v>-38722.02</v>
      </c>
      <c r="H70" s="83">
        <v>227501.16</v>
      </c>
      <c r="I70" s="83"/>
      <c r="J70" s="83"/>
      <c r="K70" s="83">
        <f>VLOOKUP(C70,'[5]PERIOD 3 JUNE.'!$A$1:$I$128,9,0)</f>
        <v>226779.69</v>
      </c>
      <c r="L70" s="89" t="s">
        <v>247</v>
      </c>
      <c r="M70" s="40">
        <v>100708526</v>
      </c>
      <c r="N70" s="38"/>
      <c r="O70" s="38"/>
      <c r="P70" s="38"/>
      <c r="Q70" s="38"/>
      <c r="R70" s="38"/>
    </row>
    <row r="71" spans="1:18" ht="16.5" thickBot="1">
      <c r="A71" s="37">
        <v>3508</v>
      </c>
      <c r="B71" s="37">
        <v>10111</v>
      </c>
      <c r="C71" s="47">
        <v>938385</v>
      </c>
      <c r="D71" s="40" t="s">
        <v>80</v>
      </c>
      <c r="E71" s="111">
        <f>IF(ISERROR(VLOOKUP(C71,'[3]S A P 09.10.'!$A$2:$I$144,9,0)),0,VLOOKUP(C71,'[3]S A P 09.10.'!$A$2:$I$144,9,0))</f>
        <v>3740</v>
      </c>
      <c r="F71" s="83">
        <f>1842.41-2.49</f>
        <v>1839.92</v>
      </c>
      <c r="G71" s="92">
        <v>-18962.2</v>
      </c>
      <c r="H71" s="83">
        <v>89099.07</v>
      </c>
      <c r="I71" s="83"/>
      <c r="J71" s="83"/>
      <c r="K71" s="83">
        <f>VLOOKUP(C71,'[5]PERIOD 3 JUNE.'!$A$1:$I$128,9,0)</f>
        <v>87259.15</v>
      </c>
      <c r="L71" s="89" t="s">
        <v>264</v>
      </c>
      <c r="M71" s="40">
        <v>100711091</v>
      </c>
      <c r="N71" s="38"/>
      <c r="O71" s="38"/>
      <c r="P71" s="38"/>
      <c r="Q71" s="38"/>
      <c r="R71" s="38"/>
    </row>
    <row r="72" spans="1:18" ht="16.5" thickBot="1">
      <c r="A72" s="37">
        <v>3509</v>
      </c>
      <c r="B72" s="37">
        <v>10107</v>
      </c>
      <c r="C72" s="47">
        <v>938390</v>
      </c>
      <c r="D72" s="40" t="s">
        <v>79</v>
      </c>
      <c r="E72" s="134">
        <f>IF(ISERROR(VLOOKUP(C72,'[3]S A P 09.10.'!$A$2:$I$144,9,0)),0,VLOOKUP(C72,'[3]S A P 09.10.'!$A$2:$I$144,9,0))</f>
        <v>-91930</v>
      </c>
      <c r="F72" s="83">
        <f>1872.8-7.82</f>
        <v>1864.98</v>
      </c>
      <c r="G72" s="92">
        <v>-34234.5</v>
      </c>
      <c r="H72" s="83">
        <v>116439.46</v>
      </c>
      <c r="I72" s="83"/>
      <c r="J72" s="83"/>
      <c r="K72" s="83">
        <f>VLOOKUP(C72,'[5]PERIOD 3 JUNE.'!$A$1:$I$128,9,0)</f>
        <v>114574.48</v>
      </c>
      <c r="L72" s="89" t="s">
        <v>245</v>
      </c>
      <c r="M72" s="40">
        <v>100707167</v>
      </c>
      <c r="N72" s="38"/>
      <c r="O72" s="38"/>
      <c r="P72" s="38"/>
      <c r="Q72" s="38"/>
      <c r="R72" s="38"/>
    </row>
    <row r="73" spans="1:18" ht="16.5" thickBot="1">
      <c r="A73" s="37">
        <v>3312</v>
      </c>
      <c r="B73" s="37">
        <v>10093</v>
      </c>
      <c r="C73" s="47">
        <v>938325</v>
      </c>
      <c r="D73" s="40" t="s">
        <v>82</v>
      </c>
      <c r="E73" s="134">
        <f>IF(ISERROR(VLOOKUP(C73,'[3]S A P 09.10.'!$A$2:$I$144,9,0)),0,VLOOKUP(C73,'[3]S A P 09.10.'!$A$2:$I$144,9,0))</f>
        <v>-63483</v>
      </c>
      <c r="F73" s="83">
        <v>1689.91</v>
      </c>
      <c r="G73" s="92">
        <v>-7319.93</v>
      </c>
      <c r="H73" s="83">
        <v>130120.5</v>
      </c>
      <c r="I73" s="83"/>
      <c r="J73" s="83"/>
      <c r="K73" s="83">
        <f>VLOOKUP(C73,'[5]PERIOD 3 JUNE.'!$A$1:$I$128,9,0)</f>
        <v>128430.59</v>
      </c>
      <c r="L73" s="89" t="s">
        <v>249</v>
      </c>
      <c r="M73" s="40">
        <v>100709353</v>
      </c>
      <c r="N73" s="38"/>
      <c r="O73" s="38"/>
      <c r="P73" s="38"/>
      <c r="Q73" s="38"/>
      <c r="R73" s="38"/>
    </row>
    <row r="74" spans="1:18" ht="16.5" thickBot="1">
      <c r="A74" s="37">
        <v>3311</v>
      </c>
      <c r="B74" s="37">
        <v>10092</v>
      </c>
      <c r="C74" s="47">
        <v>938320</v>
      </c>
      <c r="D74" s="40" t="s">
        <v>81</v>
      </c>
      <c r="E74" s="134">
        <f>IF(ISERROR(VLOOKUP(C74,'[3]S A P 09.10.'!$A$2:$I$144,9,0)),0,VLOOKUP(C74,'[3]S A P 09.10.'!$A$2:$I$144,9,0))</f>
        <v>-36873</v>
      </c>
      <c r="F74" s="83">
        <v>3628.73</v>
      </c>
      <c r="G74" s="92">
        <v>-23433.3</v>
      </c>
      <c r="H74" s="83">
        <v>229055.7</v>
      </c>
      <c r="I74" s="83"/>
      <c r="J74" s="83"/>
      <c r="K74" s="83">
        <f>VLOOKUP(C74,'[5]PERIOD 3 JUNE.'!$A$1:$I$128,9,0)</f>
        <v>262299.97</v>
      </c>
      <c r="L74" s="89" t="s">
        <v>245</v>
      </c>
      <c r="M74" s="40">
        <v>100707654</v>
      </c>
      <c r="N74" s="38"/>
      <c r="O74" s="38"/>
      <c r="P74" s="38"/>
      <c r="Q74" s="38"/>
      <c r="R74" s="38"/>
    </row>
    <row r="75" spans="1:18" ht="16.5" thickBot="1">
      <c r="A75" s="37">
        <v>3521</v>
      </c>
      <c r="B75" s="37">
        <v>10698</v>
      </c>
      <c r="C75" s="47">
        <v>938437</v>
      </c>
      <c r="D75" s="40" t="s">
        <v>136</v>
      </c>
      <c r="E75" s="134">
        <f>IF(ISERROR(VLOOKUP(C75,'[3]S A P 09.10.'!$A$2:$I$144,9,0)),0,VLOOKUP(C75,'[3]S A P 09.10.'!$A$2:$I$144,9,0))</f>
        <v>-12526</v>
      </c>
      <c r="F75" s="83">
        <v>3688.21</v>
      </c>
      <c r="G75" s="92">
        <v>-48321.09</v>
      </c>
      <c r="H75" s="83">
        <v>227945.02</v>
      </c>
      <c r="I75" s="83"/>
      <c r="J75" s="83"/>
      <c r="K75" s="83">
        <f>VLOOKUP(C75,'[5]PERIOD 3 JUNE.'!$A$1:$I$128,9,0)</f>
        <v>224256.81</v>
      </c>
      <c r="L75" s="89" t="s">
        <v>245</v>
      </c>
      <c r="M75" s="40">
        <v>100707631</v>
      </c>
      <c r="N75" s="38"/>
      <c r="O75" s="38"/>
      <c r="P75" s="38"/>
      <c r="Q75" s="38"/>
      <c r="R75" s="38"/>
    </row>
    <row r="76" spans="1:18" ht="16.5" thickBot="1">
      <c r="A76" s="37">
        <v>3313</v>
      </c>
      <c r="B76" s="37">
        <v>10094</v>
      </c>
      <c r="C76" s="47">
        <v>938330</v>
      </c>
      <c r="D76" s="40" t="s">
        <v>83</v>
      </c>
      <c r="E76" s="134">
        <f>IF(ISERROR(VLOOKUP(C76,'[3]S A P 09.10.'!$A$2:$I$144,9,0)),0,VLOOKUP(C76,'[3]S A P 09.10.'!$A$2:$I$144,9,0))</f>
        <v>-781</v>
      </c>
      <c r="F76" s="83">
        <f>1589.49-0.63</f>
        <v>1588.86</v>
      </c>
      <c r="G76" s="92">
        <v>-23102.78</v>
      </c>
      <c r="H76" s="83">
        <v>138490.07</v>
      </c>
      <c r="I76" s="83"/>
      <c r="J76" s="83"/>
      <c r="K76" s="83">
        <f>VLOOKUP(C76,'[5]PERIOD 3 JUNE.'!$A$1:$I$128,9,0)</f>
        <v>136901.21</v>
      </c>
      <c r="L76" s="89" t="s">
        <v>249</v>
      </c>
      <c r="M76" s="40">
        <v>100708944</v>
      </c>
      <c r="N76" s="38"/>
      <c r="O76" s="38"/>
      <c r="P76" s="38"/>
      <c r="Q76" s="38"/>
      <c r="R76" s="38"/>
    </row>
    <row r="77" spans="1:18" ht="16.5" thickBot="1">
      <c r="A77" s="37">
        <v>3314</v>
      </c>
      <c r="B77" s="37">
        <v>10095</v>
      </c>
      <c r="C77" s="47">
        <v>938335</v>
      </c>
      <c r="D77" s="40" t="s">
        <v>84</v>
      </c>
      <c r="E77" s="111">
        <f>IF(ISERROR(VLOOKUP(C77,'[3]S A P 09.10.'!$A$2:$I$144,9,0)),0,VLOOKUP(C77,'[3]S A P 09.10.'!$A$2:$I$144,9,0))</f>
        <v>11330</v>
      </c>
      <c r="F77" s="139">
        <f>2737.9-15.99</f>
        <v>2721.9100000000003</v>
      </c>
      <c r="G77" s="135">
        <v>-76558.01</v>
      </c>
      <c r="H77" s="139">
        <v>225909.3</v>
      </c>
      <c r="I77" s="83"/>
      <c r="J77" s="83"/>
      <c r="K77" s="83">
        <f>VLOOKUP(C77,'[5]PERIOD 3 JUNE.'!$A$1:$I$128,9,0)</f>
        <v>146629.38</v>
      </c>
      <c r="L77" s="142" t="s">
        <v>272</v>
      </c>
      <c r="M77" s="136">
        <v>100715415</v>
      </c>
      <c r="N77" s="38"/>
      <c r="O77" s="38"/>
      <c r="P77" s="38"/>
      <c r="Q77" s="38"/>
      <c r="R77" s="38"/>
    </row>
    <row r="78" spans="1:18" ht="16.5" thickBot="1">
      <c r="A78" s="37">
        <v>3507</v>
      </c>
      <c r="B78" s="37">
        <v>10108</v>
      </c>
      <c r="C78" s="47">
        <v>938380</v>
      </c>
      <c r="D78" s="40" t="s">
        <v>85</v>
      </c>
      <c r="E78" s="111">
        <f>IF(ISERROR(VLOOKUP(C78,'[3]S A P 09.10.'!$A$2:$I$144,9,0)),0,VLOOKUP(C78,'[3]S A P 09.10.'!$A$2:$I$144,9,0))</f>
        <v>24087</v>
      </c>
      <c r="F78" s="83">
        <v>2352.8</v>
      </c>
      <c r="G78" s="92">
        <v>-11559.54</v>
      </c>
      <c r="H78" s="83">
        <v>115657.72</v>
      </c>
      <c r="I78" s="83"/>
      <c r="J78" s="83"/>
      <c r="K78" s="83">
        <f>VLOOKUP(C78,'[5]PERIOD 3 JUNE.'!$A$1:$I$128,9,0)</f>
        <v>113304.92</v>
      </c>
      <c r="L78" s="89" t="s">
        <v>250</v>
      </c>
      <c r="M78" s="40">
        <v>100709356</v>
      </c>
      <c r="N78" s="38"/>
      <c r="O78" s="38"/>
      <c r="P78" s="38"/>
      <c r="Q78" s="38"/>
      <c r="R78" s="38"/>
    </row>
    <row r="79" spans="1:18" ht="16.5" thickBot="1">
      <c r="A79" s="37">
        <v>3506</v>
      </c>
      <c r="B79" s="37">
        <v>10096</v>
      </c>
      <c r="C79" s="47">
        <v>938375</v>
      </c>
      <c r="D79" s="40" t="s">
        <v>86</v>
      </c>
      <c r="E79" s="111">
        <f>IF(ISERROR(VLOOKUP(C79,'[3]S A P 09.10.'!$A$2:$I$144,9,0)),0,VLOOKUP(C79,'[3]S A P 09.10.'!$A$2:$I$144,9,0))</f>
        <v>18212</v>
      </c>
      <c r="F79" s="83">
        <f>4175.51-8.76</f>
        <v>4166.75</v>
      </c>
      <c r="G79" s="92">
        <v>-3795.53</v>
      </c>
      <c r="H79" s="83">
        <v>188659.46</v>
      </c>
      <c r="I79" s="83"/>
      <c r="J79" s="83"/>
      <c r="K79" s="83">
        <f>VLOOKUP(C79,'[5]PERIOD 3 JUNE.'!$A$1:$I$128,9,0)</f>
        <v>184492.71</v>
      </c>
      <c r="L79" s="89" t="s">
        <v>247</v>
      </c>
      <c r="M79" s="40">
        <v>100708503</v>
      </c>
      <c r="N79" s="38"/>
      <c r="O79" s="38"/>
      <c r="P79" s="38"/>
      <c r="Q79" s="38"/>
      <c r="R79" s="38"/>
    </row>
    <row r="80" spans="1:18" ht="16.5" thickBot="1">
      <c r="A80" s="37">
        <v>2052</v>
      </c>
      <c r="B80" s="37">
        <v>10098</v>
      </c>
      <c r="C80" s="47">
        <v>938200</v>
      </c>
      <c r="D80" s="40" t="s">
        <v>87</v>
      </c>
      <c r="E80" s="134">
        <f>IF(ISERROR(VLOOKUP(C80,'[3]S A P 09.10.'!$A$2:$I$144,9,0)),0,VLOOKUP(C80,'[3]S A P 09.10.'!$A$2:$I$144,9,0))</f>
        <v>-298028</v>
      </c>
      <c r="F80" s="83">
        <f>5928.79-55.31</f>
        <v>5873.48</v>
      </c>
      <c r="G80" s="92">
        <v>-39991.05</v>
      </c>
      <c r="H80" s="83">
        <v>263708.84</v>
      </c>
      <c r="I80" s="83"/>
      <c r="J80" s="83"/>
      <c r="K80" s="83">
        <f>VLOOKUP(C80,'[5]PERIOD 3 JUNE.'!$A$1:$I$128,9,0)</f>
        <v>257835.36</v>
      </c>
      <c r="L80" s="89" t="s">
        <v>263</v>
      </c>
      <c r="M80" s="40">
        <v>100710664</v>
      </c>
      <c r="N80" s="38"/>
      <c r="O80" s="38"/>
      <c r="P80" s="38"/>
      <c r="Q80" s="38"/>
      <c r="R80" s="38"/>
    </row>
    <row r="81" spans="1:18" ht="16.5" thickBot="1">
      <c r="A81" s="37">
        <v>2070</v>
      </c>
      <c r="B81" s="37">
        <v>10097</v>
      </c>
      <c r="C81" s="47">
        <v>938240</v>
      </c>
      <c r="D81" s="40" t="s">
        <v>88</v>
      </c>
      <c r="E81" s="134">
        <f>IF(ISERROR(VLOOKUP(C81,'[3]S A P 09.10.'!$A$2:$I$144,9,0)),0,VLOOKUP(C81,'[3]S A P 09.10.'!$A$2:$I$144,9,0))</f>
        <v>-26552</v>
      </c>
      <c r="F81" s="83">
        <f>3010.21-4.77</f>
        <v>3005.44</v>
      </c>
      <c r="G81" s="92">
        <v>-17014.06</v>
      </c>
      <c r="H81" s="83">
        <v>152152.66</v>
      </c>
      <c r="I81" s="83"/>
      <c r="J81" s="83"/>
      <c r="K81" s="83">
        <f>VLOOKUP(C81,'[5]PERIOD 3 JUNE.'!$A$1:$I$128,9,0)</f>
        <v>149147.22</v>
      </c>
      <c r="L81" s="89" t="s">
        <v>264</v>
      </c>
      <c r="M81" s="40">
        <v>100710687</v>
      </c>
      <c r="N81" s="38"/>
      <c r="O81" s="38"/>
      <c r="P81" s="38"/>
      <c r="Q81" s="38"/>
      <c r="R81" s="38"/>
    </row>
    <row r="82" spans="1:18" ht="16.5" thickBot="1">
      <c r="A82" s="37">
        <v>3316</v>
      </c>
      <c r="B82" s="37">
        <v>10100</v>
      </c>
      <c r="C82" s="47">
        <v>938345</v>
      </c>
      <c r="D82" s="40" t="s">
        <v>89</v>
      </c>
      <c r="E82" s="111">
        <f>IF(ISERROR(VLOOKUP(C82,'[3]S A P 09.10.'!$A$2:$I$144,9,0)),0,VLOOKUP(C82,'[3]S A P 09.10.'!$A$2:$I$144,9,0))</f>
        <v>4595</v>
      </c>
      <c r="F82" s="83">
        <f>2371-31.28</f>
        <v>2339.72</v>
      </c>
      <c r="G82" s="92">
        <v>-6478.48</v>
      </c>
      <c r="H82" s="83">
        <v>85387.2</v>
      </c>
      <c r="I82" s="83"/>
      <c r="J82" s="83"/>
      <c r="K82" s="83">
        <f>VLOOKUP(C82,'[5]PERIOD 3 JUNE.'!$A$1:$I$128,9,0)</f>
        <v>83047.47999999992</v>
      </c>
      <c r="L82" s="89" t="s">
        <v>244</v>
      </c>
      <c r="M82" s="40">
        <v>100706619</v>
      </c>
      <c r="N82" s="38"/>
      <c r="O82" s="38"/>
      <c r="P82" s="38"/>
      <c r="Q82" s="38"/>
      <c r="R82" s="38"/>
    </row>
    <row r="83" spans="1:18" ht="16.5" thickBot="1">
      <c r="A83" s="37">
        <v>2055</v>
      </c>
      <c r="B83" s="37">
        <v>10101</v>
      </c>
      <c r="C83" s="47">
        <v>938210</v>
      </c>
      <c r="D83" s="40" t="s">
        <v>90</v>
      </c>
      <c r="E83" s="111">
        <f>IF(ISERROR(VLOOKUP(C83,'[3]S A P 09.10.'!$A$2:$I$144,9,0)),0,VLOOKUP(C83,'[3]S A P 09.10.'!$A$2:$I$144,9,0))</f>
        <v>6285</v>
      </c>
      <c r="F83" s="83">
        <f>5534.66-17.01</f>
        <v>5517.65</v>
      </c>
      <c r="G83" s="92">
        <v>14081.65</v>
      </c>
      <c r="H83" s="83">
        <v>107005.42</v>
      </c>
      <c r="I83" s="83"/>
      <c r="J83" s="83"/>
      <c r="K83" s="83">
        <f>VLOOKUP(C83,'[5]PERIOD 3 JUNE.'!$A$1:$I$128,9,0)</f>
        <v>101487.77</v>
      </c>
      <c r="L83" s="89" t="s">
        <v>247</v>
      </c>
      <c r="M83" s="40">
        <v>100708515</v>
      </c>
      <c r="N83" s="38"/>
      <c r="O83" s="38"/>
      <c r="P83" s="38"/>
      <c r="Q83" s="38"/>
      <c r="R83" s="38"/>
    </row>
    <row r="84" spans="1:18" ht="16.5" thickBot="1">
      <c r="A84" s="37">
        <v>2057</v>
      </c>
      <c r="B84" s="37">
        <v>10103</v>
      </c>
      <c r="C84" s="47">
        <v>938220</v>
      </c>
      <c r="D84" s="40" t="s">
        <v>92</v>
      </c>
      <c r="E84" s="111">
        <f>IF(ISERROR(VLOOKUP(C84,'[3]S A P 09.10.'!$A$2:$I$144,9,0)),0,VLOOKUP(C84,'[3]S A P 09.10.'!$A$2:$I$144,9,0))</f>
        <v>131137</v>
      </c>
      <c r="F84" s="83">
        <v>6998.76</v>
      </c>
      <c r="G84" s="92">
        <v>3405.53</v>
      </c>
      <c r="H84" s="83">
        <v>198060.27</v>
      </c>
      <c r="I84" s="83"/>
      <c r="J84" s="83"/>
      <c r="K84" s="83">
        <f>VLOOKUP(C84,'[5]PERIOD 3 JUNE.'!$A$1:$I$128,9,0)</f>
        <v>191061.51</v>
      </c>
      <c r="L84" s="89" t="s">
        <v>249</v>
      </c>
      <c r="M84" s="40">
        <v>100709347</v>
      </c>
      <c r="N84" s="38"/>
      <c r="O84" s="38"/>
      <c r="P84" s="38"/>
      <c r="Q84" s="38"/>
      <c r="R84" s="38"/>
    </row>
    <row r="85" spans="1:18" ht="16.5" thickBot="1">
      <c r="A85" s="37">
        <v>2056</v>
      </c>
      <c r="B85" s="37">
        <v>10102</v>
      </c>
      <c r="C85" s="47">
        <v>938215</v>
      </c>
      <c r="D85" s="40" t="s">
        <v>91</v>
      </c>
      <c r="E85" s="134">
        <f>IF(ISERROR(VLOOKUP(C85,'[3]S A P 09.10.'!$A$2:$I$144,9,0)),0,VLOOKUP(C85,'[3]S A P 09.10.'!$A$2:$I$144,9,0))</f>
        <v>-137344</v>
      </c>
      <c r="F85" s="83">
        <v>265.37</v>
      </c>
      <c r="G85" s="92">
        <v>-47563.42</v>
      </c>
      <c r="H85" s="83">
        <v>137070.36</v>
      </c>
      <c r="I85" s="83"/>
      <c r="J85" s="83"/>
      <c r="K85" s="83">
        <f>VLOOKUP(C85,'[5]PERIOD 3 JUNE.'!$A$1:$I$128,9,0)</f>
        <v>136804.99</v>
      </c>
      <c r="L85" s="89" t="s">
        <v>247</v>
      </c>
      <c r="M85" s="40">
        <v>100708524</v>
      </c>
      <c r="N85" s="38"/>
      <c r="O85" s="38"/>
      <c r="P85" s="38"/>
      <c r="Q85" s="38"/>
      <c r="R85" s="38"/>
    </row>
    <row r="86" spans="1:18" ht="16.5" thickBot="1">
      <c r="A86" s="37">
        <v>2076</v>
      </c>
      <c r="B86" s="37">
        <v>10124</v>
      </c>
      <c r="C86" s="47">
        <v>938265</v>
      </c>
      <c r="D86" s="40" t="s">
        <v>93</v>
      </c>
      <c r="E86" s="134">
        <f>IF(ISERROR(VLOOKUP(C86,'[3]S A P 09.10.'!$A$2:$I$144,9,0)),0,VLOOKUP(C86,'[3]S A P 09.10.'!$A$2:$I$144,9,0))</f>
        <v>-43103</v>
      </c>
      <c r="F86" s="83">
        <f>6013.75-47.82</f>
        <v>5965.93</v>
      </c>
      <c r="G86" s="92">
        <v>-58902.41</v>
      </c>
      <c r="H86" s="83">
        <v>334728.91</v>
      </c>
      <c r="I86" s="83"/>
      <c r="J86" s="83"/>
      <c r="K86" s="83">
        <f>VLOOKUP(C86,'[5]PERIOD 3 JUNE.'!$A$1:$I$128,9,0)</f>
        <v>328762.98</v>
      </c>
      <c r="L86" s="89" t="s">
        <v>247</v>
      </c>
      <c r="M86" s="40">
        <v>100708518</v>
      </c>
      <c r="N86" s="38"/>
      <c r="O86" s="38"/>
      <c r="P86" s="38"/>
      <c r="Q86" s="38"/>
      <c r="R86" s="38"/>
    </row>
    <row r="87" spans="1:18" ht="16.5" thickBot="1">
      <c r="A87" s="37">
        <v>2060</v>
      </c>
      <c r="B87" s="37">
        <v>10105</v>
      </c>
      <c r="C87" s="47">
        <v>938225</v>
      </c>
      <c r="D87" s="40" t="s">
        <v>94</v>
      </c>
      <c r="E87" s="111">
        <f>IF(ISERROR(VLOOKUP(C87,'[3]S A P 09.10.'!$A$2:$I$144,9,0)),0,VLOOKUP(C87,'[3]S A P 09.10.'!$A$2:$I$144,9,0))</f>
        <v>10465</v>
      </c>
      <c r="F87" s="83">
        <f>4099.02-18.71</f>
        <v>4080.3100000000004</v>
      </c>
      <c r="G87" s="92">
        <v>-59079.92</v>
      </c>
      <c r="H87" s="83">
        <v>452706.64</v>
      </c>
      <c r="I87" s="83"/>
      <c r="J87" s="83"/>
      <c r="K87" s="83">
        <f>VLOOKUP(C87,'[5]PERIOD 3 JUNE.'!$A$1:$I$128,9,0)</f>
        <v>448626.33</v>
      </c>
      <c r="L87" s="89" t="s">
        <v>264</v>
      </c>
      <c r="M87" s="40">
        <v>100711047</v>
      </c>
      <c r="N87" s="38"/>
      <c r="O87" s="38"/>
      <c r="P87" s="38"/>
      <c r="Q87" s="38"/>
      <c r="R87" s="38"/>
    </row>
    <row r="88" spans="1:18" ht="16.5" thickBot="1">
      <c r="A88" s="37">
        <v>3518</v>
      </c>
      <c r="B88" s="37">
        <v>10123</v>
      </c>
      <c r="C88" s="47">
        <v>938430</v>
      </c>
      <c r="D88" s="40" t="s">
        <v>131</v>
      </c>
      <c r="E88" s="111">
        <f>IF(ISERROR(VLOOKUP(C88,'[3]S A P 09.10.'!$A$2:$I$144,9,0)),0,VLOOKUP(C88,'[3]S A P 09.10.'!$A$2:$I$144,9,0))</f>
        <v>56068</v>
      </c>
      <c r="F88" s="83">
        <f>3120.14-18.26</f>
        <v>3101.8799999999997</v>
      </c>
      <c r="G88" s="92">
        <v>-32425.99</v>
      </c>
      <c r="H88" s="83">
        <v>352979.03</v>
      </c>
      <c r="I88" s="83"/>
      <c r="J88" s="83"/>
      <c r="K88" s="83">
        <f>VLOOKUP(C88,'[5]PERIOD 3 JUNE.'!$A$1:$I$128,9,0)</f>
        <v>349877.15</v>
      </c>
      <c r="L88" s="89" t="s">
        <v>245</v>
      </c>
      <c r="M88" s="40">
        <v>100707636</v>
      </c>
      <c r="N88" s="38"/>
      <c r="O88" s="38"/>
      <c r="P88" s="38"/>
      <c r="Q88" s="38"/>
      <c r="R88" s="38"/>
    </row>
    <row r="89" spans="1:18" ht="16.5" thickBot="1">
      <c r="A89" s="37">
        <v>2054</v>
      </c>
      <c r="B89" s="37">
        <v>10109</v>
      </c>
      <c r="C89" s="47">
        <v>938205</v>
      </c>
      <c r="D89" s="40" t="s">
        <v>95</v>
      </c>
      <c r="E89" s="134">
        <f>IF(ISERROR(VLOOKUP(C89,'[3]S A P 09.10.'!$A$2:$I$144,9,0)),0,VLOOKUP(C89,'[3]S A P 09.10.'!$A$2:$I$144,9,0))</f>
        <v>-11142</v>
      </c>
      <c r="F89" s="83">
        <f>2198.99-8.84</f>
        <v>2190.1499999999996</v>
      </c>
      <c r="G89" s="92">
        <v>-8280.24</v>
      </c>
      <c r="H89" s="83">
        <v>212565.17</v>
      </c>
      <c r="I89" s="83"/>
      <c r="J89" s="83"/>
      <c r="K89" s="83">
        <f>VLOOKUP(C89,'[5]PERIOD 3 JUNE.'!$A$1:$I$128,9,0)</f>
        <v>210375.02</v>
      </c>
      <c r="L89" s="89" t="s">
        <v>264</v>
      </c>
      <c r="M89" s="40">
        <v>100711083</v>
      </c>
      <c r="N89" s="38"/>
      <c r="O89" s="38"/>
      <c r="P89" s="38"/>
      <c r="Q89" s="38"/>
      <c r="R89" s="38"/>
    </row>
    <row r="90" spans="1:18" ht="16.5" thickBot="1">
      <c r="A90" s="37">
        <v>5406</v>
      </c>
      <c r="B90" s="37">
        <v>10136</v>
      </c>
      <c r="C90" s="47">
        <v>938530</v>
      </c>
      <c r="D90" s="40" t="s">
        <v>96</v>
      </c>
      <c r="E90" s="111">
        <f>IF(ISERROR(VLOOKUP(C90,'[3]S A P 09.10.'!$A$2:$I$144,9,0)),0,VLOOKUP(C90,'[3]S A P 09.10.'!$A$2:$I$144,9,0))</f>
        <v>0</v>
      </c>
      <c r="F90" s="83">
        <f>21578.93-267.61</f>
        <v>21311.32</v>
      </c>
      <c r="G90" s="92">
        <v>-151884.77</v>
      </c>
      <c r="H90" s="83">
        <v>333531.99</v>
      </c>
      <c r="I90" s="83"/>
      <c r="J90" s="83"/>
      <c r="K90" s="83">
        <f>VLOOKUP(C90,'[5]PERIOD 3 JUNE.'!$A$1:$I$128,9,0)</f>
        <v>312220.67</v>
      </c>
      <c r="L90" s="89" t="s">
        <v>249</v>
      </c>
      <c r="M90" s="40">
        <v>100708922</v>
      </c>
      <c r="N90" s="38"/>
      <c r="O90" s="38"/>
      <c r="P90" s="38"/>
      <c r="Q90" s="38"/>
      <c r="R90" s="38"/>
    </row>
    <row r="91" spans="1:18" ht="16.5" thickBot="1">
      <c r="A91" s="37">
        <v>5408</v>
      </c>
      <c r="B91" s="37">
        <v>10137</v>
      </c>
      <c r="C91" s="47">
        <v>938540</v>
      </c>
      <c r="D91" s="40" t="s">
        <v>97</v>
      </c>
      <c r="E91" s="111">
        <f>IF(ISERROR(VLOOKUP(C91,'[3]S A P 09.10.'!$A$2:$I$144,9,0)),0,VLOOKUP(C91,'[3]S A P 09.10.'!$A$2:$I$144,9,0))</f>
        <v>0</v>
      </c>
      <c r="F91" s="83">
        <v>12011.35</v>
      </c>
      <c r="G91" s="92">
        <v>165788.78</v>
      </c>
      <c r="H91" s="83">
        <v>217347.58</v>
      </c>
      <c r="I91" s="83"/>
      <c r="J91" s="83"/>
      <c r="K91" s="83">
        <f>VLOOKUP(C91,'[5]PERIOD 3 JUNE.'!$A$1:$I$128,9,0)</f>
        <v>205336.23</v>
      </c>
      <c r="L91" s="89" t="s">
        <v>266</v>
      </c>
      <c r="M91" s="40">
        <v>100711717</v>
      </c>
      <c r="N91" s="38"/>
      <c r="O91" s="38"/>
      <c r="P91" s="38"/>
      <c r="Q91" s="38"/>
      <c r="R91" s="38"/>
    </row>
    <row r="92" spans="1:18" ht="16.5" thickBot="1">
      <c r="A92" s="37">
        <v>4211</v>
      </c>
      <c r="B92" s="37">
        <v>10151</v>
      </c>
      <c r="C92" s="47">
        <v>938465</v>
      </c>
      <c r="D92" s="40" t="s">
        <v>98</v>
      </c>
      <c r="E92" s="134">
        <f>IF(ISERROR(VLOOKUP(C92,'[3]S A P 09.10.'!$A$2:$I$144,9,0)),0,VLOOKUP(C92,'[3]S A P 09.10.'!$A$2:$I$144,9,0))</f>
        <v>-166903</v>
      </c>
      <c r="F92" s="83">
        <v>20787.88</v>
      </c>
      <c r="G92" s="92">
        <v>-73771.41</v>
      </c>
      <c r="H92" s="83">
        <v>662553.04</v>
      </c>
      <c r="I92" s="83"/>
      <c r="J92" s="97"/>
      <c r="K92" s="83">
        <f>VLOOKUP(C92,'[5]PERIOD 3 JUNE.'!$A$1:$I$128,9,0)</f>
        <v>641765.16</v>
      </c>
      <c r="L92" s="89" t="s">
        <v>246</v>
      </c>
      <c r="M92" s="40">
        <v>100708487</v>
      </c>
      <c r="N92" s="38"/>
      <c r="O92" s="38"/>
      <c r="P92" s="38"/>
      <c r="Q92" s="38"/>
      <c r="R92" s="38"/>
    </row>
    <row r="93" spans="1:18" ht="16.5" thickBot="1">
      <c r="A93" s="37">
        <v>4215</v>
      </c>
      <c r="B93" s="37">
        <v>10138</v>
      </c>
      <c r="C93" s="47">
        <v>938475</v>
      </c>
      <c r="D93" s="40" t="s">
        <v>99</v>
      </c>
      <c r="E93" s="134">
        <f>IF(ISERROR(VLOOKUP(C93,'[3]S A P 09.10.'!$A$2:$I$144,9,0)),0,VLOOKUP(C93,'[3]S A P 09.10.'!$A$2:$I$144,9,0))</f>
        <v>-746617</v>
      </c>
      <c r="F93" s="83">
        <f>8292.34-252.79</f>
        <v>8039.55</v>
      </c>
      <c r="G93" s="92">
        <v>-202161.71</v>
      </c>
      <c r="H93" s="83">
        <v>690243.73</v>
      </c>
      <c r="I93" s="83"/>
      <c r="J93" s="83"/>
      <c r="K93" s="83">
        <f>VLOOKUP(C93,'[5]PERIOD 3 JUNE.'!$A$1:$I$128,9,0)</f>
        <v>682204.18</v>
      </c>
      <c r="L93" s="89" t="s">
        <v>266</v>
      </c>
      <c r="M93" s="40">
        <v>100711710</v>
      </c>
      <c r="N93" s="38"/>
      <c r="O93" s="38"/>
      <c r="P93" s="38"/>
      <c r="Q93" s="38"/>
      <c r="R93" s="38"/>
    </row>
    <row r="94" spans="1:18" ht="16.5" thickBot="1">
      <c r="A94" s="37">
        <v>4210</v>
      </c>
      <c r="B94" s="37">
        <v>10152</v>
      </c>
      <c r="C94" s="47">
        <v>938460</v>
      </c>
      <c r="D94" s="40" t="s">
        <v>100</v>
      </c>
      <c r="E94" s="111">
        <f>IF(ISERROR(VLOOKUP(C94,'[3]S A P 09.10.'!$A$2:$I$144,9,0)),0,VLOOKUP(C94,'[3]S A P 09.10.'!$A$2:$I$144,9,0))</f>
        <v>52894</v>
      </c>
      <c r="F94" s="83">
        <f>14996.69+53.82</f>
        <v>15050.51</v>
      </c>
      <c r="G94" s="92">
        <v>-131843.91</v>
      </c>
      <c r="H94" s="83">
        <v>1175675.01</v>
      </c>
      <c r="I94" s="83"/>
      <c r="J94" s="83"/>
      <c r="K94" s="83">
        <f>VLOOKUP(C94,'[5]PERIOD 3 JUNE.'!$A$1:$I$128,9,0)</f>
        <v>1160624.5</v>
      </c>
      <c r="L94" s="89" t="s">
        <v>246</v>
      </c>
      <c r="M94" s="40">
        <v>100709338</v>
      </c>
      <c r="N94" s="38"/>
      <c r="O94" s="38"/>
      <c r="P94" s="38"/>
      <c r="Q94" s="38"/>
      <c r="R94" s="38"/>
    </row>
    <row r="95" spans="1:18" ht="16.5" thickBot="1">
      <c r="A95" s="37">
        <v>4212</v>
      </c>
      <c r="B95" s="37">
        <v>10153</v>
      </c>
      <c r="C95" s="47">
        <v>938470</v>
      </c>
      <c r="D95" s="40" t="s">
        <v>101</v>
      </c>
      <c r="E95" s="111">
        <f>IF(ISERROR(VLOOKUP(C95,'[3]S A P 09.10.'!$A$2:$I$144,9,0)),0,VLOOKUP(C95,'[3]S A P 09.10.'!$A$2:$I$144,9,0))</f>
        <v>0</v>
      </c>
      <c r="F95" s="83">
        <v>5886.18</v>
      </c>
      <c r="G95" s="92">
        <v>-286551.7</v>
      </c>
      <c r="H95" s="83">
        <v>895660.78</v>
      </c>
      <c r="I95" s="83"/>
      <c r="J95" s="83"/>
      <c r="K95" s="83">
        <f>VLOOKUP(C95,'[5]PERIOD 3 JUNE.'!$A$1:$I$128,9,0)</f>
        <v>889774.6000000006</v>
      </c>
      <c r="L95" s="89" t="s">
        <v>266</v>
      </c>
      <c r="M95" s="40">
        <v>100711722</v>
      </c>
      <c r="N95" s="38"/>
      <c r="O95" s="38"/>
      <c r="P95" s="38"/>
      <c r="Q95" s="38"/>
      <c r="R95" s="38"/>
    </row>
    <row r="96" spans="1:18" ht="16.5" thickBot="1">
      <c r="A96" s="37">
        <v>5405</v>
      </c>
      <c r="B96" s="37">
        <v>10145</v>
      </c>
      <c r="C96" s="47">
        <v>938525</v>
      </c>
      <c r="D96" s="40" t="s">
        <v>102</v>
      </c>
      <c r="E96" s="111">
        <f>IF(ISERROR(VLOOKUP(C96,'[3]S A P 09.10.'!$A$2:$I$144,9,0)),0,VLOOKUP(C96,'[3]S A P 09.10.'!$A$2:$I$144,9,0))</f>
        <v>0</v>
      </c>
      <c r="F96" s="83">
        <v>20674.91</v>
      </c>
      <c r="G96" s="92">
        <v>-540149.02</v>
      </c>
      <c r="H96" s="83">
        <v>1864654.86</v>
      </c>
      <c r="I96" s="83"/>
      <c r="J96" s="83"/>
      <c r="K96" s="83">
        <f>VLOOKUP(C96,'[5]PERIOD 3 JUNE.'!$A$1:$I$128,9,0)</f>
        <v>1843979.95</v>
      </c>
      <c r="L96" s="89" t="s">
        <v>264</v>
      </c>
      <c r="M96" s="40">
        <v>100711086</v>
      </c>
      <c r="N96" s="38"/>
      <c r="O96" s="38"/>
      <c r="P96" s="38"/>
      <c r="Q96" s="38"/>
      <c r="R96" s="38"/>
    </row>
    <row r="97" spans="1:18" ht="16.5" thickBot="1">
      <c r="A97" s="37">
        <v>4003</v>
      </c>
      <c r="B97" s="37">
        <v>10139</v>
      </c>
      <c r="C97" s="47">
        <v>938440</v>
      </c>
      <c r="D97" s="40" t="s">
        <v>103</v>
      </c>
      <c r="E97" s="111">
        <f>IF(ISERROR(VLOOKUP(C97,'[3]S A P 09.10.'!$A$2:$I$144,9,0)),0,VLOOKUP(C97,'[3]S A P 09.10.'!$A$2:$I$144,9,0))</f>
        <v>0</v>
      </c>
      <c r="F97" s="83">
        <f>20069.24-77.35</f>
        <v>19991.890000000003</v>
      </c>
      <c r="G97" s="92">
        <v>-98755.7</v>
      </c>
      <c r="H97" s="83">
        <v>187510.23</v>
      </c>
      <c r="I97" s="83"/>
      <c r="J97" s="83"/>
      <c r="K97" s="83">
        <f>VLOOKUP(C97,'[5]PERIOD 3 JUNE.'!$A$1:$I$128,9,0)</f>
        <v>167518.34</v>
      </c>
      <c r="L97" s="89" t="s">
        <v>249</v>
      </c>
      <c r="M97" s="40">
        <v>100708948</v>
      </c>
      <c r="N97" s="38"/>
      <c r="O97" s="38"/>
      <c r="P97" s="38"/>
      <c r="Q97" s="38"/>
      <c r="R97" s="38"/>
    </row>
    <row r="98" spans="1:18" ht="16.5" thickBot="1">
      <c r="A98" s="37">
        <v>5409</v>
      </c>
      <c r="B98" s="37">
        <v>10146</v>
      </c>
      <c r="C98" s="47">
        <v>938545</v>
      </c>
      <c r="D98" s="40" t="s">
        <v>104</v>
      </c>
      <c r="E98" s="134">
        <f>IF(ISERROR(VLOOKUP(C98,'[3]S A P 09.10.'!$A$2:$I$144,9,0)),0,VLOOKUP(C98,'[3]S A P 09.10.'!$A$2:$I$144,9,0))</f>
        <v>-243338</v>
      </c>
      <c r="F98" s="83">
        <v>7516.58</v>
      </c>
      <c r="G98" s="92">
        <v>40301.97</v>
      </c>
      <c r="H98" s="83">
        <v>5013.72</v>
      </c>
      <c r="I98" s="83"/>
      <c r="J98" s="83"/>
      <c r="K98" s="83">
        <f>VLOOKUP(C98,'[5]PERIOD 3 JUNE.'!$A$1:$I$128,9,0)</f>
        <v>-2502.8599999999933</v>
      </c>
      <c r="L98" s="89" t="s">
        <v>249</v>
      </c>
      <c r="M98" s="40">
        <v>100708974</v>
      </c>
      <c r="N98" s="38"/>
      <c r="O98" s="38"/>
      <c r="P98" s="38"/>
      <c r="Q98" s="38"/>
      <c r="R98" s="38"/>
    </row>
    <row r="99" spans="1:18" ht="16.5" thickBot="1">
      <c r="A99" s="37">
        <v>5400</v>
      </c>
      <c r="B99" s="37">
        <v>10150</v>
      </c>
      <c r="C99" s="47">
        <v>938500</v>
      </c>
      <c r="D99" s="40" t="s">
        <v>105</v>
      </c>
      <c r="E99" s="111">
        <f>IF(ISERROR(VLOOKUP(C99,'[3]S A P 09.10.'!$A$2:$I$144,9,0)),0,VLOOKUP(C99,'[3]S A P 09.10.'!$A$2:$I$144,9,0))</f>
        <v>29861</v>
      </c>
      <c r="F99" s="83">
        <v>15587.66</v>
      </c>
      <c r="G99" s="92">
        <v>-172426.76</v>
      </c>
      <c r="H99" s="83">
        <v>593504.05</v>
      </c>
      <c r="I99" s="83"/>
      <c r="J99" s="83"/>
      <c r="K99" s="83">
        <f>VLOOKUP(C99,'[5]PERIOD 3 JUNE.'!$A$1:$I$128,9,0)</f>
        <v>577916.39</v>
      </c>
      <c r="L99" s="89" t="s">
        <v>268</v>
      </c>
      <c r="M99" s="40">
        <v>100712219</v>
      </c>
      <c r="N99" s="38"/>
      <c r="O99" s="38"/>
      <c r="P99" s="38"/>
      <c r="Q99" s="38"/>
      <c r="R99" s="38"/>
    </row>
    <row r="100" spans="1:18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134">
        <f>IF(ISERROR(VLOOKUP(C100,'[3]S A P 09.10.'!$A$2:$I$144,9,0)),0,VLOOKUP(C100,'[3]S A P 09.10.'!$A$2:$I$144,9,0))</f>
        <v>-54808</v>
      </c>
      <c r="F100" s="83">
        <v>15336.97</v>
      </c>
      <c r="G100" s="92">
        <v>159306.17</v>
      </c>
      <c r="H100" s="83">
        <v>306527.66</v>
      </c>
      <c r="I100" s="83"/>
      <c r="J100" s="83"/>
      <c r="K100" s="83">
        <f>VLOOKUP(C100,'[5]PERIOD 3 JUNE.'!$A$1:$I$128,9,0)</f>
        <v>236382.69</v>
      </c>
      <c r="L100" s="89" t="s">
        <v>263</v>
      </c>
      <c r="M100" s="40">
        <v>100710663</v>
      </c>
      <c r="N100" s="38"/>
      <c r="O100" s="38"/>
      <c r="P100" s="38"/>
      <c r="Q100" s="38"/>
      <c r="R100" s="38"/>
    </row>
    <row r="101" spans="1:18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111">
        <f>IF(ISERROR(VLOOKUP(C101,'[3]S A P 09.10.'!$A$2:$I$144,9,0)),0,VLOOKUP(C101,'[3]S A P 09.10.'!$A$2:$I$144,9,0))</f>
        <v>0</v>
      </c>
      <c r="F101" s="139">
        <v>2386.69</v>
      </c>
      <c r="G101" s="135">
        <v>23501.34</v>
      </c>
      <c r="H101" s="139">
        <v>76687.89</v>
      </c>
      <c r="I101" s="83"/>
      <c r="J101" s="83"/>
      <c r="K101" s="83">
        <f>VLOOKUP(C101,'[5]PERIOD 3 JUNE.'!$A$1:$I$128,9,0)</f>
        <v>97802.54</v>
      </c>
      <c r="L101" s="142" t="s">
        <v>269</v>
      </c>
      <c r="M101" s="136">
        <v>100714088</v>
      </c>
      <c r="N101" s="38"/>
      <c r="O101" s="38"/>
      <c r="P101" s="38"/>
      <c r="Q101" s="38"/>
      <c r="R101" s="38"/>
    </row>
    <row r="102" spans="1:18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111">
        <f>IF(ISERROR(VLOOKUP(C102,'[3]S A P 09.10.'!$A$2:$I$144,9,0)),0,VLOOKUP(C102,'[3]S A P 09.10.'!$A$2:$I$144,9,0))</f>
        <v>0</v>
      </c>
      <c r="F102" s="83">
        <f>39968.61-68.26</f>
        <v>39900.35</v>
      </c>
      <c r="G102" s="92">
        <v>-196015.96</v>
      </c>
      <c r="H102" s="83">
        <v>1230781.25</v>
      </c>
      <c r="I102" s="83"/>
      <c r="J102" s="83"/>
      <c r="K102" s="83">
        <f>VLOOKUP(C102,'[5]PERIOD 3 JUNE.'!$A$1:$I$128,9,0)</f>
        <v>1190880.9</v>
      </c>
      <c r="L102" s="89" t="s">
        <v>251</v>
      </c>
      <c r="M102" s="40">
        <v>100709384</v>
      </c>
      <c r="N102" s="38"/>
      <c r="O102" s="38"/>
      <c r="P102" s="38"/>
      <c r="Q102" s="38"/>
      <c r="R102" s="38"/>
    </row>
    <row r="103" spans="1:18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111">
        <f>IF(ISERROR(VLOOKUP(C103,'[3]S A P 09.10.'!$A$2:$I$144,9,0)),0,VLOOKUP(C103,'[3]S A P 09.10.'!$A$2:$I$144,9,0))</f>
        <v>195334</v>
      </c>
      <c r="F103" s="83">
        <v>15842.55</v>
      </c>
      <c r="G103" s="92">
        <v>-159903.19</v>
      </c>
      <c r="H103" s="83">
        <v>570011.05</v>
      </c>
      <c r="I103" s="83"/>
      <c r="J103" s="83"/>
      <c r="K103" s="83">
        <f>VLOOKUP(C103,'[5]PERIOD 3 JUNE.'!$A$1:$I$128,9,0)</f>
        <v>554168.5</v>
      </c>
      <c r="L103" s="89" t="s">
        <v>263</v>
      </c>
      <c r="M103" s="40">
        <v>100710329</v>
      </c>
      <c r="N103" s="38"/>
      <c r="O103" s="38"/>
      <c r="P103" s="38"/>
      <c r="Q103" s="38"/>
      <c r="R103" s="38"/>
    </row>
    <row r="104" spans="1:18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111">
        <f>IF(ISERROR(VLOOKUP(C104,'[3]S A P 09.10.'!$A$2:$I$144,9,0)),0,VLOOKUP(C104,'[3]S A P 09.10.'!$A$2:$I$144,9,0))</f>
        <v>0</v>
      </c>
      <c r="F104" s="83">
        <v>20601.95</v>
      </c>
      <c r="G104" s="92">
        <v>-134042.55</v>
      </c>
      <c r="H104" s="83">
        <v>400284.01</v>
      </c>
      <c r="I104" s="83"/>
      <c r="J104" s="83"/>
      <c r="K104" s="83">
        <f>VLOOKUP(C104,'[5]PERIOD 3 JUNE.'!$A$1:$I$128,9,0)</f>
        <v>379682.06</v>
      </c>
      <c r="L104" s="89" t="s">
        <v>266</v>
      </c>
      <c r="M104" s="40">
        <v>100711727</v>
      </c>
      <c r="N104" s="38"/>
      <c r="O104" s="38"/>
      <c r="P104" s="38"/>
      <c r="Q104" s="38"/>
      <c r="R104" s="38"/>
    </row>
    <row r="105" spans="1:18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134">
        <f>IF(ISERROR(VLOOKUP(C105,'[3]S A P 09.10.'!$A$2:$I$144,9,0)),0,VLOOKUP(C105,'[3]S A P 09.10.'!$A$2:$I$144,9,0))</f>
        <v>-112994</v>
      </c>
      <c r="F105" s="83">
        <f>18835.81-18.15</f>
        <v>18817.66</v>
      </c>
      <c r="G105" s="92">
        <v>-165949.88</v>
      </c>
      <c r="H105" s="83">
        <v>1199608.93</v>
      </c>
      <c r="I105" s="83"/>
      <c r="J105" s="83"/>
      <c r="K105" s="83">
        <f>VLOOKUP(C105,'[5]PERIOD 3 JUNE.'!$A$1:$I$128,9,0)</f>
        <v>1180791.27</v>
      </c>
      <c r="L105" s="89" t="s">
        <v>245</v>
      </c>
      <c r="M105" s="40">
        <v>100707655</v>
      </c>
      <c r="N105" s="38"/>
      <c r="O105" s="38"/>
      <c r="P105" s="38"/>
      <c r="Q105" s="38"/>
      <c r="R105" s="38"/>
    </row>
    <row r="106" spans="1:18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111">
        <f>IF(ISERROR(VLOOKUP(C106,'[3]S A P 09.10.'!$A$2:$I$144,9,0)),0,VLOOKUP(C106,'[3]S A P 09.10.'!$A$2:$I$144,9,0))</f>
        <v>0</v>
      </c>
      <c r="F106" s="83">
        <f>12184.26-1.19</f>
        <v>12183.07</v>
      </c>
      <c r="G106" s="92">
        <v>94407.55</v>
      </c>
      <c r="H106" s="83">
        <v>425705.08</v>
      </c>
      <c r="I106" s="83"/>
      <c r="J106" s="83"/>
      <c r="K106" s="83">
        <f>VLOOKUP(C106,'[5]PERIOD 3 JUNE.'!$A$1:$I$128,9,0)</f>
        <v>413522.01</v>
      </c>
      <c r="L106" s="89" t="s">
        <v>251</v>
      </c>
      <c r="M106" s="40">
        <v>100709376</v>
      </c>
      <c r="N106" s="38"/>
      <c r="O106" s="38"/>
      <c r="P106" s="38"/>
      <c r="Q106" s="38"/>
      <c r="R106" s="38"/>
    </row>
    <row r="107" spans="1:18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111">
        <f>IF(ISERROR(VLOOKUP(C107,'[3]S A P 09.10.'!$A$2:$I$144,9,0)),0,VLOOKUP(C107,'[3]S A P 09.10.'!$A$2:$I$144,9,0))</f>
        <v>0</v>
      </c>
      <c r="F107" s="83">
        <v>5900.9</v>
      </c>
      <c r="G107" s="92">
        <v>-209182.79</v>
      </c>
      <c r="H107" s="83">
        <v>369443.49</v>
      </c>
      <c r="I107" s="83"/>
      <c r="J107" s="83"/>
      <c r="K107" s="83">
        <f>VLOOKUP(C107,'[5]PERIOD 3 JUNE.'!$A$1:$I$128,9,0)</f>
        <v>363542.59</v>
      </c>
      <c r="L107" s="89" t="s">
        <v>251</v>
      </c>
      <c r="M107" s="40" t="s">
        <v>262</v>
      </c>
      <c r="N107" s="38"/>
      <c r="O107" s="38"/>
      <c r="P107" s="38"/>
      <c r="Q107" s="38"/>
      <c r="R107" s="38"/>
    </row>
    <row r="108" spans="1:18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111">
        <f>IF(ISERROR(VLOOKUP(C108,'[3]S A P 09.10.'!$A$2:$I$144,9,0)),0,VLOOKUP(C108,'[3]S A P 09.10.'!$A$2:$I$144,9,0))</f>
        <v>0</v>
      </c>
      <c r="F108" s="83">
        <f>9168.67-126.58</f>
        <v>9042.09</v>
      </c>
      <c r="G108" s="92">
        <v>-129045.43</v>
      </c>
      <c r="H108" s="83">
        <v>214504.93</v>
      </c>
      <c r="I108" s="83"/>
      <c r="J108" s="83"/>
      <c r="K108" s="83">
        <f>VLOOKUP(C108,'[5]PERIOD 3 JUNE.'!$A$1:$I$128,9,0)</f>
        <v>205462.84</v>
      </c>
      <c r="L108" s="89" t="s">
        <v>263</v>
      </c>
      <c r="M108" s="40">
        <v>100710276</v>
      </c>
      <c r="N108" s="38"/>
      <c r="O108" s="38"/>
      <c r="P108" s="38"/>
      <c r="Q108" s="38"/>
      <c r="R108" s="38"/>
    </row>
    <row r="109" spans="1:18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134">
        <f>IF(ISERROR(VLOOKUP(C109,'[3]S A P 09.10.'!$A$2:$I$144,9,0)),0,VLOOKUP(C109,'[3]S A P 09.10.'!$A$2:$I$144,9,0))</f>
        <v>-512720</v>
      </c>
      <c r="F109" s="83">
        <f>13044.92-2.49</f>
        <v>13042.43</v>
      </c>
      <c r="G109" s="92">
        <v>-220770.29</v>
      </c>
      <c r="H109" s="83">
        <v>608950.99</v>
      </c>
      <c r="I109" s="84"/>
      <c r="J109" s="84"/>
      <c r="K109" s="83">
        <f>VLOOKUP(C109,'[5]PERIOD 3 JUNE.'!$A$1:$I$128,9,0)</f>
        <v>595908.56</v>
      </c>
      <c r="L109" s="89" t="s">
        <v>249</v>
      </c>
      <c r="M109" s="40">
        <v>100708942</v>
      </c>
      <c r="N109" s="38"/>
      <c r="O109" s="38"/>
      <c r="P109" s="38"/>
      <c r="Q109" s="38"/>
      <c r="R109" s="38"/>
    </row>
    <row r="110" spans="1:18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134">
        <f>IF(ISERROR(VLOOKUP(C110,'[3]S A P 09.10.'!$A$2:$I$144,9,0)),0,VLOOKUP(C110,'[3]S A P 09.10.'!$A$2:$I$144,9,0))</f>
        <v>-377840</v>
      </c>
      <c r="F110" s="83">
        <f>2674.8-1.49</f>
        <v>2673.3100000000004</v>
      </c>
      <c r="G110" s="92">
        <v>-123920.53</v>
      </c>
      <c r="H110" s="83">
        <v>377335.79</v>
      </c>
      <c r="I110" s="83"/>
      <c r="J110" s="83"/>
      <c r="K110" s="83">
        <f>VLOOKUP(C110,'[5]PERIOD 3 JUNE.'!$A$1:$I$128,9,0)</f>
        <v>374662.48</v>
      </c>
      <c r="L110" s="89" t="s">
        <v>244</v>
      </c>
      <c r="M110" s="40">
        <v>100706615</v>
      </c>
      <c r="N110" s="38"/>
      <c r="O110" s="38"/>
      <c r="P110" s="38"/>
      <c r="Q110" s="38"/>
      <c r="R110" s="38"/>
    </row>
    <row r="111" spans="1:18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134">
        <f>IF(ISERROR(VLOOKUP(C111,'[3]S A P 09.10.'!$A$2:$I$144,9,0)),0,VLOOKUP(C111,'[3]S A P 09.10.'!$A$2:$I$144,9,0))</f>
        <v>-116031</v>
      </c>
      <c r="F111" s="83">
        <f>1591.59-1.44</f>
        <v>1590.1499999999999</v>
      </c>
      <c r="G111" s="92">
        <v>-31927.12</v>
      </c>
      <c r="H111" s="83">
        <v>218466.49</v>
      </c>
      <c r="I111" s="83"/>
      <c r="J111" s="139" t="s">
        <v>248</v>
      </c>
      <c r="K111" s="83">
        <f>VLOOKUP(C111,'[5]PERIOD 3 JUNE.'!$A$1:$I$128,9,0)</f>
        <v>216876.34</v>
      </c>
      <c r="L111" s="89" t="s">
        <v>249</v>
      </c>
      <c r="M111" s="40" t="s">
        <v>278</v>
      </c>
      <c r="N111" s="38"/>
      <c r="O111" s="38"/>
      <c r="P111" s="38"/>
      <c r="Q111" s="38"/>
      <c r="R111" s="38"/>
    </row>
    <row r="112" spans="1:18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134">
        <f>IF(ISERROR(VLOOKUP(C112,'[3]S A P 09.10.'!$A$2:$I$144,9,0)),0,VLOOKUP(C112,'[3]S A P 09.10.'!$A$2:$I$144,9,0))</f>
        <v>-73820</v>
      </c>
      <c r="F112" s="83">
        <f>4890.38-33.24</f>
        <v>4857.14</v>
      </c>
      <c r="G112" s="92">
        <v>8449.97</v>
      </c>
      <c r="H112" s="83">
        <v>415197.05</v>
      </c>
      <c r="I112" s="83"/>
      <c r="J112" s="83"/>
      <c r="K112" s="83">
        <f>VLOOKUP(C112,'[5]PERIOD 3 JUNE.'!$A$1:$I$128,9,0)</f>
        <v>410339.91</v>
      </c>
      <c r="L112" s="89" t="s">
        <v>249</v>
      </c>
      <c r="M112" s="40">
        <v>100709343</v>
      </c>
      <c r="N112" s="38"/>
      <c r="O112" s="38"/>
      <c r="P112" s="38"/>
      <c r="Q112" s="38"/>
      <c r="R112" s="38"/>
    </row>
    <row r="113" spans="1:18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134">
        <f>IF(ISERROR(VLOOKUP(C113,'[3]S A P 09.10.'!$A$2:$I$144,9,0)),0,VLOOKUP(C113,'[3]S A P 09.10.'!$A$2:$I$144,9,0))</f>
        <v>-81488</v>
      </c>
      <c r="F113" s="83">
        <v>20506.74</v>
      </c>
      <c r="G113" s="92">
        <v>53269.23</v>
      </c>
      <c r="H113" s="83">
        <v>234550.75</v>
      </c>
      <c r="I113" s="83"/>
      <c r="J113" s="83"/>
      <c r="K113" s="83">
        <f>VLOOKUP(C113,'[5]PERIOD 3 JUNE.'!$A$1:$I$128,9,0)</f>
        <v>214044.01</v>
      </c>
      <c r="L113" s="89" t="s">
        <v>250</v>
      </c>
      <c r="M113" s="40">
        <v>100709367</v>
      </c>
      <c r="N113" s="38"/>
      <c r="O113" s="38"/>
      <c r="P113" s="38"/>
      <c r="Q113" s="38"/>
      <c r="R113" s="38"/>
    </row>
    <row r="114" spans="1:18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134">
        <f>IF(ISERROR(VLOOKUP(C114,'[3]S A P 09.10.'!$A$2:$I$144,9,0)),0,VLOOKUP(C114,'[3]S A P 09.10.'!$A$2:$I$144,9,0))</f>
        <v>-24741</v>
      </c>
      <c r="F114" s="83">
        <v>2341.51</v>
      </c>
      <c r="G114" s="92">
        <v>-14948.84</v>
      </c>
      <c r="H114" s="83">
        <v>176500.61</v>
      </c>
      <c r="I114" s="83"/>
      <c r="J114" s="83"/>
      <c r="K114" s="83">
        <f>VLOOKUP(C114,'[5]PERIOD 3 JUNE.'!$A$1:$I$128,9,0)</f>
        <v>174159.1</v>
      </c>
      <c r="L114" s="89" t="s">
        <v>249</v>
      </c>
      <c r="M114" s="40">
        <v>100709336</v>
      </c>
      <c r="N114" s="38"/>
      <c r="O114" s="38"/>
      <c r="P114" s="38"/>
      <c r="Q114" s="38"/>
      <c r="R114" s="38"/>
    </row>
    <row r="115" spans="1:18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134">
        <f>IF(ISERROR(VLOOKUP(C115,'[3]S A P 09.10.'!$A$2:$I$144,9,0)),0,VLOOKUP(C115,'[3]S A P 09.10.'!$A$2:$I$144,9,0))</f>
        <v>-53214</v>
      </c>
      <c r="F115" s="83">
        <v>700.46</v>
      </c>
      <c r="G115" s="92">
        <v>-27877.32</v>
      </c>
      <c r="H115" s="83">
        <v>152289.21</v>
      </c>
      <c r="I115" s="83"/>
      <c r="J115" s="83"/>
      <c r="K115" s="83">
        <f>VLOOKUP(C115,'[5]PERIOD 3 JUNE.'!$A$1:$I$128,9,0)</f>
        <v>151588.75</v>
      </c>
      <c r="L115" s="89" t="s">
        <v>245</v>
      </c>
      <c r="M115" s="40">
        <v>100707138</v>
      </c>
      <c r="N115" s="38"/>
      <c r="O115" s="38"/>
      <c r="P115" s="38"/>
      <c r="Q115" s="38"/>
      <c r="R115" s="38"/>
    </row>
    <row r="116" spans="1:18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134">
        <f>IF(ISERROR(VLOOKUP(C116,'[3]S A P 09.10.'!$A$2:$I$144,9,0)),0,VLOOKUP(C116,'[3]S A P 09.10.'!$A$2:$I$144,9,0))</f>
        <v>-107258</v>
      </c>
      <c r="F116" s="83">
        <v>397.11</v>
      </c>
      <c r="G116" s="92">
        <v>-25719.95</v>
      </c>
      <c r="H116" s="83">
        <v>175325.45</v>
      </c>
      <c r="I116" s="83"/>
      <c r="J116" s="83"/>
      <c r="K116" s="83">
        <f>VLOOKUP(C116,'[5]PERIOD 3 JUNE.'!$A$1:$I$128,9,0)</f>
        <v>174928.34</v>
      </c>
      <c r="L116" s="89" t="s">
        <v>249</v>
      </c>
      <c r="M116" s="40">
        <v>100708950</v>
      </c>
      <c r="N116" s="38"/>
      <c r="O116" s="38"/>
      <c r="P116" s="38"/>
      <c r="Q116" s="38"/>
      <c r="R116" s="38"/>
    </row>
    <row r="117" spans="1:18" ht="15.75">
      <c r="A117" s="37">
        <v>1003</v>
      </c>
      <c r="B117" s="37">
        <v>10133</v>
      </c>
      <c r="C117" s="47">
        <v>938015</v>
      </c>
      <c r="D117" s="40" t="s">
        <v>135</v>
      </c>
      <c r="E117" s="134">
        <f>IF(ISERROR(VLOOKUP(C117,'[3]S A P 09.10.'!$A$2:$I$144,9,0)),0,VLOOKUP(C117,'[3]S A P 09.10.'!$A$2:$I$144,9,0))</f>
        <v>-50036</v>
      </c>
      <c r="F117" s="83">
        <v>594.86</v>
      </c>
      <c r="G117" s="92">
        <v>-13903.17</v>
      </c>
      <c r="H117" s="83">
        <v>127652.65</v>
      </c>
      <c r="I117" s="83"/>
      <c r="J117" s="83"/>
      <c r="K117" s="83">
        <f>VLOOKUP(C117,'[5]PERIOD 3 JUNE.'!$A$1:$I$128,9,0)</f>
        <v>127057.79</v>
      </c>
      <c r="L117" s="89" t="s">
        <v>249</v>
      </c>
      <c r="M117" s="40">
        <v>100709344</v>
      </c>
      <c r="N117" s="38"/>
      <c r="O117" s="38"/>
      <c r="P117" s="38"/>
      <c r="Q117" s="38"/>
      <c r="R117" s="38"/>
    </row>
    <row r="118" spans="2:14" ht="16.5" thickBot="1">
      <c r="B118" s="38"/>
      <c r="C118" s="42"/>
      <c r="D118" s="43" t="s">
        <v>139</v>
      </c>
      <c r="E118" s="140">
        <f>SUMIF(E3:E117,"&lt;&gt;#n/a")</f>
        <v>-4919068</v>
      </c>
      <c r="F118" s="45">
        <f aca="true" t="shared" si="0" ref="F118:K118">SUMIF(F3:F117,"&lt;&gt;#n/a")</f>
        <v>657849.5699999998</v>
      </c>
      <c r="G118" s="96">
        <f t="shared" si="0"/>
        <v>-4617310.790000001</v>
      </c>
      <c r="H118" s="45">
        <f t="shared" si="0"/>
        <v>31909508.049999997</v>
      </c>
      <c r="I118" s="83">
        <f t="shared" si="0"/>
        <v>0</v>
      </c>
      <c r="J118" s="83">
        <f t="shared" si="0"/>
        <v>0</v>
      </c>
      <c r="K118" s="83">
        <f t="shared" si="0"/>
        <v>31180369.320000008</v>
      </c>
      <c r="L118" s="83"/>
      <c r="M118" s="38"/>
      <c r="N118" s="38"/>
    </row>
    <row r="119" spans="2:14" ht="16.5" thickTop="1">
      <c r="B119" s="38"/>
      <c r="C119" s="42"/>
      <c r="D119" s="41"/>
      <c r="E119" s="86"/>
      <c r="F119" s="83"/>
      <c r="G119" s="92"/>
      <c r="H119" s="83"/>
      <c r="I119" s="83"/>
      <c r="J119" s="83"/>
      <c r="K119" s="83"/>
      <c r="L119" s="38"/>
      <c r="M119" s="38"/>
      <c r="N119" s="38"/>
    </row>
    <row r="120" spans="3:14" ht="15.75">
      <c r="C120" s="1">
        <f>COUNT(C3:C117)</f>
        <v>115</v>
      </c>
      <c r="D120" s="86">
        <f>COUNT(A3:A117)-COUNTA(M3:M117)</f>
        <v>0</v>
      </c>
      <c r="E120" s="38"/>
      <c r="F120" s="37" t="s">
        <v>175</v>
      </c>
      <c r="G120" s="38"/>
      <c r="H120" s="38"/>
      <c r="I120" s="38"/>
      <c r="J120" s="38"/>
      <c r="K120" s="62"/>
      <c r="L120" s="38"/>
      <c r="M120" s="38"/>
      <c r="N120" s="38"/>
    </row>
    <row r="121" spans="4:14" ht="15.75">
      <c r="D121" s="86">
        <f>C120-D120</f>
        <v>115</v>
      </c>
      <c r="E121" s="38"/>
      <c r="F121" s="38" t="s">
        <v>174</v>
      </c>
      <c r="G121" s="38"/>
      <c r="H121" s="38"/>
      <c r="I121" s="38"/>
      <c r="J121" s="38"/>
      <c r="K121" s="88"/>
      <c r="L121" s="38"/>
      <c r="M121" s="38"/>
      <c r="N121" s="38"/>
    </row>
    <row r="122" spans="4:14" ht="15.75">
      <c r="D122" s="41"/>
      <c r="E122" s="38"/>
      <c r="F122" s="38"/>
      <c r="G122" s="38"/>
      <c r="H122" s="38"/>
      <c r="I122" s="38"/>
      <c r="J122" s="38"/>
      <c r="K122" s="62"/>
      <c r="L122" s="38"/>
      <c r="M122" s="38"/>
      <c r="N122" s="38"/>
    </row>
    <row r="123" spans="4:14" ht="15.75">
      <c r="D123" s="38"/>
      <c r="E123" s="38"/>
      <c r="F123" s="38"/>
      <c r="G123" s="38"/>
      <c r="H123" s="38"/>
      <c r="I123" s="38"/>
      <c r="J123" s="38"/>
      <c r="K123" s="88"/>
      <c r="L123" s="38"/>
      <c r="M123" s="38"/>
      <c r="N123" s="38"/>
    </row>
    <row r="124" spans="5:14" ht="15.75">
      <c r="E124" s="38"/>
      <c r="F124" s="38"/>
      <c r="G124" s="38"/>
      <c r="H124" s="38"/>
      <c r="I124" s="38"/>
      <c r="J124" s="38"/>
      <c r="K124" s="88"/>
      <c r="L124" s="38"/>
      <c r="M124" s="38"/>
      <c r="N124" s="38"/>
    </row>
    <row r="125" spans="5:14" ht="15.75">
      <c r="E125" s="38"/>
      <c r="F125" s="38"/>
      <c r="G125" s="38"/>
      <c r="H125" s="38"/>
      <c r="I125" s="38"/>
      <c r="J125" s="38"/>
      <c r="K125" s="62"/>
      <c r="L125" s="38"/>
      <c r="M125" s="38"/>
      <c r="N125" s="38"/>
    </row>
    <row r="126" spans="5:14" ht="15.75">
      <c r="E126" s="38"/>
      <c r="F126" s="85">
        <f>F101+F77</f>
        <v>5108.6</v>
      </c>
      <c r="G126" s="38" t="s">
        <v>286</v>
      </c>
      <c r="H126" s="38"/>
      <c r="I126" s="38"/>
      <c r="J126" s="38"/>
      <c r="K126" s="62"/>
      <c r="L126" s="38"/>
      <c r="M126" s="38"/>
      <c r="N126" s="38"/>
    </row>
    <row r="127" spans="5:14" ht="15.75">
      <c r="E127" s="38"/>
      <c r="F127" s="38"/>
      <c r="G127" s="38"/>
      <c r="H127" s="38"/>
      <c r="I127" s="38"/>
      <c r="J127" s="38"/>
      <c r="K127" s="62"/>
      <c r="L127" s="38"/>
      <c r="M127" s="38"/>
      <c r="N127" s="38"/>
    </row>
    <row r="128" spans="5:14" ht="15.75">
      <c r="E128" s="38"/>
      <c r="F128" s="38"/>
      <c r="G128" s="38"/>
      <c r="H128" s="38"/>
      <c r="I128" s="38"/>
      <c r="J128" s="38"/>
      <c r="K128" s="62"/>
      <c r="L128" s="38"/>
      <c r="M128" s="38"/>
      <c r="N128" s="38"/>
    </row>
    <row r="129" spans="5:14" ht="15.75">
      <c r="E129" s="38"/>
      <c r="F129" s="38"/>
      <c r="G129" s="38"/>
      <c r="H129" s="38"/>
      <c r="I129" s="38"/>
      <c r="J129" s="38"/>
      <c r="K129" s="62"/>
      <c r="L129" s="38"/>
      <c r="M129" s="38"/>
      <c r="N129" s="38"/>
    </row>
    <row r="130" spans="5:14" ht="15.75">
      <c r="E130" s="38"/>
      <c r="F130" s="38"/>
      <c r="G130" s="38"/>
      <c r="H130" s="38"/>
      <c r="I130" s="38"/>
      <c r="J130" s="38"/>
      <c r="K130" s="62"/>
      <c r="L130" s="38"/>
      <c r="M130" s="38"/>
      <c r="N130" s="38"/>
    </row>
    <row r="131" spans="5:14" ht="15.75">
      <c r="E131" s="38"/>
      <c r="F131" s="38"/>
      <c r="G131" s="38"/>
      <c r="H131" s="38"/>
      <c r="I131" s="38"/>
      <c r="J131" s="38"/>
      <c r="K131" s="62"/>
      <c r="L131" s="38"/>
      <c r="M131" s="38"/>
      <c r="N131" s="38"/>
    </row>
    <row r="132" spans="5:14" ht="15.75">
      <c r="E132" s="38"/>
      <c r="F132" s="38"/>
      <c r="G132" s="38"/>
      <c r="H132" s="38"/>
      <c r="I132" s="38"/>
      <c r="J132" s="38"/>
      <c r="K132" s="62"/>
      <c r="L132" s="38"/>
      <c r="M132" s="38"/>
      <c r="N132" s="38"/>
    </row>
    <row r="133" spans="5:14" ht="15.75">
      <c r="E133" s="38"/>
      <c r="F133" s="38"/>
      <c r="G133" s="38"/>
      <c r="H133" s="38"/>
      <c r="I133" s="38"/>
      <c r="J133" s="38"/>
      <c r="K133" s="62"/>
      <c r="L133" s="38"/>
      <c r="M133" s="38"/>
      <c r="N133" s="38"/>
    </row>
    <row r="134" spans="5:14" ht="15.75">
      <c r="E134" s="38"/>
      <c r="F134" s="38"/>
      <c r="G134" s="38"/>
      <c r="H134" s="38"/>
      <c r="I134" s="38"/>
      <c r="J134" s="38"/>
      <c r="K134" s="62"/>
      <c r="L134" s="38"/>
      <c r="M134" s="38"/>
      <c r="N134" s="38"/>
    </row>
    <row r="135" spans="5:14" ht="15.75">
      <c r="E135" s="38"/>
      <c r="F135" s="38"/>
      <c r="G135" s="38"/>
      <c r="H135" s="38"/>
      <c r="I135" s="38"/>
      <c r="J135" s="38"/>
      <c r="K135" s="62"/>
      <c r="L135" s="38"/>
      <c r="M135" s="38"/>
      <c r="N135" s="38"/>
    </row>
    <row r="136" spans="5:14" ht="15.75">
      <c r="E136" s="38"/>
      <c r="F136" s="38"/>
      <c r="G136" s="38"/>
      <c r="H136" s="38"/>
      <c r="I136" s="38"/>
      <c r="J136" s="38"/>
      <c r="K136" s="62"/>
      <c r="L136" s="38"/>
      <c r="M136" s="38"/>
      <c r="N136" s="38"/>
    </row>
    <row r="137" spans="5:14" ht="15.75">
      <c r="E137" s="38"/>
      <c r="F137" s="38"/>
      <c r="G137" s="38"/>
      <c r="H137" s="38"/>
      <c r="I137" s="38"/>
      <c r="J137" s="38"/>
      <c r="K137" s="62"/>
      <c r="L137" s="38"/>
      <c r="M137" s="38"/>
      <c r="N137" s="38"/>
    </row>
    <row r="138" spans="5:14" ht="15.75">
      <c r="E138" s="38"/>
      <c r="F138" s="38"/>
      <c r="G138" s="38"/>
      <c r="H138" s="38"/>
      <c r="I138" s="38"/>
      <c r="J138" s="38"/>
      <c r="K138" s="62"/>
      <c r="L138" s="38"/>
      <c r="M138" s="38"/>
      <c r="N138" s="38"/>
    </row>
    <row r="139" spans="5:14" ht="15.75">
      <c r="E139" s="38"/>
      <c r="F139" s="38"/>
      <c r="G139" s="38"/>
      <c r="H139" s="38"/>
      <c r="I139" s="38"/>
      <c r="J139" s="38"/>
      <c r="K139" s="62"/>
      <c r="L139" s="38"/>
      <c r="M139" s="38"/>
      <c r="N139" s="38"/>
    </row>
    <row r="140" spans="5:14" ht="15.75">
      <c r="E140" s="38"/>
      <c r="F140" s="38"/>
      <c r="G140" s="38"/>
      <c r="H140" s="38"/>
      <c r="I140" s="38"/>
      <c r="J140" s="38"/>
      <c r="K140" s="62"/>
      <c r="L140" s="38"/>
      <c r="M140" s="38"/>
      <c r="N140" s="38"/>
    </row>
    <row r="141" spans="5:14" ht="15.75">
      <c r="E141" s="38"/>
      <c r="F141" s="38"/>
      <c r="G141" s="38"/>
      <c r="H141" s="38"/>
      <c r="I141" s="38"/>
      <c r="J141" s="38"/>
      <c r="K141" s="62"/>
      <c r="L141" s="38"/>
      <c r="M141" s="38"/>
      <c r="N141" s="38"/>
    </row>
    <row r="142" spans="5:14" ht="15.75">
      <c r="E142" s="38"/>
      <c r="F142" s="38"/>
      <c r="G142" s="38"/>
      <c r="H142" s="38"/>
      <c r="I142" s="38"/>
      <c r="J142" s="38"/>
      <c r="K142" s="62"/>
      <c r="L142" s="38"/>
      <c r="M142" s="38"/>
      <c r="N142" s="38"/>
    </row>
    <row r="143" spans="5:14" ht="15.75">
      <c r="E143" s="38"/>
      <c r="F143" s="38"/>
      <c r="G143" s="38"/>
      <c r="H143" s="38"/>
      <c r="I143" s="38"/>
      <c r="J143" s="38"/>
      <c r="K143" s="62"/>
      <c r="L143" s="38"/>
      <c r="M143" s="38"/>
      <c r="N143" s="38"/>
    </row>
    <row r="144" spans="5:14" ht="15.75">
      <c r="E144" s="38"/>
      <c r="F144" s="38"/>
      <c r="G144" s="38"/>
      <c r="H144" s="38"/>
      <c r="I144" s="38"/>
      <c r="J144" s="38"/>
      <c r="K144" s="62"/>
      <c r="L144" s="38"/>
      <c r="M144" s="38"/>
      <c r="N144" s="38"/>
    </row>
    <row r="145" spans="5:14" ht="15.75">
      <c r="E145" s="38"/>
      <c r="F145" s="38"/>
      <c r="G145" s="38"/>
      <c r="H145" s="38"/>
      <c r="I145" s="38"/>
      <c r="J145" s="38"/>
      <c r="K145" s="62"/>
      <c r="L145" s="38"/>
      <c r="M145" s="38"/>
      <c r="N145" s="38"/>
    </row>
    <row r="146" spans="5:14" ht="15.75">
      <c r="E146" s="38"/>
      <c r="F146" s="38"/>
      <c r="G146" s="38"/>
      <c r="H146" s="38"/>
      <c r="I146" s="38"/>
      <c r="J146" s="38"/>
      <c r="K146" s="62"/>
      <c r="L146" s="38"/>
      <c r="M146" s="38"/>
      <c r="N146" s="38"/>
    </row>
    <row r="147" spans="5:14" ht="15.75">
      <c r="E147" s="38"/>
      <c r="F147" s="38"/>
      <c r="G147" s="38"/>
      <c r="H147" s="38"/>
      <c r="I147" s="38"/>
      <c r="J147" s="38"/>
      <c r="K147" s="62"/>
      <c r="L147" s="38"/>
      <c r="M147" s="38"/>
      <c r="N147" s="38"/>
    </row>
    <row r="148" spans="5:14" ht="15.75">
      <c r="E148" s="38"/>
      <c r="F148" s="38"/>
      <c r="G148" s="38"/>
      <c r="H148" s="38"/>
      <c r="I148" s="38"/>
      <c r="J148" s="38"/>
      <c r="K148" s="62"/>
      <c r="L148" s="38"/>
      <c r="M148" s="38"/>
      <c r="N148" s="38"/>
    </row>
    <row r="149" spans="5:14" ht="15.75">
      <c r="E149" s="38"/>
      <c r="F149" s="38"/>
      <c r="G149" s="38"/>
      <c r="H149" s="38"/>
      <c r="I149" s="38"/>
      <c r="J149" s="38"/>
      <c r="K149" s="62"/>
      <c r="L149" s="38"/>
      <c r="M149" s="38"/>
      <c r="N149" s="38"/>
    </row>
    <row r="150" spans="5:14" ht="15.75">
      <c r="E150" s="38"/>
      <c r="F150" s="38"/>
      <c r="G150" s="38"/>
      <c r="H150" s="38"/>
      <c r="I150" s="38"/>
      <c r="J150" s="38"/>
      <c r="K150" s="62"/>
      <c r="L150" s="38"/>
      <c r="M150" s="38"/>
      <c r="N150" s="38"/>
    </row>
    <row r="151" spans="5:14" ht="15.75">
      <c r="E151" s="38"/>
      <c r="F151" s="38"/>
      <c r="G151" s="38"/>
      <c r="H151" s="38"/>
      <c r="I151" s="38"/>
      <c r="J151" s="38"/>
      <c r="K151" s="62"/>
      <c r="L151" s="38"/>
      <c r="M151" s="38"/>
      <c r="N151" s="38"/>
    </row>
    <row r="152" spans="5:14" ht="15.75">
      <c r="E152" s="38"/>
      <c r="F152" s="38"/>
      <c r="G152" s="38"/>
      <c r="H152" s="38"/>
      <c r="I152" s="38"/>
      <c r="J152" s="38"/>
      <c r="K152" s="62"/>
      <c r="L152" s="38"/>
      <c r="M152" s="38"/>
      <c r="N152" s="38"/>
    </row>
    <row r="153" spans="5:14" ht="15.75">
      <c r="E153" s="38"/>
      <c r="F153" s="38"/>
      <c r="G153" s="38"/>
      <c r="H153" s="38"/>
      <c r="I153" s="38"/>
      <c r="J153" s="38"/>
      <c r="K153" s="62"/>
      <c r="L153" s="38"/>
      <c r="M153" s="38"/>
      <c r="N153" s="38"/>
    </row>
    <row r="154" spans="5:14" ht="15.75">
      <c r="E154" s="38"/>
      <c r="F154" s="38"/>
      <c r="G154" s="38"/>
      <c r="H154" s="38"/>
      <c r="I154" s="38"/>
      <c r="J154" s="38"/>
      <c r="K154" s="62"/>
      <c r="L154" s="38"/>
      <c r="M154" s="38"/>
      <c r="N154" s="38"/>
    </row>
    <row r="155" spans="5:14" ht="15.75">
      <c r="E155" s="38"/>
      <c r="F155" s="38"/>
      <c r="G155" s="38"/>
      <c r="H155" s="38"/>
      <c r="I155" s="38"/>
      <c r="J155" s="38"/>
      <c r="K155" s="62"/>
      <c r="L155" s="38"/>
      <c r="M155" s="38"/>
      <c r="N155" s="38"/>
    </row>
    <row r="156" spans="5:14" ht="15.75">
      <c r="E156" s="38"/>
      <c r="F156" s="38"/>
      <c r="G156" s="38"/>
      <c r="H156" s="38"/>
      <c r="I156" s="38"/>
      <c r="J156" s="38"/>
      <c r="K156" s="62"/>
      <c r="L156" s="38"/>
      <c r="M156" s="38"/>
      <c r="N156" s="38"/>
    </row>
    <row r="157" spans="5:14" ht="15.75">
      <c r="E157" s="38"/>
      <c r="F157" s="38"/>
      <c r="G157" s="38"/>
      <c r="H157" s="38"/>
      <c r="I157" s="38"/>
      <c r="J157" s="38"/>
      <c r="K157" s="62"/>
      <c r="L157" s="38"/>
      <c r="M157" s="38"/>
      <c r="N157" s="38"/>
    </row>
    <row r="158" spans="5:14" ht="15.75">
      <c r="E158" s="38"/>
      <c r="F158" s="38"/>
      <c r="G158" s="38"/>
      <c r="H158" s="38"/>
      <c r="I158" s="38"/>
      <c r="J158" s="38"/>
      <c r="K158" s="62"/>
      <c r="L158" s="38"/>
      <c r="M158" s="38"/>
      <c r="N158" s="38"/>
    </row>
    <row r="159" spans="5:14" ht="15.75">
      <c r="E159" s="38"/>
      <c r="F159" s="38"/>
      <c r="G159" s="38"/>
      <c r="H159" s="38"/>
      <c r="I159" s="38"/>
      <c r="J159" s="38"/>
      <c r="K159" s="62"/>
      <c r="L159" s="38"/>
      <c r="M159" s="38"/>
      <c r="N159" s="38"/>
    </row>
    <row r="160" spans="5:14" ht="15.75">
      <c r="E160" s="38"/>
      <c r="F160" s="38"/>
      <c r="G160" s="38"/>
      <c r="H160" s="38"/>
      <c r="I160" s="38"/>
      <c r="J160" s="38"/>
      <c r="K160" s="62"/>
      <c r="L160" s="38"/>
      <c r="M160" s="38"/>
      <c r="N160" s="38"/>
    </row>
    <row r="161" spans="5:14" ht="15.75">
      <c r="E161" s="38"/>
      <c r="F161" s="38"/>
      <c r="G161" s="38"/>
      <c r="H161" s="38"/>
      <c r="I161" s="38"/>
      <c r="J161" s="38"/>
      <c r="K161" s="62"/>
      <c r="L161" s="38"/>
      <c r="M161" s="38"/>
      <c r="N161" s="38"/>
    </row>
    <row r="162" spans="5:14" ht="15.75">
      <c r="E162" s="38"/>
      <c r="F162" s="38"/>
      <c r="G162" s="38"/>
      <c r="H162" s="38"/>
      <c r="I162" s="38"/>
      <c r="J162" s="38"/>
      <c r="K162" s="62"/>
      <c r="L162" s="38"/>
      <c r="M162" s="38"/>
      <c r="N162" s="38"/>
    </row>
    <row r="163" spans="5:14" ht="15.75">
      <c r="E163" s="38"/>
      <c r="F163" s="38"/>
      <c r="G163" s="38"/>
      <c r="H163" s="38"/>
      <c r="I163" s="38"/>
      <c r="J163" s="38"/>
      <c r="K163" s="62"/>
      <c r="L163" s="38"/>
      <c r="M163" s="38"/>
      <c r="N163" s="38"/>
    </row>
    <row r="164" spans="5:14" ht="15.75">
      <c r="E164" s="38"/>
      <c r="F164" s="38"/>
      <c r="G164" s="38"/>
      <c r="H164" s="38"/>
      <c r="I164" s="38"/>
      <c r="J164" s="38"/>
      <c r="K164" s="62"/>
      <c r="L164" s="38"/>
      <c r="M164" s="38"/>
      <c r="N164" s="38"/>
    </row>
    <row r="165" spans="5:14" ht="15.75">
      <c r="E165" s="38"/>
      <c r="F165" s="38"/>
      <c r="G165" s="38"/>
      <c r="H165" s="38"/>
      <c r="I165" s="38"/>
      <c r="J165" s="38"/>
      <c r="K165" s="62"/>
      <c r="L165" s="38"/>
      <c r="M165" s="38"/>
      <c r="N165" s="38"/>
    </row>
    <row r="166" spans="5:14" ht="15.75">
      <c r="E166" s="38"/>
      <c r="F166" s="38"/>
      <c r="G166" s="38"/>
      <c r="H166" s="38"/>
      <c r="I166" s="38"/>
      <c r="J166" s="38"/>
      <c r="K166" s="62"/>
      <c r="L166" s="38"/>
      <c r="M166" s="38"/>
      <c r="N166" s="38"/>
    </row>
    <row r="167" spans="5:14" ht="15.75">
      <c r="E167" s="38"/>
      <c r="F167" s="38"/>
      <c r="G167" s="38"/>
      <c r="H167" s="38"/>
      <c r="I167" s="38"/>
      <c r="J167" s="38"/>
      <c r="K167" s="62"/>
      <c r="L167" s="38"/>
      <c r="M167" s="38"/>
      <c r="N167" s="38"/>
    </row>
    <row r="168" spans="5:14" ht="15.75">
      <c r="E168" s="38"/>
      <c r="F168" s="38"/>
      <c r="G168" s="38"/>
      <c r="H168" s="38"/>
      <c r="I168" s="38"/>
      <c r="J168" s="38"/>
      <c r="K168" s="62"/>
      <c r="L168" s="38"/>
      <c r="M168" s="38"/>
      <c r="N168" s="38"/>
    </row>
    <row r="169" spans="5:14" ht="15.75">
      <c r="E169" s="38"/>
      <c r="F169" s="38"/>
      <c r="G169" s="38"/>
      <c r="H169" s="38"/>
      <c r="I169" s="38"/>
      <c r="J169" s="38"/>
      <c r="K169" s="62"/>
      <c r="L169" s="38"/>
      <c r="M169" s="38"/>
      <c r="N169" s="38"/>
    </row>
    <row r="170" spans="5:14" ht="15.75">
      <c r="E170" s="38"/>
      <c r="F170" s="38"/>
      <c r="G170" s="38"/>
      <c r="H170" s="38"/>
      <c r="I170" s="38"/>
      <c r="J170" s="38"/>
      <c r="K170" s="62"/>
      <c r="L170" s="38"/>
      <c r="M170" s="38"/>
      <c r="N170" s="38"/>
    </row>
    <row r="171" spans="5:14" ht="15.75">
      <c r="E171" s="38"/>
      <c r="F171" s="38"/>
      <c r="G171" s="38"/>
      <c r="H171" s="38"/>
      <c r="I171" s="38"/>
      <c r="J171" s="38"/>
      <c r="K171" s="62"/>
      <c r="L171" s="38"/>
      <c r="M171" s="38"/>
      <c r="N171" s="38"/>
    </row>
    <row r="172" spans="5:14" ht="15.75">
      <c r="E172" s="38"/>
      <c r="F172" s="38"/>
      <c r="G172" s="38"/>
      <c r="H172" s="38"/>
      <c r="I172" s="38"/>
      <c r="J172" s="38"/>
      <c r="K172" s="62"/>
      <c r="L172" s="38"/>
      <c r="M172" s="38"/>
      <c r="N172" s="38"/>
    </row>
    <row r="173" spans="5:14" ht="15.75">
      <c r="E173" s="38"/>
      <c r="F173" s="38"/>
      <c r="G173" s="38"/>
      <c r="H173" s="38"/>
      <c r="I173" s="38"/>
      <c r="J173" s="38"/>
      <c r="K173" s="62"/>
      <c r="L173" s="38"/>
      <c r="M173" s="38"/>
      <c r="N173" s="38"/>
    </row>
    <row r="174" spans="5:14" ht="15.75">
      <c r="E174" s="38"/>
      <c r="F174" s="38"/>
      <c r="G174" s="38"/>
      <c r="H174" s="38"/>
      <c r="I174" s="38"/>
      <c r="J174" s="38"/>
      <c r="K174" s="62"/>
      <c r="L174" s="38"/>
      <c r="M174" s="38"/>
      <c r="N174" s="38"/>
    </row>
    <row r="175" spans="5:14" ht="15.75">
      <c r="E175" s="38"/>
      <c r="F175" s="38"/>
      <c r="G175" s="38"/>
      <c r="H175" s="38"/>
      <c r="I175" s="38"/>
      <c r="J175" s="38"/>
      <c r="K175" s="62"/>
      <c r="L175" s="38"/>
      <c r="M175" s="38"/>
      <c r="N175" s="38"/>
    </row>
    <row r="176" spans="5:14" ht="15.75">
      <c r="E176" s="38"/>
      <c r="F176" s="38"/>
      <c r="G176" s="38"/>
      <c r="H176" s="38"/>
      <c r="I176" s="38"/>
      <c r="J176" s="38"/>
      <c r="K176" s="62"/>
      <c r="L176" s="38"/>
      <c r="M176" s="38"/>
      <c r="N176" s="38"/>
    </row>
    <row r="177" spans="5:14" ht="15.75">
      <c r="E177" s="38"/>
      <c r="F177" s="38"/>
      <c r="G177" s="38"/>
      <c r="H177" s="38"/>
      <c r="I177" s="38"/>
      <c r="J177" s="38"/>
      <c r="K177" s="62"/>
      <c r="L177" s="38"/>
      <c r="M177" s="38"/>
      <c r="N177" s="38"/>
    </row>
    <row r="178" spans="5:14" ht="15.75">
      <c r="E178" s="38"/>
      <c r="F178" s="38"/>
      <c r="G178" s="38"/>
      <c r="H178" s="38"/>
      <c r="I178" s="38"/>
      <c r="J178" s="38"/>
      <c r="K178" s="62"/>
      <c r="L178" s="38"/>
      <c r="M178" s="38"/>
      <c r="N178" s="38"/>
    </row>
    <row r="179" spans="5:14" ht="15.75">
      <c r="E179" s="38"/>
      <c r="F179" s="38"/>
      <c r="G179" s="38"/>
      <c r="H179" s="38"/>
      <c r="I179" s="38"/>
      <c r="J179" s="38"/>
      <c r="K179" s="62"/>
      <c r="L179" s="38"/>
      <c r="M179" s="38"/>
      <c r="N179" s="38"/>
    </row>
    <row r="180" spans="5:14" ht="15.75">
      <c r="E180" s="38"/>
      <c r="F180" s="38"/>
      <c r="G180" s="38"/>
      <c r="H180" s="38"/>
      <c r="I180" s="38"/>
      <c r="J180" s="38"/>
      <c r="K180" s="62"/>
      <c r="L180" s="38"/>
      <c r="M180" s="38"/>
      <c r="N180" s="38"/>
    </row>
    <row r="181" spans="5:14" ht="15.75">
      <c r="E181" s="38"/>
      <c r="F181" s="38"/>
      <c r="G181" s="38"/>
      <c r="H181" s="38"/>
      <c r="I181" s="38"/>
      <c r="J181" s="38"/>
      <c r="K181" s="62"/>
      <c r="L181" s="38"/>
      <c r="M181" s="38"/>
      <c r="N181" s="38"/>
    </row>
    <row r="182" spans="5:14" ht="15.75">
      <c r="E182" s="38"/>
      <c r="F182" s="38"/>
      <c r="G182" s="38"/>
      <c r="H182" s="38"/>
      <c r="I182" s="38"/>
      <c r="J182" s="38"/>
      <c r="K182" s="62"/>
      <c r="L182" s="38"/>
      <c r="M182" s="38"/>
      <c r="N182" s="38"/>
    </row>
    <row r="183" spans="5:14" ht="15.75">
      <c r="E183" s="38"/>
      <c r="F183" s="38"/>
      <c r="G183" s="38"/>
      <c r="H183" s="38"/>
      <c r="I183" s="38"/>
      <c r="J183" s="38"/>
      <c r="K183" s="62"/>
      <c r="L183" s="38"/>
      <c r="M183" s="38"/>
      <c r="N183" s="38"/>
    </row>
    <row r="184" spans="5:14" ht="15.75">
      <c r="E184" s="38"/>
      <c r="F184" s="38"/>
      <c r="G184" s="38"/>
      <c r="H184" s="38"/>
      <c r="I184" s="38"/>
      <c r="J184" s="38"/>
      <c r="K184" s="62"/>
      <c r="L184" s="38"/>
      <c r="M184" s="38"/>
      <c r="N184" s="38"/>
    </row>
    <row r="185" spans="5:14" ht="15.75">
      <c r="E185" s="38"/>
      <c r="F185" s="38"/>
      <c r="G185" s="38"/>
      <c r="H185" s="38"/>
      <c r="I185" s="38"/>
      <c r="J185" s="38"/>
      <c r="K185" s="62"/>
      <c r="L185" s="38"/>
      <c r="M185" s="38"/>
      <c r="N185" s="38"/>
    </row>
    <row r="186" spans="5:14" ht="15.75">
      <c r="E186" s="38"/>
      <c r="F186" s="38"/>
      <c r="G186" s="38"/>
      <c r="H186" s="38"/>
      <c r="I186" s="38"/>
      <c r="J186" s="38"/>
      <c r="K186" s="62"/>
      <c r="L186" s="38"/>
      <c r="M186" s="38"/>
      <c r="N186" s="38"/>
    </row>
    <row r="187" spans="5:14" ht="15.75">
      <c r="E187" s="38"/>
      <c r="F187" s="38"/>
      <c r="G187" s="38"/>
      <c r="H187" s="38"/>
      <c r="I187" s="38"/>
      <c r="J187" s="38"/>
      <c r="K187" s="62"/>
      <c r="L187" s="38"/>
      <c r="M187" s="38"/>
      <c r="N187" s="38"/>
    </row>
    <row r="188" spans="5:14" ht="15.75">
      <c r="E188" s="38"/>
      <c r="F188" s="38"/>
      <c r="G188" s="38"/>
      <c r="H188" s="38"/>
      <c r="I188" s="38"/>
      <c r="J188" s="38"/>
      <c r="K188" s="62"/>
      <c r="L188" s="38"/>
      <c r="M188" s="38"/>
      <c r="N188" s="38"/>
    </row>
    <row r="189" spans="5:14" ht="15.75">
      <c r="E189" s="38"/>
      <c r="F189" s="38"/>
      <c r="G189" s="38"/>
      <c r="H189" s="38"/>
      <c r="I189" s="38"/>
      <c r="J189" s="38"/>
      <c r="K189" s="62"/>
      <c r="L189" s="38"/>
      <c r="M189" s="38"/>
      <c r="N189" s="38"/>
    </row>
    <row r="190" spans="5:14" ht="15.75">
      <c r="E190" s="38"/>
      <c r="F190" s="38"/>
      <c r="G190" s="38"/>
      <c r="H190" s="38"/>
      <c r="I190" s="38"/>
      <c r="J190" s="38"/>
      <c r="K190" s="62"/>
      <c r="L190" s="38"/>
      <c r="M190" s="38"/>
      <c r="N190" s="38"/>
    </row>
    <row r="191" spans="5:14" ht="15.75">
      <c r="E191" s="38"/>
      <c r="F191" s="38"/>
      <c r="G191" s="38"/>
      <c r="H191" s="38"/>
      <c r="I191" s="38"/>
      <c r="J191" s="38"/>
      <c r="K191" s="62"/>
      <c r="L191" s="38"/>
      <c r="M191" s="38"/>
      <c r="N191" s="38"/>
    </row>
    <row r="192" spans="5:14" ht="15.75">
      <c r="E192" s="38"/>
      <c r="F192" s="38"/>
      <c r="G192" s="38"/>
      <c r="H192" s="38"/>
      <c r="I192" s="38"/>
      <c r="J192" s="38"/>
      <c r="K192" s="62"/>
      <c r="L192" s="38"/>
      <c r="M192" s="38"/>
      <c r="N192" s="38"/>
    </row>
    <row r="193" spans="5:14" ht="15.75">
      <c r="E193" s="38"/>
      <c r="F193" s="38"/>
      <c r="G193" s="38"/>
      <c r="H193" s="38"/>
      <c r="I193" s="38"/>
      <c r="J193" s="38"/>
      <c r="K193" s="62"/>
      <c r="L193" s="38"/>
      <c r="M193" s="38"/>
      <c r="N193" s="38"/>
    </row>
    <row r="194" spans="5:14" ht="15.75">
      <c r="E194" s="38"/>
      <c r="F194" s="38"/>
      <c r="G194" s="38"/>
      <c r="H194" s="38"/>
      <c r="I194" s="38"/>
      <c r="J194" s="38"/>
      <c r="K194" s="62"/>
      <c r="L194" s="38"/>
      <c r="M194" s="38"/>
      <c r="N194" s="38"/>
    </row>
    <row r="195" spans="5:14" ht="15.75">
      <c r="E195" s="38"/>
      <c r="F195" s="38"/>
      <c r="G195" s="38"/>
      <c r="H195" s="38"/>
      <c r="I195" s="38"/>
      <c r="J195" s="38"/>
      <c r="K195" s="62"/>
      <c r="L195" s="38"/>
      <c r="M195" s="38"/>
      <c r="N195" s="38"/>
    </row>
    <row r="196" spans="5:14" ht="15.75">
      <c r="E196" s="38"/>
      <c r="F196" s="38"/>
      <c r="G196" s="38"/>
      <c r="H196" s="38"/>
      <c r="I196" s="38"/>
      <c r="J196" s="38"/>
      <c r="K196" s="62"/>
      <c r="L196" s="38"/>
      <c r="M196" s="38"/>
      <c r="N196" s="38"/>
    </row>
    <row r="197" spans="5:14" ht="15.75">
      <c r="E197" s="38"/>
      <c r="F197" s="38"/>
      <c r="G197" s="38"/>
      <c r="H197" s="38"/>
      <c r="I197" s="38"/>
      <c r="J197" s="38"/>
      <c r="K197" s="62"/>
      <c r="L197" s="38"/>
      <c r="M197" s="38"/>
      <c r="N197" s="38"/>
    </row>
    <row r="198" spans="5:14" ht="15.75">
      <c r="E198" s="38"/>
      <c r="F198" s="38"/>
      <c r="G198" s="38"/>
      <c r="H198" s="38"/>
      <c r="I198" s="38"/>
      <c r="J198" s="38"/>
      <c r="K198" s="62"/>
      <c r="L198" s="38"/>
      <c r="M198" s="38"/>
      <c r="N198" s="38"/>
    </row>
    <row r="199" spans="5:14" ht="15.75">
      <c r="E199" s="38"/>
      <c r="F199" s="38"/>
      <c r="G199" s="38"/>
      <c r="H199" s="38"/>
      <c r="I199" s="38"/>
      <c r="J199" s="38"/>
      <c r="K199" s="62"/>
      <c r="L199" s="38"/>
      <c r="M199" s="38"/>
      <c r="N199" s="38"/>
    </row>
    <row r="200" spans="5:14" ht="15.75">
      <c r="E200" s="38"/>
      <c r="F200" s="38"/>
      <c r="G200" s="38"/>
      <c r="H200" s="38"/>
      <c r="I200" s="38"/>
      <c r="J200" s="38"/>
      <c r="K200" s="62"/>
      <c r="L200" s="38"/>
      <c r="M200" s="38"/>
      <c r="N200" s="38"/>
    </row>
    <row r="201" spans="5:14" ht="15.75">
      <c r="E201" s="38"/>
      <c r="F201" s="38"/>
      <c r="G201" s="38"/>
      <c r="H201" s="38"/>
      <c r="I201" s="38"/>
      <c r="J201" s="38"/>
      <c r="K201" s="62"/>
      <c r="L201" s="38"/>
      <c r="M201" s="38"/>
      <c r="N201" s="38"/>
    </row>
    <row r="202" spans="5:14" ht="15.75">
      <c r="E202" s="38"/>
      <c r="F202" s="38"/>
      <c r="G202" s="38"/>
      <c r="H202" s="38"/>
      <c r="I202" s="38"/>
      <c r="J202" s="38"/>
      <c r="K202" s="62"/>
      <c r="L202" s="38"/>
      <c r="M202" s="38"/>
      <c r="N202" s="38"/>
    </row>
    <row r="203" spans="5:14" ht="15.75">
      <c r="E203" s="38"/>
      <c r="F203" s="38"/>
      <c r="G203" s="38"/>
      <c r="H203" s="38"/>
      <c r="I203" s="38"/>
      <c r="J203" s="38"/>
      <c r="K203" s="62"/>
      <c r="L203" s="38"/>
      <c r="M203" s="38"/>
      <c r="N203" s="38"/>
    </row>
    <row r="204" spans="5:14" ht="15.75">
      <c r="E204" s="38"/>
      <c r="F204" s="38"/>
      <c r="G204" s="38"/>
      <c r="H204" s="38"/>
      <c r="I204" s="38"/>
      <c r="J204" s="38"/>
      <c r="K204" s="62"/>
      <c r="L204" s="38"/>
      <c r="M204" s="38"/>
      <c r="N204" s="38"/>
    </row>
    <row r="205" spans="5:14" ht="15.75">
      <c r="E205" s="38"/>
      <c r="F205" s="38"/>
      <c r="G205" s="38"/>
      <c r="H205" s="38"/>
      <c r="I205" s="38"/>
      <c r="J205" s="38"/>
      <c r="K205" s="62"/>
      <c r="L205" s="38"/>
      <c r="M205" s="38"/>
      <c r="N205" s="38"/>
    </row>
    <row r="206" spans="5:14" ht="15.75">
      <c r="E206" s="38"/>
      <c r="F206" s="38"/>
      <c r="G206" s="38"/>
      <c r="H206" s="38"/>
      <c r="I206" s="38"/>
      <c r="J206" s="38"/>
      <c r="K206" s="62"/>
      <c r="L206" s="38"/>
      <c r="M206" s="38"/>
      <c r="N206" s="38"/>
    </row>
    <row r="207" spans="5:14" ht="15.75">
      <c r="E207" s="38"/>
      <c r="F207" s="38"/>
      <c r="G207" s="38"/>
      <c r="H207" s="38"/>
      <c r="I207" s="38"/>
      <c r="J207" s="38"/>
      <c r="K207" s="62"/>
      <c r="L207" s="38"/>
      <c r="M207" s="38"/>
      <c r="N207" s="38"/>
    </row>
    <row r="208" spans="5:14" ht="15.75">
      <c r="E208" s="38"/>
      <c r="F208" s="38"/>
      <c r="G208" s="38"/>
      <c r="H208" s="38"/>
      <c r="I208" s="38"/>
      <c r="J208" s="38"/>
      <c r="K208" s="62"/>
      <c r="L208" s="38"/>
      <c r="M208" s="38"/>
      <c r="N208" s="38"/>
    </row>
    <row r="209" spans="5:14" ht="15.75">
      <c r="E209" s="38"/>
      <c r="F209" s="38"/>
      <c r="G209" s="38"/>
      <c r="H209" s="38"/>
      <c r="I209" s="38"/>
      <c r="J209" s="38"/>
      <c r="K209" s="62"/>
      <c r="L209" s="38"/>
      <c r="M209" s="38"/>
      <c r="N209" s="38"/>
    </row>
    <row r="210" spans="5:14" ht="15.75">
      <c r="E210" s="38"/>
      <c r="F210" s="38"/>
      <c r="G210" s="38"/>
      <c r="H210" s="38"/>
      <c r="I210" s="38"/>
      <c r="J210" s="38"/>
      <c r="K210" s="62"/>
      <c r="L210" s="38"/>
      <c r="M210" s="38"/>
      <c r="N210" s="38"/>
    </row>
    <row r="211" spans="5:14" ht="15.75">
      <c r="E211" s="38"/>
      <c r="F211" s="38"/>
      <c r="G211" s="38"/>
      <c r="H211" s="38"/>
      <c r="I211" s="38"/>
      <c r="J211" s="38"/>
      <c r="K211" s="62"/>
      <c r="L211" s="38"/>
      <c r="M211" s="38"/>
      <c r="N211" s="38"/>
    </row>
    <row r="212" spans="5:14" ht="15.75">
      <c r="E212" s="38"/>
      <c r="F212" s="38"/>
      <c r="G212" s="38"/>
      <c r="H212" s="38"/>
      <c r="I212" s="38"/>
      <c r="J212" s="38"/>
      <c r="K212" s="62"/>
      <c r="L212" s="38"/>
      <c r="M212" s="38"/>
      <c r="N212" s="38"/>
    </row>
    <row r="213" spans="5:14" ht="15.75">
      <c r="E213" s="38"/>
      <c r="F213" s="38"/>
      <c r="G213" s="38"/>
      <c r="H213" s="38"/>
      <c r="I213" s="38"/>
      <c r="J213" s="38"/>
      <c r="K213" s="62"/>
      <c r="L213" s="38"/>
      <c r="M213" s="38"/>
      <c r="N213" s="38"/>
    </row>
    <row r="214" spans="5:14" ht="15.75">
      <c r="E214" s="38"/>
      <c r="F214" s="38"/>
      <c r="G214" s="38"/>
      <c r="H214" s="38"/>
      <c r="I214" s="38"/>
      <c r="J214" s="38"/>
      <c r="K214" s="62"/>
      <c r="L214" s="38"/>
      <c r="M214" s="38"/>
      <c r="N214" s="38"/>
    </row>
    <row r="215" spans="5:14" ht="15.75">
      <c r="E215" s="38"/>
      <c r="F215" s="38"/>
      <c r="G215" s="38"/>
      <c r="H215" s="38"/>
      <c r="I215" s="38"/>
      <c r="J215" s="38"/>
      <c r="K215" s="62"/>
      <c r="L215" s="38"/>
      <c r="M215" s="38"/>
      <c r="N215" s="38"/>
    </row>
    <row r="216" spans="5:14" ht="15.75">
      <c r="E216" s="38"/>
      <c r="F216" s="38"/>
      <c r="G216" s="38"/>
      <c r="H216" s="38"/>
      <c r="I216" s="38"/>
      <c r="J216" s="38"/>
      <c r="K216" s="62"/>
      <c r="L216" s="38"/>
      <c r="M216" s="38"/>
      <c r="N216" s="38"/>
    </row>
    <row r="217" spans="5:14" ht="15.75">
      <c r="E217" s="38"/>
      <c r="F217" s="38"/>
      <c r="G217" s="38"/>
      <c r="H217" s="38"/>
      <c r="I217" s="38"/>
      <c r="J217" s="38"/>
      <c r="K217" s="62"/>
      <c r="L217" s="38"/>
      <c r="M217" s="38"/>
      <c r="N217" s="38"/>
    </row>
    <row r="218" spans="5:14" ht="15.75">
      <c r="E218" s="38"/>
      <c r="F218" s="38"/>
      <c r="G218" s="38"/>
      <c r="H218" s="38"/>
      <c r="I218" s="38"/>
      <c r="J218" s="38"/>
      <c r="K218" s="62"/>
      <c r="L218" s="38"/>
      <c r="M218" s="38"/>
      <c r="N218" s="38"/>
    </row>
    <row r="219" spans="5:14" ht="15.75">
      <c r="E219" s="38"/>
      <c r="F219" s="38"/>
      <c r="G219" s="38"/>
      <c r="H219" s="38"/>
      <c r="I219" s="38"/>
      <c r="J219" s="38"/>
      <c r="K219" s="62"/>
      <c r="L219" s="38"/>
      <c r="M219" s="38"/>
      <c r="N219" s="38"/>
    </row>
    <row r="220" spans="5:14" ht="15.75">
      <c r="E220" s="38"/>
      <c r="F220" s="38"/>
      <c r="G220" s="38"/>
      <c r="H220" s="38"/>
      <c r="I220" s="38"/>
      <c r="J220" s="38"/>
      <c r="K220" s="62"/>
      <c r="L220" s="38"/>
      <c r="M220" s="38"/>
      <c r="N220" s="38"/>
    </row>
    <row r="221" spans="5:14" ht="15.75">
      <c r="E221" s="38"/>
      <c r="F221" s="38"/>
      <c r="G221" s="38"/>
      <c r="H221" s="38"/>
      <c r="I221" s="38"/>
      <c r="J221" s="38"/>
      <c r="K221" s="62"/>
      <c r="L221" s="38"/>
      <c r="M221" s="38"/>
      <c r="N221" s="38"/>
    </row>
    <row r="222" spans="5:14" ht="15.75">
      <c r="E222" s="38"/>
      <c r="F222" s="38"/>
      <c r="G222" s="38"/>
      <c r="H222" s="38"/>
      <c r="I222" s="38"/>
      <c r="J222" s="38"/>
      <c r="K222" s="62"/>
      <c r="L222" s="38"/>
      <c r="M222" s="38"/>
      <c r="N222" s="38"/>
    </row>
    <row r="223" spans="5:14" ht="15.75">
      <c r="E223" s="38"/>
      <c r="F223" s="38"/>
      <c r="G223" s="38"/>
      <c r="H223" s="38"/>
      <c r="I223" s="38"/>
      <c r="J223" s="38"/>
      <c r="K223" s="62"/>
      <c r="L223" s="38"/>
      <c r="M223" s="38"/>
      <c r="N223" s="38"/>
    </row>
    <row r="224" spans="5:14" ht="15.75">
      <c r="E224" s="38"/>
      <c r="F224" s="38"/>
      <c r="G224" s="38"/>
      <c r="H224" s="38"/>
      <c r="I224" s="38"/>
      <c r="J224" s="38"/>
      <c r="K224" s="62"/>
      <c r="L224" s="38"/>
      <c r="M224" s="38"/>
      <c r="N224" s="38"/>
    </row>
    <row r="225" spans="5:14" ht="15.75">
      <c r="E225" s="38"/>
      <c r="F225" s="38"/>
      <c r="G225" s="38"/>
      <c r="H225" s="38"/>
      <c r="I225" s="38"/>
      <c r="J225" s="38"/>
      <c r="K225" s="62"/>
      <c r="L225" s="38"/>
      <c r="M225" s="38"/>
      <c r="N225" s="38"/>
    </row>
    <row r="226" spans="5:14" ht="15.75">
      <c r="E226" s="38"/>
      <c r="F226" s="38"/>
      <c r="G226" s="38"/>
      <c r="H226" s="38"/>
      <c r="I226" s="38"/>
      <c r="J226" s="38"/>
      <c r="K226" s="62"/>
      <c r="L226" s="38"/>
      <c r="M226" s="38"/>
      <c r="N226" s="38"/>
    </row>
    <row r="227" spans="5:14" ht="15.75">
      <c r="E227" s="38"/>
      <c r="F227" s="38"/>
      <c r="G227" s="38"/>
      <c r="H227" s="38"/>
      <c r="I227" s="38"/>
      <c r="J227" s="38"/>
      <c r="K227" s="62"/>
      <c r="L227" s="38"/>
      <c r="M227" s="38"/>
      <c r="N227" s="38"/>
    </row>
    <row r="228" spans="5:14" ht="15.75">
      <c r="E228" s="38"/>
      <c r="F228" s="38"/>
      <c r="G228" s="38"/>
      <c r="H228" s="38"/>
      <c r="I228" s="38"/>
      <c r="J228" s="38"/>
      <c r="K228" s="62"/>
      <c r="L228" s="38"/>
      <c r="M228" s="38"/>
      <c r="N228" s="38"/>
    </row>
    <row r="229" spans="5:14" ht="15.75">
      <c r="E229" s="38"/>
      <c r="F229" s="38"/>
      <c r="G229" s="38"/>
      <c r="H229" s="38"/>
      <c r="I229" s="38"/>
      <c r="J229" s="38"/>
      <c r="K229" s="62"/>
      <c r="L229" s="38"/>
      <c r="M229" s="38"/>
      <c r="N229" s="38"/>
    </row>
    <row r="230" spans="5:14" ht="15.75">
      <c r="E230" s="38"/>
      <c r="F230" s="38"/>
      <c r="G230" s="38"/>
      <c r="H230" s="38"/>
      <c r="I230" s="38"/>
      <c r="J230" s="38"/>
      <c r="K230" s="62"/>
      <c r="L230" s="38"/>
      <c r="M230" s="38"/>
      <c r="N230" s="38"/>
    </row>
    <row r="231" spans="5:14" ht="15.75">
      <c r="E231" s="38"/>
      <c r="F231" s="38"/>
      <c r="G231" s="38"/>
      <c r="H231" s="38"/>
      <c r="I231" s="38"/>
      <c r="J231" s="38"/>
      <c r="K231" s="62"/>
      <c r="L231" s="38"/>
      <c r="M231" s="38"/>
      <c r="N231" s="38"/>
    </row>
    <row r="232" spans="5:14" ht="15.75">
      <c r="E232" s="38"/>
      <c r="F232" s="38"/>
      <c r="G232" s="38"/>
      <c r="H232" s="38"/>
      <c r="I232" s="38"/>
      <c r="J232" s="38"/>
      <c r="K232" s="62"/>
      <c r="L232" s="38"/>
      <c r="M232" s="38"/>
      <c r="N232" s="38"/>
    </row>
    <row r="233" spans="5:14" ht="15.75">
      <c r="E233" s="38"/>
      <c r="F233" s="38"/>
      <c r="G233" s="38"/>
      <c r="H233" s="38"/>
      <c r="I233" s="38"/>
      <c r="J233" s="38"/>
      <c r="K233" s="62"/>
      <c r="L233" s="38"/>
      <c r="M233" s="38"/>
      <c r="N233" s="38"/>
    </row>
    <row r="234" spans="5:14" ht="15.75">
      <c r="E234" s="38"/>
      <c r="F234" s="38"/>
      <c r="G234" s="38"/>
      <c r="H234" s="38"/>
      <c r="I234" s="38"/>
      <c r="J234" s="38"/>
      <c r="K234" s="62"/>
      <c r="L234" s="38"/>
      <c r="M234" s="38"/>
      <c r="N234" s="38"/>
    </row>
    <row r="235" spans="5:14" ht="15.75">
      <c r="E235" s="38"/>
      <c r="F235" s="38"/>
      <c r="G235" s="38"/>
      <c r="H235" s="38"/>
      <c r="I235" s="38"/>
      <c r="J235" s="38"/>
      <c r="K235" s="62"/>
      <c r="L235" s="38"/>
      <c r="M235" s="38"/>
      <c r="N235" s="38"/>
    </row>
    <row r="236" spans="5:14" ht="15.75">
      <c r="E236" s="38"/>
      <c r="F236" s="38"/>
      <c r="G236" s="38"/>
      <c r="H236" s="38"/>
      <c r="I236" s="38"/>
      <c r="J236" s="38"/>
      <c r="K236" s="62"/>
      <c r="L236" s="38"/>
      <c r="M236" s="38"/>
      <c r="N236" s="38"/>
    </row>
    <row r="237" spans="5:14" ht="15.75">
      <c r="E237" s="38"/>
      <c r="F237" s="38"/>
      <c r="G237" s="38"/>
      <c r="H237" s="38"/>
      <c r="I237" s="38"/>
      <c r="J237" s="38"/>
      <c r="K237" s="62"/>
      <c r="L237" s="38"/>
      <c r="M237" s="38"/>
      <c r="N237" s="38"/>
    </row>
    <row r="238" spans="5:14" ht="15.75">
      <c r="E238" s="38"/>
      <c r="F238" s="38"/>
      <c r="G238" s="38"/>
      <c r="H238" s="38"/>
      <c r="I238" s="38"/>
      <c r="J238" s="38"/>
      <c r="K238" s="62"/>
      <c r="L238" s="38"/>
      <c r="M238" s="38"/>
      <c r="N238" s="38"/>
    </row>
    <row r="239" spans="5:14" ht="15.75">
      <c r="E239" s="38"/>
      <c r="F239" s="38"/>
      <c r="G239" s="38"/>
      <c r="H239" s="38"/>
      <c r="I239" s="38"/>
      <c r="J239" s="38"/>
      <c r="K239" s="62"/>
      <c r="L239" s="38"/>
      <c r="M239" s="38"/>
      <c r="N239" s="38"/>
    </row>
  </sheetData>
  <autoFilter ref="A2:R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D3:D117">
    <cfRule type="expression" priority="1" dxfId="2" stopIfTrue="1">
      <formula>M3&lt;1</formula>
    </cfRule>
  </conditionalFormatting>
  <conditionalFormatting sqref="F69 I109:J109 G3:G119">
    <cfRule type="cellIs" priority="2" dxfId="1" operator="lessThan" stopIfTrue="1">
      <formula>0</formula>
    </cfRule>
  </conditionalFormatting>
  <printOptions/>
  <pageMargins left="0" right="0" top="0" bottom="0" header="0" footer="0"/>
  <pageSetup cellComments="asDisplayed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indexed="33"/>
    <pageSetUpPr fitToPage="1"/>
  </sheetPr>
  <dimension ref="A1:V228"/>
  <sheetViews>
    <sheetView zoomScale="75" zoomScaleNormal="75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4.3359375" style="37" customWidth="1"/>
    <col min="5" max="5" width="10.3359375" style="37" hidden="1" customWidth="1"/>
    <col min="6" max="6" width="16.77734375" style="37" customWidth="1"/>
    <col min="7" max="7" width="16.3359375" style="37" customWidth="1"/>
    <col min="8" max="8" width="15.5546875" style="37" customWidth="1"/>
    <col min="9" max="9" width="11.6640625" style="37" customWidth="1"/>
    <col min="10" max="10" width="12.6640625" style="37" customWidth="1"/>
    <col min="11" max="11" width="16.5546875" style="63" customWidth="1"/>
    <col min="12" max="12" width="12.99609375" style="37" customWidth="1"/>
    <col min="13" max="13" width="18.5546875" style="37" customWidth="1"/>
    <col min="14" max="16384" width="8.88671875" style="37" customWidth="1"/>
  </cols>
  <sheetData>
    <row r="1" spans="1:13" s="59" customFormat="1" ht="15.75">
      <c r="A1" s="56" t="s">
        <v>118</v>
      </c>
      <c r="B1" s="56" t="s">
        <v>120</v>
      </c>
      <c r="C1" s="56" t="s">
        <v>171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5.75">
      <c r="A2" s="57" t="s">
        <v>119</v>
      </c>
      <c r="B2" s="57" t="s">
        <v>137</v>
      </c>
      <c r="C2" s="57" t="s">
        <v>172</v>
      </c>
      <c r="D2" s="57" t="s">
        <v>210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.75">
      <c r="A3" s="37">
        <v>3520</v>
      </c>
      <c r="B3" s="36">
        <v>11094</v>
      </c>
      <c r="C3" s="22">
        <v>938585</v>
      </c>
      <c r="D3" s="40" t="s">
        <v>176</v>
      </c>
      <c r="E3" s="83"/>
      <c r="F3" s="58">
        <f>6459.75-3.9</f>
        <v>6455.85</v>
      </c>
      <c r="G3" s="92">
        <v>-10313.54</v>
      </c>
      <c r="H3" s="58">
        <v>71056.26</v>
      </c>
      <c r="I3" s="58"/>
      <c r="J3" s="58"/>
      <c r="K3" s="133">
        <f>VLOOKUP(C3,'[4]PERIOD 2 TOTALS.'!$A$2:$I$128,9,0)</f>
        <v>64600.41</v>
      </c>
      <c r="L3" s="138" t="s">
        <v>228</v>
      </c>
      <c r="M3" s="38">
        <v>100696780</v>
      </c>
    </row>
    <row r="4" spans="1:17" ht="16.5" thickBot="1">
      <c r="A4" s="37">
        <v>3317</v>
      </c>
      <c r="B4" s="36">
        <v>10042</v>
      </c>
      <c r="C4" s="22">
        <v>938350</v>
      </c>
      <c r="D4" s="40" t="s">
        <v>18</v>
      </c>
      <c r="E4" s="41"/>
      <c r="F4" s="40">
        <f>2077.87-18.62</f>
        <v>2059.25</v>
      </c>
      <c r="G4" s="92">
        <v>-27216.95</v>
      </c>
      <c r="H4" s="83">
        <v>181018.35</v>
      </c>
      <c r="I4" s="41"/>
      <c r="J4" s="41"/>
      <c r="K4" s="133">
        <f>VLOOKUP(C4,'[4]PERIOD 2 TOTALS.'!$A$2:$I$128,9,0)</f>
        <v>178959.25</v>
      </c>
      <c r="L4" s="41" t="s">
        <v>236</v>
      </c>
      <c r="M4" s="86">
        <v>100701269</v>
      </c>
      <c r="N4" s="38"/>
      <c r="O4" s="38"/>
      <c r="P4" s="38"/>
      <c r="Q4" s="38"/>
    </row>
    <row r="5" spans="1:17" ht="16.5" thickBot="1">
      <c r="A5" s="37">
        <v>3300</v>
      </c>
      <c r="B5" s="37">
        <v>10040</v>
      </c>
      <c r="C5" s="47">
        <v>938282</v>
      </c>
      <c r="D5" s="40" t="s">
        <v>17</v>
      </c>
      <c r="E5" s="41"/>
      <c r="F5" s="83">
        <v>3811.18</v>
      </c>
      <c r="G5" s="92">
        <v>-42300.39</v>
      </c>
      <c r="H5" s="83">
        <v>122376.08</v>
      </c>
      <c r="I5" s="41"/>
      <c r="J5" s="41"/>
      <c r="K5" s="133">
        <f>VLOOKUP(C5,'[4]PERIOD 2 TOTALS.'!$A$2:$I$128,9,0)</f>
        <v>118564.9</v>
      </c>
      <c r="L5" s="40" t="s">
        <v>238</v>
      </c>
      <c r="M5" s="40">
        <v>100701718</v>
      </c>
      <c r="N5" s="38"/>
      <c r="O5" s="38"/>
      <c r="P5" s="38"/>
      <c r="Q5" s="38"/>
    </row>
    <row r="6" spans="1:17" ht="16.5" thickBot="1">
      <c r="A6" s="37">
        <v>3500</v>
      </c>
      <c r="B6" s="37">
        <v>10043</v>
      </c>
      <c r="C6" s="47">
        <v>938355</v>
      </c>
      <c r="D6" s="40" t="s">
        <v>20</v>
      </c>
      <c r="E6" s="41"/>
      <c r="F6" s="83">
        <v>1062.8</v>
      </c>
      <c r="G6" s="92">
        <v>-50515.73</v>
      </c>
      <c r="H6" s="83">
        <v>146159.46</v>
      </c>
      <c r="I6" s="41"/>
      <c r="J6" s="41"/>
      <c r="K6" s="133">
        <f>VLOOKUP(C6,'[4]PERIOD 2 TOTALS.'!$A$2:$I$128,9,0)</f>
        <v>145096.66</v>
      </c>
      <c r="L6" s="40" t="s">
        <v>238</v>
      </c>
      <c r="M6" s="40">
        <v>100701715</v>
      </c>
      <c r="N6" s="38"/>
      <c r="O6" s="38"/>
      <c r="P6" s="38"/>
      <c r="Q6" s="38"/>
    </row>
    <row r="7" spans="1:17" ht="16.5" thickBot="1">
      <c r="A7" s="37">
        <v>3514</v>
      </c>
      <c r="B7" s="37">
        <v>10117</v>
      </c>
      <c r="C7" s="47">
        <v>938415</v>
      </c>
      <c r="D7" s="40" t="s">
        <v>19</v>
      </c>
      <c r="E7" s="41"/>
      <c r="F7" s="83">
        <f>2396.74-16.45</f>
        <v>2380.29</v>
      </c>
      <c r="G7" s="92">
        <v>-43956.67</v>
      </c>
      <c r="H7" s="83">
        <v>89228.41</v>
      </c>
      <c r="I7" s="41"/>
      <c r="J7" s="41"/>
      <c r="K7" s="133">
        <f>VLOOKUP(C7,'[4]PERIOD 2 TOTALS.'!$A$2:$I$128,9,0)</f>
        <v>115256.12</v>
      </c>
      <c r="L7" s="40" t="s">
        <v>226</v>
      </c>
      <c r="M7" s="40">
        <v>100694697</v>
      </c>
      <c r="N7" s="38"/>
      <c r="O7" s="38"/>
      <c r="P7" s="38"/>
      <c r="Q7" s="38"/>
    </row>
    <row r="8" spans="1:17" ht="16.5" thickBot="1">
      <c r="A8" s="37">
        <v>2002</v>
      </c>
      <c r="B8" s="37">
        <v>10044</v>
      </c>
      <c r="C8" s="47">
        <v>938025</v>
      </c>
      <c r="D8" s="40" t="s">
        <v>22</v>
      </c>
      <c r="E8" s="41"/>
      <c r="F8" s="83">
        <v>10597.45</v>
      </c>
      <c r="G8" s="92">
        <v>-63028.34</v>
      </c>
      <c r="H8" s="83">
        <v>274708.81</v>
      </c>
      <c r="I8" s="41"/>
      <c r="J8" s="41"/>
      <c r="K8" s="133">
        <f>VLOOKUP(C8,'[4]PERIOD 2 TOTALS.'!$A$2:$I$128,9,0)</f>
        <v>264111.36</v>
      </c>
      <c r="L8" s="40" t="s">
        <v>222</v>
      </c>
      <c r="M8" s="40">
        <v>100693232</v>
      </c>
      <c r="N8" s="38"/>
      <c r="O8" s="38"/>
      <c r="P8" s="38"/>
      <c r="Q8" s="38"/>
    </row>
    <row r="9" spans="1:17" ht="16.5" thickBot="1">
      <c r="A9" s="37">
        <v>2079</v>
      </c>
      <c r="B9" s="37">
        <v>10128</v>
      </c>
      <c r="C9" s="47">
        <v>938280</v>
      </c>
      <c r="D9" s="40" t="s">
        <v>124</v>
      </c>
      <c r="E9" s="41"/>
      <c r="F9" s="83">
        <v>4042.28</v>
      </c>
      <c r="G9" s="92">
        <v>-38456.21</v>
      </c>
      <c r="H9" s="83">
        <v>46972.39</v>
      </c>
      <c r="I9" s="41"/>
      <c r="J9" s="41"/>
      <c r="K9" s="133">
        <f>VLOOKUP(C9,'[4]PERIOD 2 TOTALS.'!$A$2:$I$128,9,0)</f>
        <v>58186.12</v>
      </c>
      <c r="L9" s="40" t="s">
        <v>229</v>
      </c>
      <c r="M9" s="40">
        <v>100697465</v>
      </c>
      <c r="N9" s="38"/>
      <c r="O9" s="38"/>
      <c r="P9" s="38"/>
      <c r="Q9" s="38"/>
    </row>
    <row r="10" spans="1:17" ht="16.5" thickBot="1">
      <c r="A10" s="37">
        <v>2003</v>
      </c>
      <c r="B10" s="37">
        <v>10045</v>
      </c>
      <c r="C10" s="47">
        <v>938030</v>
      </c>
      <c r="D10" s="40" t="s">
        <v>23</v>
      </c>
      <c r="E10" s="41"/>
      <c r="F10" s="83">
        <f>8128.2-57.63</f>
        <v>8070.57</v>
      </c>
      <c r="G10" s="92">
        <v>-86453.95</v>
      </c>
      <c r="H10" s="83">
        <v>216731.14</v>
      </c>
      <c r="I10" s="41"/>
      <c r="J10" s="41"/>
      <c r="K10" s="133">
        <f>VLOOKUP(C10,'[4]PERIOD 2 TOTALS.'!$A$2:$I$128,9,0)</f>
        <v>208660.57</v>
      </c>
      <c r="L10" s="40" t="s">
        <v>227</v>
      </c>
      <c r="M10" s="40">
        <v>100696259</v>
      </c>
      <c r="N10" s="38"/>
      <c r="O10" s="38"/>
      <c r="P10" s="38"/>
      <c r="Q10" s="38"/>
    </row>
    <row r="11" spans="1:17" ht="16.5" thickBot="1">
      <c r="A11" s="37">
        <v>3511</v>
      </c>
      <c r="B11" s="37">
        <v>10115</v>
      </c>
      <c r="C11" s="47">
        <v>938400</v>
      </c>
      <c r="D11" s="40" t="s">
        <v>24</v>
      </c>
      <c r="E11" s="41"/>
      <c r="F11" s="83">
        <f>4078.59-22.74</f>
        <v>4055.8500000000004</v>
      </c>
      <c r="G11" s="92">
        <v>-92027.68</v>
      </c>
      <c r="H11" s="83">
        <v>168857.16</v>
      </c>
      <c r="I11" s="41"/>
      <c r="J11" s="41"/>
      <c r="K11" s="133">
        <f>VLOOKUP(C11,'[4]PERIOD 2 TOTALS.'!$A$2:$I$128,9,0)</f>
        <v>164801.31</v>
      </c>
      <c r="L11" s="40" t="s">
        <v>239</v>
      </c>
      <c r="M11" s="40">
        <v>100702474</v>
      </c>
      <c r="N11" s="38"/>
      <c r="O11" s="38"/>
      <c r="P11" s="38"/>
      <c r="Q11" s="38"/>
    </row>
    <row r="12" spans="1:17" ht="16.5" thickBot="1">
      <c r="A12" s="37">
        <v>3519</v>
      </c>
      <c r="B12" s="37">
        <v>10134</v>
      </c>
      <c r="C12" s="47">
        <v>938435</v>
      </c>
      <c r="D12" s="40" t="s">
        <v>130</v>
      </c>
      <c r="E12" s="41"/>
      <c r="F12" s="83">
        <f>26745.75-24.09</f>
        <v>26721.66</v>
      </c>
      <c r="G12" s="92">
        <v>15475.11</v>
      </c>
      <c r="H12" s="83">
        <v>331804.8</v>
      </c>
      <c r="I12" s="41"/>
      <c r="J12" s="41"/>
      <c r="K12" s="133">
        <f>VLOOKUP(C12,'[4]PERIOD 2 TOTALS.'!$A$2:$I$128,9,0)</f>
        <v>305083.14</v>
      </c>
      <c r="L12" s="40" t="s">
        <v>241</v>
      </c>
      <c r="M12" s="40">
        <v>100703248</v>
      </c>
      <c r="N12" s="38"/>
      <c r="O12" s="38"/>
      <c r="P12" s="38"/>
      <c r="Q12" s="38"/>
    </row>
    <row r="13" spans="1:17" ht="16.5" thickBot="1">
      <c r="A13" s="37">
        <v>2008</v>
      </c>
      <c r="B13" s="37">
        <v>10047</v>
      </c>
      <c r="C13" s="47">
        <v>938040</v>
      </c>
      <c r="D13" s="40" t="s">
        <v>26</v>
      </c>
      <c r="E13" s="41"/>
      <c r="F13" s="83">
        <f>5566.5-9.34</f>
        <v>5557.16</v>
      </c>
      <c r="G13" s="92">
        <v>-80156.46</v>
      </c>
      <c r="H13" s="83">
        <v>259330.92</v>
      </c>
      <c r="I13" s="41"/>
      <c r="J13" s="41"/>
      <c r="K13" s="133">
        <f>VLOOKUP(C13,'[4]PERIOD 2 TOTALS.'!$A$2:$I$128,9,0)</f>
        <v>234818.76</v>
      </c>
      <c r="L13" s="40" t="s">
        <v>227</v>
      </c>
      <c r="M13" s="40">
        <v>100696205</v>
      </c>
      <c r="N13" s="38"/>
      <c r="O13" s="38"/>
      <c r="P13" s="38"/>
      <c r="Q13" s="38"/>
    </row>
    <row r="14" spans="1:17" ht="16.5" thickBot="1">
      <c r="A14" s="37">
        <v>2007</v>
      </c>
      <c r="B14" s="37">
        <v>10046</v>
      </c>
      <c r="C14" s="47">
        <v>938035</v>
      </c>
      <c r="D14" s="40" t="s">
        <v>25</v>
      </c>
      <c r="E14" s="41"/>
      <c r="F14" s="83">
        <f>8294.29-0.33</f>
        <v>8293.960000000001</v>
      </c>
      <c r="G14" s="92">
        <v>-26155.74</v>
      </c>
      <c r="H14" s="83">
        <v>259460.39</v>
      </c>
      <c r="I14" s="41"/>
      <c r="J14" s="41"/>
      <c r="K14" s="133">
        <f>VLOOKUP(C14,'[4]PERIOD 2 TOTALS.'!$A$2:$I$128,9,0)</f>
        <v>218863.43</v>
      </c>
      <c r="L14" s="40" t="s">
        <v>227</v>
      </c>
      <c r="M14" s="40">
        <v>100696244</v>
      </c>
      <c r="N14" s="38"/>
      <c r="O14" s="38"/>
      <c r="P14" s="38"/>
      <c r="Q14" s="38"/>
    </row>
    <row r="15" spans="1:17" ht="16.5" thickBot="1">
      <c r="A15" s="37">
        <v>2009</v>
      </c>
      <c r="B15" s="37">
        <v>10048</v>
      </c>
      <c r="C15" s="47">
        <v>938045</v>
      </c>
      <c r="D15" s="40" t="s">
        <v>27</v>
      </c>
      <c r="E15" s="41"/>
      <c r="F15" s="83">
        <f>3811.21-18.27</f>
        <v>3792.94</v>
      </c>
      <c r="G15" s="92">
        <v>-48973.06</v>
      </c>
      <c r="H15" s="83">
        <v>157636.06</v>
      </c>
      <c r="I15" s="41"/>
      <c r="J15" s="41"/>
      <c r="K15" s="133">
        <f>VLOOKUP(C15,'[4]PERIOD 2 TOTALS.'!$A$2:$I$128,9,0)</f>
        <v>153843.12</v>
      </c>
      <c r="L15" s="40" t="s">
        <v>228</v>
      </c>
      <c r="M15" s="40">
        <v>100696273</v>
      </c>
      <c r="N15" s="38"/>
      <c r="O15" s="38"/>
      <c r="P15" s="38"/>
      <c r="Q15" s="38"/>
    </row>
    <row r="16" spans="1:17" ht="16.5" thickBot="1">
      <c r="A16" s="37">
        <v>2067</v>
      </c>
      <c r="B16" s="37">
        <v>10118</v>
      </c>
      <c r="C16" s="47">
        <v>938235</v>
      </c>
      <c r="D16" s="40" t="s">
        <v>28</v>
      </c>
      <c r="E16" s="41"/>
      <c r="F16" s="83">
        <v>4773.12</v>
      </c>
      <c r="G16" s="92">
        <v>-24517.77</v>
      </c>
      <c r="H16" s="83">
        <v>244411.89</v>
      </c>
      <c r="I16" s="41"/>
      <c r="J16" s="41"/>
      <c r="K16" s="133">
        <f>VLOOKUP(C16,'[4]PERIOD 2 TOTALS.'!$A$2:$I$128,9,0)</f>
        <v>194155.77</v>
      </c>
      <c r="L16" s="40" t="s">
        <v>225</v>
      </c>
      <c r="M16" s="40">
        <v>100694671</v>
      </c>
      <c r="N16" s="38"/>
      <c r="O16" s="38"/>
      <c r="P16" s="38"/>
      <c r="Q16" s="38"/>
    </row>
    <row r="17" spans="1:17" ht="16.5" thickBot="1">
      <c r="A17" s="37">
        <v>2010</v>
      </c>
      <c r="B17" s="37">
        <v>10049</v>
      </c>
      <c r="C17" s="47">
        <v>938050</v>
      </c>
      <c r="D17" s="40" t="s">
        <v>29</v>
      </c>
      <c r="E17" s="41"/>
      <c r="F17" s="83">
        <f>11070.96-20.04</f>
        <v>11050.919999999998</v>
      </c>
      <c r="G17" s="92">
        <v>-105550.46</v>
      </c>
      <c r="H17" s="83">
        <v>380495.64</v>
      </c>
      <c r="I17" s="41"/>
      <c r="J17" s="41"/>
      <c r="K17" s="133">
        <f>VLOOKUP(C17,'[4]PERIOD 2 TOTALS.'!$A$2:$I$128,9,0)</f>
        <v>369444.72</v>
      </c>
      <c r="L17" s="40" t="s">
        <v>228</v>
      </c>
      <c r="M17" s="40">
        <v>100696272</v>
      </c>
      <c r="N17" s="38"/>
      <c r="O17" s="38"/>
      <c r="P17" s="38"/>
      <c r="Q17" s="38"/>
    </row>
    <row r="18" spans="1:17" ht="16.5" thickBot="1">
      <c r="A18" s="37">
        <v>3302</v>
      </c>
      <c r="B18" s="37">
        <v>10050</v>
      </c>
      <c r="C18" s="47">
        <v>938285</v>
      </c>
      <c r="D18" s="40" t="s">
        <v>30</v>
      </c>
      <c r="E18" s="41"/>
      <c r="F18" s="83">
        <f>1540.95-9.5</f>
        <v>1531.45</v>
      </c>
      <c r="G18" s="92">
        <v>-54029.75</v>
      </c>
      <c r="H18" s="83">
        <v>103789.13</v>
      </c>
      <c r="I18" s="41"/>
      <c r="J18" s="41"/>
      <c r="K18" s="133">
        <f>VLOOKUP(C18,'[4]PERIOD 2 TOTALS.'!$A$2:$I$128,9,0)</f>
        <v>102257.68</v>
      </c>
      <c r="L18" s="40" t="s">
        <v>230</v>
      </c>
      <c r="M18" s="40">
        <v>100700527</v>
      </c>
      <c r="N18" s="38"/>
      <c r="O18" s="38"/>
      <c r="P18" s="38"/>
      <c r="Q18" s="38"/>
    </row>
    <row r="19" spans="1:17" ht="16.5" thickBot="1">
      <c r="A19" s="37">
        <v>2011</v>
      </c>
      <c r="B19" s="37">
        <v>10051</v>
      </c>
      <c r="C19" s="47">
        <v>938055</v>
      </c>
      <c r="D19" s="40" t="s">
        <v>31</v>
      </c>
      <c r="E19" s="41"/>
      <c r="F19" s="83">
        <f>10678.05-7.47</f>
        <v>10670.58</v>
      </c>
      <c r="G19" s="92">
        <v>-8967.46</v>
      </c>
      <c r="H19" s="83">
        <v>138852.73</v>
      </c>
      <c r="I19" s="41"/>
      <c r="J19" s="41"/>
      <c r="K19" s="133">
        <f>VLOOKUP(C19,'[4]PERIOD 2 TOTALS.'!$A$2:$I$128,9,0)</f>
        <v>128182.15</v>
      </c>
      <c r="L19" s="40" t="s">
        <v>228</v>
      </c>
      <c r="M19" s="40">
        <v>100696268</v>
      </c>
      <c r="N19" s="38"/>
      <c r="O19" s="38"/>
      <c r="P19" s="38"/>
      <c r="Q19" s="38"/>
    </row>
    <row r="20" spans="1:17" ht="16.5" thickBot="1">
      <c r="A20" s="37">
        <v>3522</v>
      </c>
      <c r="B20" s="37">
        <v>10953</v>
      </c>
      <c r="C20" s="47">
        <v>938438</v>
      </c>
      <c r="D20" s="40" t="s">
        <v>140</v>
      </c>
      <c r="E20" s="41"/>
      <c r="F20" s="83">
        <f>15407.61-41.93</f>
        <v>15365.68</v>
      </c>
      <c r="G20" s="92">
        <v>10907.06</v>
      </c>
      <c r="H20" s="83">
        <v>131559.19</v>
      </c>
      <c r="I20" s="41"/>
      <c r="J20" s="41"/>
      <c r="K20" s="133">
        <f>VLOOKUP(C20,'[4]PERIOD 2 TOTALS.'!$A$2:$I$128,9,0)</f>
        <v>149561.51</v>
      </c>
      <c r="L20" s="40" t="s">
        <v>227</v>
      </c>
      <c r="M20" s="40">
        <v>100696232</v>
      </c>
      <c r="N20" s="38"/>
      <c r="O20" s="38"/>
      <c r="P20" s="38"/>
      <c r="Q20" s="38"/>
    </row>
    <row r="21" spans="1:17" ht="16.5" thickBot="1">
      <c r="A21" s="37">
        <v>2014</v>
      </c>
      <c r="B21" s="37">
        <v>10054</v>
      </c>
      <c r="C21" s="47">
        <v>938070</v>
      </c>
      <c r="D21" s="40" t="s">
        <v>32</v>
      </c>
      <c r="E21" s="41"/>
      <c r="F21" s="83">
        <f>8710.38-48.03</f>
        <v>8662.349999999999</v>
      </c>
      <c r="G21" s="92">
        <v>-107079.53</v>
      </c>
      <c r="H21" s="83">
        <v>670373.72</v>
      </c>
      <c r="I21" s="41"/>
      <c r="J21" s="41"/>
      <c r="K21" s="133">
        <f>VLOOKUP(C21,'[4]PERIOD 2 TOTALS.'!$A$2:$I$128,9,0)</f>
        <v>661711.37</v>
      </c>
      <c r="L21" s="40" t="s">
        <v>231</v>
      </c>
      <c r="M21" s="40">
        <v>100700533</v>
      </c>
      <c r="N21" s="38"/>
      <c r="O21" s="38"/>
      <c r="P21" s="38"/>
      <c r="Q21" s="38"/>
    </row>
    <row r="22" spans="1:17" ht="16.5" thickBot="1">
      <c r="A22" s="37">
        <v>2015</v>
      </c>
      <c r="B22" s="37">
        <v>10055</v>
      </c>
      <c r="C22" s="47">
        <v>938075</v>
      </c>
      <c r="D22" s="40" t="s">
        <v>33</v>
      </c>
      <c r="E22" s="41"/>
      <c r="F22" s="83">
        <f>5068.94-56.36</f>
        <v>5012.58</v>
      </c>
      <c r="G22" s="92">
        <v>-12992.36</v>
      </c>
      <c r="H22" s="83">
        <v>326732.8</v>
      </c>
      <c r="I22" s="41"/>
      <c r="J22" s="41"/>
      <c r="K22" s="133">
        <f>VLOOKUP(C22,'[4]PERIOD 2 TOTALS.'!$A$2:$I$128,9,0)</f>
        <v>321720.22</v>
      </c>
      <c r="L22" s="40" t="s">
        <v>238</v>
      </c>
      <c r="M22" s="40">
        <v>100701724</v>
      </c>
      <c r="N22" s="38"/>
      <c r="O22" s="38"/>
      <c r="P22" s="38"/>
      <c r="Q22" s="38"/>
    </row>
    <row r="23" spans="1:17" ht="16.5" thickBot="1">
      <c r="A23" s="37">
        <v>2016</v>
      </c>
      <c r="B23" s="37">
        <v>10056</v>
      </c>
      <c r="C23" s="47">
        <v>938080</v>
      </c>
      <c r="D23" s="40" t="s">
        <v>34</v>
      </c>
      <c r="E23" s="41"/>
      <c r="F23" s="83">
        <f>8539.16-6.94</f>
        <v>8532.22</v>
      </c>
      <c r="G23" s="92">
        <v>-3058.4</v>
      </c>
      <c r="H23" s="83">
        <v>172153.96</v>
      </c>
      <c r="I23" s="41"/>
      <c r="J23" s="41"/>
      <c r="K23" s="133">
        <f>VLOOKUP(C23,'[4]PERIOD 2 TOTALS.'!$A$2:$I$128,9,0)</f>
        <v>163620.74</v>
      </c>
      <c r="L23" s="40" t="s">
        <v>226</v>
      </c>
      <c r="M23" s="40">
        <v>100695267</v>
      </c>
      <c r="N23" s="38"/>
      <c r="O23" s="38"/>
      <c r="P23" s="38"/>
      <c r="Q23" s="38"/>
    </row>
    <row r="24" spans="1:17" ht="16.5" thickBot="1">
      <c r="A24" s="37">
        <v>2017</v>
      </c>
      <c r="B24" s="37">
        <v>10057</v>
      </c>
      <c r="C24" s="47">
        <v>938085</v>
      </c>
      <c r="D24" s="40" t="s">
        <v>35</v>
      </c>
      <c r="E24" s="41"/>
      <c r="F24" s="83">
        <v>6741.6</v>
      </c>
      <c r="G24" s="92">
        <v>-54709.44</v>
      </c>
      <c r="H24" s="83">
        <v>155057.6</v>
      </c>
      <c r="I24" s="41"/>
      <c r="J24" s="41"/>
      <c r="K24" s="133">
        <f>VLOOKUP(C24,'[4]PERIOD 2 TOTALS.'!$A$2:$I$128,9,0)</f>
        <v>148316</v>
      </c>
      <c r="L24" s="40" t="s">
        <v>228</v>
      </c>
      <c r="M24" s="40">
        <v>100696266</v>
      </c>
      <c r="N24" s="38"/>
      <c r="O24" s="38"/>
      <c r="P24" s="38"/>
      <c r="Q24" s="38"/>
    </row>
    <row r="25" spans="1:17" ht="16.5" thickBot="1">
      <c r="A25" s="37">
        <v>2073</v>
      </c>
      <c r="B25" s="37">
        <v>10083</v>
      </c>
      <c r="C25" s="47">
        <v>938255</v>
      </c>
      <c r="D25" s="40" t="s">
        <v>36</v>
      </c>
      <c r="E25" s="41"/>
      <c r="F25" s="83">
        <v>8108.15</v>
      </c>
      <c r="G25" s="92">
        <v>-171666.39</v>
      </c>
      <c r="H25" s="83">
        <v>296125.91</v>
      </c>
      <c r="I25" s="41"/>
      <c r="J25" s="41"/>
      <c r="K25" s="133">
        <f>VLOOKUP(C25,'[4]PERIOD 2 TOTALS.'!$A$2:$I$128,9,0)</f>
        <v>288017.76</v>
      </c>
      <c r="L25" s="40" t="s">
        <v>232</v>
      </c>
      <c r="M25" s="40">
        <v>100700555</v>
      </c>
      <c r="N25" s="38"/>
      <c r="O25" s="38"/>
      <c r="P25" s="38"/>
      <c r="Q25" s="38"/>
    </row>
    <row r="26" spans="1:17" ht="16.5" thickBot="1">
      <c r="A26" s="37">
        <v>2019</v>
      </c>
      <c r="B26" s="37">
        <v>10059</v>
      </c>
      <c r="C26" s="47">
        <v>938095</v>
      </c>
      <c r="D26" s="40" t="s">
        <v>38</v>
      </c>
      <c r="E26" s="41"/>
      <c r="F26" s="87">
        <f>12365.33-16.06</f>
        <v>12349.27</v>
      </c>
      <c r="G26" s="92">
        <v>-19024.7</v>
      </c>
      <c r="H26" s="83">
        <v>187192.55</v>
      </c>
      <c r="I26" s="41"/>
      <c r="J26" s="41"/>
      <c r="K26" s="133">
        <f>VLOOKUP(C26,'[4]PERIOD 2 TOTALS.'!$A$2:$I$128,9,0)</f>
        <v>214799.28</v>
      </c>
      <c r="L26" s="40" t="s">
        <v>222</v>
      </c>
      <c r="M26" s="40">
        <v>100693686</v>
      </c>
      <c r="N26" s="38"/>
      <c r="O26" s="38"/>
      <c r="P26" s="38"/>
      <c r="Q26" s="38"/>
    </row>
    <row r="27" spans="1:22" ht="16.5" thickBot="1">
      <c r="A27" s="37">
        <v>2018</v>
      </c>
      <c r="B27" s="37">
        <v>10058</v>
      </c>
      <c r="C27" s="47">
        <v>938090</v>
      </c>
      <c r="D27" s="40" t="s">
        <v>37</v>
      </c>
      <c r="E27" s="41"/>
      <c r="F27" s="83">
        <f>8819.87-15.96</f>
        <v>8803.910000000002</v>
      </c>
      <c r="G27" s="92">
        <v>155084.42</v>
      </c>
      <c r="H27" s="83">
        <v>184669.68</v>
      </c>
      <c r="I27" s="41"/>
      <c r="J27" s="41"/>
      <c r="K27" s="133">
        <f>VLOOKUP(C27,'[4]PERIOD 2 TOTALS.'!$A$2:$I$128,9,0)</f>
        <v>175865.77</v>
      </c>
      <c r="L27" s="40" t="s">
        <v>239</v>
      </c>
      <c r="M27" s="40">
        <v>100702471</v>
      </c>
      <c r="N27" s="38"/>
      <c r="O27" s="38"/>
      <c r="P27" s="38"/>
      <c r="Q27" s="38"/>
      <c r="R27" s="38"/>
      <c r="S27" s="38"/>
      <c r="T27" s="38"/>
      <c r="U27" s="38"/>
      <c r="V27" s="38"/>
    </row>
    <row r="28" spans="1:17" ht="16.5" thickBot="1">
      <c r="A28" s="37">
        <v>2021</v>
      </c>
      <c r="B28" s="37">
        <v>10061</v>
      </c>
      <c r="C28" s="47">
        <v>938100</v>
      </c>
      <c r="D28" s="40" t="s">
        <v>40</v>
      </c>
      <c r="E28" s="41"/>
      <c r="F28" s="83">
        <f>3298.68-31.67</f>
        <v>3267.0099999999998</v>
      </c>
      <c r="G28" s="92">
        <v>-101583.63</v>
      </c>
      <c r="H28" s="83">
        <v>202136.15</v>
      </c>
      <c r="I28" s="41"/>
      <c r="J28" s="41"/>
      <c r="K28" s="133">
        <f>VLOOKUP(C28,'[4]PERIOD 2 TOTALS.'!$A$2:$I$128,9,0)</f>
        <v>198869.14</v>
      </c>
      <c r="L28" s="40" t="s">
        <v>235</v>
      </c>
      <c r="M28" s="40">
        <v>100700960</v>
      </c>
      <c r="N28" s="38"/>
      <c r="O28" s="38"/>
      <c r="P28" s="38"/>
      <c r="Q28" s="38"/>
    </row>
    <row r="29" spans="1:17" ht="16.5" thickBot="1">
      <c r="A29" s="37">
        <v>5200</v>
      </c>
      <c r="B29" s="37">
        <v>10060</v>
      </c>
      <c r="C29" s="47">
        <v>938490</v>
      </c>
      <c r="D29" s="40" t="s">
        <v>39</v>
      </c>
      <c r="E29" s="43"/>
      <c r="F29" s="83">
        <v>5047.06</v>
      </c>
      <c r="G29" s="92">
        <v>8035.89</v>
      </c>
      <c r="H29" s="83">
        <v>69383</v>
      </c>
      <c r="I29" s="41"/>
      <c r="J29" s="41"/>
      <c r="K29" s="133">
        <f>VLOOKUP(C29,'[4]PERIOD 2 TOTALS.'!$A$2:$I$128,9,0)</f>
        <v>73774.94</v>
      </c>
      <c r="L29" s="40" t="s">
        <v>232</v>
      </c>
      <c r="M29" s="40">
        <v>100700534</v>
      </c>
      <c r="N29" s="38"/>
      <c r="O29" s="38"/>
      <c r="P29" s="38"/>
      <c r="Q29" s="38"/>
    </row>
    <row r="30" spans="1:17" ht="16.5" thickBot="1">
      <c r="A30" s="37">
        <v>2023</v>
      </c>
      <c r="B30" s="37">
        <v>10063</v>
      </c>
      <c r="C30" s="47">
        <v>938110</v>
      </c>
      <c r="D30" s="40" t="s">
        <v>42</v>
      </c>
      <c r="E30" s="41"/>
      <c r="F30" s="83">
        <v>1355.1</v>
      </c>
      <c r="G30" s="92">
        <v>-75876.24</v>
      </c>
      <c r="H30" s="83">
        <v>284806.03</v>
      </c>
      <c r="I30" s="41"/>
      <c r="J30" s="41"/>
      <c r="K30" s="133">
        <f>VLOOKUP(C30,'[4]PERIOD 2 TOTALS.'!$A$2:$I$128,9,0)</f>
        <v>280537.22</v>
      </c>
      <c r="L30" s="40" t="s">
        <v>236</v>
      </c>
      <c r="M30" s="40">
        <v>100701241</v>
      </c>
      <c r="N30" s="38"/>
      <c r="O30" s="38"/>
      <c r="P30" s="38"/>
      <c r="Q30" s="38"/>
    </row>
    <row r="31" spans="1:17" ht="16.5" thickBot="1">
      <c r="A31" s="37">
        <v>2022</v>
      </c>
      <c r="B31" s="37">
        <v>10062</v>
      </c>
      <c r="C31" s="47">
        <v>938105</v>
      </c>
      <c r="D31" s="40" t="s">
        <v>41</v>
      </c>
      <c r="E31" s="41"/>
      <c r="F31" s="83">
        <v>2333.61</v>
      </c>
      <c r="G31" s="92">
        <v>-72275</v>
      </c>
      <c r="H31" s="83">
        <v>340606.2</v>
      </c>
      <c r="I31" s="41"/>
      <c r="J31" s="41"/>
      <c r="K31" s="133">
        <f>VLOOKUP(C31,'[4]PERIOD 2 TOTALS.'!$A$2:$I$128,9,0)</f>
        <v>235410.59</v>
      </c>
      <c r="L31" s="40" t="s">
        <v>227</v>
      </c>
      <c r="M31" s="40">
        <v>100696258</v>
      </c>
      <c r="N31" s="38"/>
      <c r="O31" s="38"/>
      <c r="P31" s="38"/>
      <c r="Q31" s="38"/>
    </row>
    <row r="32" spans="1:17" ht="16.5" thickBot="1">
      <c r="A32" s="37">
        <v>3524</v>
      </c>
      <c r="B32" s="37">
        <v>11278</v>
      </c>
      <c r="C32" s="47">
        <v>938590</v>
      </c>
      <c r="D32" s="40" t="s">
        <v>396</v>
      </c>
      <c r="E32" s="41"/>
      <c r="F32" s="83"/>
      <c r="G32" s="92"/>
      <c r="H32" s="83"/>
      <c r="I32" s="41"/>
      <c r="J32" s="41"/>
      <c r="K32" s="133"/>
      <c r="L32" s="40"/>
      <c r="M32" s="40">
        <v>1</v>
      </c>
      <c r="N32" s="38"/>
      <c r="O32" s="38"/>
      <c r="P32" s="38"/>
      <c r="Q32" s="38"/>
    </row>
    <row r="33" spans="1:17" ht="16.5" thickBot="1">
      <c r="A33" s="37">
        <v>2024</v>
      </c>
      <c r="B33" s="37">
        <v>10064</v>
      </c>
      <c r="C33" s="47">
        <v>938115</v>
      </c>
      <c r="D33" s="40" t="s">
        <v>43</v>
      </c>
      <c r="E33" s="41"/>
      <c r="F33" s="83">
        <v>1200.47</v>
      </c>
      <c r="G33" s="92">
        <v>26301.32</v>
      </c>
      <c r="H33" s="83">
        <v>241811.37</v>
      </c>
      <c r="I33" s="41"/>
      <c r="J33" s="41"/>
      <c r="K33" s="133">
        <f>VLOOKUP(C33,'[4]PERIOD 2 TOTALS.'!$A$2:$I$128,9,0)</f>
        <v>260724.9</v>
      </c>
      <c r="L33" s="40" t="s">
        <v>229</v>
      </c>
      <c r="M33" s="40">
        <v>100697460</v>
      </c>
      <c r="N33" s="38"/>
      <c r="O33" s="38"/>
      <c r="P33" s="38"/>
      <c r="Q33" s="38"/>
    </row>
    <row r="34" spans="1:17" ht="16.5" thickBot="1">
      <c r="A34" s="37">
        <v>2025</v>
      </c>
      <c r="B34" s="37">
        <v>10065</v>
      </c>
      <c r="C34" s="47">
        <v>938120</v>
      </c>
      <c r="D34" s="40" t="s">
        <v>44</v>
      </c>
      <c r="E34" s="41"/>
      <c r="F34" s="87">
        <v>4508.76</v>
      </c>
      <c r="G34" s="92">
        <v>-67015.87</v>
      </c>
      <c r="H34" s="83">
        <v>219053.1</v>
      </c>
      <c r="I34" s="41"/>
      <c r="J34" s="41"/>
      <c r="K34" s="133">
        <f>VLOOKUP(C34,'[4]PERIOD 2 TOTALS.'!$A$2:$I$128,9,0)</f>
        <v>214544.34</v>
      </c>
      <c r="L34" s="40" t="s">
        <v>227</v>
      </c>
      <c r="M34" s="40">
        <v>100695270</v>
      </c>
      <c r="N34" s="38"/>
      <c r="O34" s="38"/>
      <c r="P34" s="38"/>
      <c r="Q34" s="38"/>
    </row>
    <row r="35" spans="1:17" ht="16.5" thickBot="1">
      <c r="A35" s="37">
        <v>2026</v>
      </c>
      <c r="B35" s="37">
        <v>10066</v>
      </c>
      <c r="C35" s="47">
        <v>938125</v>
      </c>
      <c r="D35" s="40" t="s">
        <v>45</v>
      </c>
      <c r="E35" s="41"/>
      <c r="F35" s="83">
        <v>7134.55</v>
      </c>
      <c r="G35" s="92">
        <v>-130421.09</v>
      </c>
      <c r="H35" s="83">
        <v>472048.68</v>
      </c>
      <c r="I35" s="41"/>
      <c r="J35" s="41"/>
      <c r="K35" s="133">
        <f>VLOOKUP(C35,'[4]PERIOD 2 TOTALS.'!$A$2:$I$128,9,0)</f>
        <v>338492.13</v>
      </c>
      <c r="L35" s="40" t="s">
        <v>225</v>
      </c>
      <c r="M35" s="40">
        <v>100694348</v>
      </c>
      <c r="N35" s="38"/>
      <c r="O35" s="38"/>
      <c r="P35" s="38"/>
      <c r="Q35" s="38"/>
    </row>
    <row r="36" spans="1:17" ht="16.5" thickBot="1">
      <c r="A36" s="37">
        <v>2028</v>
      </c>
      <c r="B36" s="37">
        <v>10068</v>
      </c>
      <c r="C36" s="47">
        <v>938135</v>
      </c>
      <c r="D36" s="40" t="s">
        <v>47</v>
      </c>
      <c r="F36" s="41">
        <f>4369.14-32</f>
        <v>4337.14</v>
      </c>
      <c r="G36" s="92">
        <v>-39058</v>
      </c>
      <c r="H36" s="92">
        <v>190787.61</v>
      </c>
      <c r="I36" s="41"/>
      <c r="J36" s="41"/>
      <c r="K36" s="133">
        <f>VLOOKUP(C36,'[4]PERIOD 2 TOTALS.'!$A$2:$I$128,9,0)</f>
        <v>196542.47</v>
      </c>
      <c r="L36" s="40" t="s">
        <v>220</v>
      </c>
      <c r="M36" s="40">
        <v>100692851</v>
      </c>
      <c r="N36" s="38"/>
      <c r="O36" s="38"/>
      <c r="P36" s="38"/>
      <c r="Q36" s="38"/>
    </row>
    <row r="37" spans="1:17" ht="16.5" thickBot="1">
      <c r="A37" s="37">
        <v>2027</v>
      </c>
      <c r="B37" s="37">
        <v>10067</v>
      </c>
      <c r="C37" s="47">
        <v>938130</v>
      </c>
      <c r="D37" s="40" t="s">
        <v>46</v>
      </c>
      <c r="E37" s="41"/>
      <c r="F37" s="83">
        <f>11226.18-90.04</f>
        <v>11136.14</v>
      </c>
      <c r="G37" s="92">
        <v>-35807.48</v>
      </c>
      <c r="H37" s="83">
        <v>229242.92</v>
      </c>
      <c r="I37" s="41"/>
      <c r="J37" s="41"/>
      <c r="K37" s="133">
        <f>VLOOKUP(C37,'[4]PERIOD 2 TOTALS.'!$A$2:$I$128,9,0)</f>
        <v>218106.78</v>
      </c>
      <c r="L37" s="40" t="s">
        <v>227</v>
      </c>
      <c r="M37" s="40">
        <v>100696219</v>
      </c>
      <c r="N37" s="38"/>
      <c r="O37" s="38"/>
      <c r="P37" s="38"/>
      <c r="Q37" s="38"/>
    </row>
    <row r="38" spans="1:17" ht="16.5" thickBot="1">
      <c r="A38" s="37">
        <v>2029</v>
      </c>
      <c r="B38" s="37">
        <v>10069</v>
      </c>
      <c r="C38" s="47">
        <v>938140</v>
      </c>
      <c r="D38" s="40" t="s">
        <v>48</v>
      </c>
      <c r="E38" s="41"/>
      <c r="F38" s="83">
        <v>14976.34</v>
      </c>
      <c r="G38" s="92">
        <v>-262347.39</v>
      </c>
      <c r="H38" s="83">
        <v>333622.22</v>
      </c>
      <c r="I38" s="41"/>
      <c r="J38" s="41"/>
      <c r="K38" s="133">
        <f>VLOOKUP(C38,'[4]PERIOD 2 TOTALS.'!$A$2:$I$128,9,0)</f>
        <v>369059.22</v>
      </c>
      <c r="L38" s="40" t="s">
        <v>240</v>
      </c>
      <c r="M38" s="40">
        <v>100702804</v>
      </c>
      <c r="N38" s="38"/>
      <c r="O38" s="38"/>
      <c r="P38" s="38"/>
      <c r="Q38" s="38"/>
    </row>
    <row r="39" spans="1:17" ht="16.5" thickBot="1">
      <c r="A39" s="37">
        <v>2030</v>
      </c>
      <c r="B39" s="37">
        <v>10070</v>
      </c>
      <c r="C39" s="47">
        <v>938145</v>
      </c>
      <c r="D39" s="40" t="s">
        <v>50</v>
      </c>
      <c r="E39" s="41"/>
      <c r="F39" s="83">
        <v>705.71</v>
      </c>
      <c r="G39" s="92">
        <v>10412.87</v>
      </c>
      <c r="H39" s="83">
        <v>100657.58</v>
      </c>
      <c r="I39" s="41"/>
      <c r="J39" s="41"/>
      <c r="K39" s="133">
        <f>VLOOKUP(C39,'[4]PERIOD 2 TOTALS.'!$A$2:$I$128,9,0)</f>
        <v>99951.87</v>
      </c>
      <c r="L39" s="40" t="s">
        <v>229</v>
      </c>
      <c r="M39" s="40">
        <v>100697461</v>
      </c>
      <c r="N39" s="38"/>
      <c r="O39" s="38"/>
      <c r="P39" s="38"/>
      <c r="Q39" s="38"/>
    </row>
    <row r="40" spans="1:17" ht="16.5" thickBot="1">
      <c r="A40" s="37">
        <v>3516</v>
      </c>
      <c r="B40" s="37">
        <v>10121</v>
      </c>
      <c r="C40" s="47">
        <v>938425</v>
      </c>
      <c r="D40" s="40" t="s">
        <v>51</v>
      </c>
      <c r="E40" s="41"/>
      <c r="F40" s="83">
        <v>3095.82</v>
      </c>
      <c r="G40" s="92">
        <v>17803.48</v>
      </c>
      <c r="H40" s="83">
        <v>27652.37</v>
      </c>
      <c r="I40" s="41"/>
      <c r="J40" s="84">
        <v>-2352.24</v>
      </c>
      <c r="K40" s="133">
        <f>VLOOKUP(C40,'[4]PERIOD 2 TOTALS.'!$A$2:$I$128,9,0)</f>
        <v>24556.55</v>
      </c>
      <c r="L40" s="40" t="s">
        <v>228</v>
      </c>
      <c r="M40" s="113" t="s">
        <v>237</v>
      </c>
      <c r="N40" s="38"/>
      <c r="O40" s="38"/>
      <c r="P40" s="38"/>
      <c r="Q40" s="38"/>
    </row>
    <row r="41" spans="1:17" ht="16.5" thickBot="1">
      <c r="A41" s="37">
        <v>2031</v>
      </c>
      <c r="B41" s="37">
        <v>10071</v>
      </c>
      <c r="C41" s="47">
        <v>938150</v>
      </c>
      <c r="D41" s="40" t="s">
        <v>52</v>
      </c>
      <c r="E41" s="41"/>
      <c r="F41" s="83">
        <v>2909.64</v>
      </c>
      <c r="G41" s="92">
        <v>-53728.91</v>
      </c>
      <c r="H41" s="83">
        <v>161436</v>
      </c>
      <c r="I41" s="41"/>
      <c r="J41" s="41"/>
      <c r="K41" s="133">
        <f>VLOOKUP(C41,'[4]PERIOD 2 TOTALS.'!$A$2:$I$128,9,0)</f>
        <v>158526.36</v>
      </c>
      <c r="L41" s="40" t="s">
        <v>228</v>
      </c>
      <c r="M41" s="40">
        <v>100696778</v>
      </c>
      <c r="N41" s="38"/>
      <c r="O41" s="38"/>
      <c r="P41" s="38"/>
      <c r="Q41" s="38"/>
    </row>
    <row r="42" spans="1:17" ht="16.5" thickBot="1">
      <c r="A42" s="37">
        <v>2032</v>
      </c>
      <c r="B42" s="37">
        <v>10072</v>
      </c>
      <c r="C42" s="47">
        <v>938155</v>
      </c>
      <c r="D42" s="40" t="s">
        <v>53</v>
      </c>
      <c r="E42" s="41"/>
      <c r="F42" s="83">
        <v>6661.03</v>
      </c>
      <c r="G42" s="92">
        <v>-95432.98</v>
      </c>
      <c r="H42" s="83">
        <v>203641.73</v>
      </c>
      <c r="I42" s="41"/>
      <c r="J42" s="41"/>
      <c r="K42" s="133">
        <f>VLOOKUP(C42,'[4]PERIOD 2 TOTALS.'!$A$2:$I$128,9,0)</f>
        <v>110511.7</v>
      </c>
      <c r="L42" s="40" t="s">
        <v>240</v>
      </c>
      <c r="M42" s="40">
        <v>100702484</v>
      </c>
      <c r="N42" s="38"/>
      <c r="O42" s="38"/>
      <c r="P42" s="38"/>
      <c r="Q42" s="38"/>
    </row>
    <row r="43" spans="1:17" ht="16.5" thickBot="1">
      <c r="A43" s="37">
        <v>3304</v>
      </c>
      <c r="B43" s="37">
        <v>10073</v>
      </c>
      <c r="C43" s="47">
        <v>938290</v>
      </c>
      <c r="D43" s="40" t="s">
        <v>54</v>
      </c>
      <c r="E43" s="41"/>
      <c r="F43" s="83">
        <v>4279.36</v>
      </c>
      <c r="G43" s="92">
        <v>-51772.51</v>
      </c>
      <c r="H43" s="83">
        <v>118475.86</v>
      </c>
      <c r="I43" s="41"/>
      <c r="J43" s="41"/>
      <c r="K43" s="133">
        <f>VLOOKUP(C43,'[4]PERIOD 2 TOTALS.'!$A$2:$I$128,9,0)</f>
        <v>89602.49999999994</v>
      </c>
      <c r="L43" s="40" t="s">
        <v>223</v>
      </c>
      <c r="M43" s="40">
        <v>100693709</v>
      </c>
      <c r="N43" s="38"/>
      <c r="O43" s="38"/>
      <c r="P43" s="38"/>
      <c r="Q43" s="38"/>
    </row>
    <row r="44" spans="1:17" ht="16.5" thickBot="1">
      <c r="A44" s="37">
        <v>2074</v>
      </c>
      <c r="B44" s="37">
        <v>10122</v>
      </c>
      <c r="C44" s="47">
        <v>938260</v>
      </c>
      <c r="D44" s="40" t="s">
        <v>55</v>
      </c>
      <c r="E44" s="41"/>
      <c r="F44" s="83">
        <v>9411.76</v>
      </c>
      <c r="G44" s="92">
        <v>102267.87</v>
      </c>
      <c r="H44" s="83">
        <v>230301.23</v>
      </c>
      <c r="I44" s="41"/>
      <c r="J44" s="41"/>
      <c r="K44" s="133">
        <f>VLOOKUP(C44,'[4]PERIOD 2 TOTALS.'!$A$2:$I$128,9,0)</f>
        <v>240643.48</v>
      </c>
      <c r="L44" s="40" t="s">
        <v>230</v>
      </c>
      <c r="M44" s="40">
        <v>100700531</v>
      </c>
      <c r="N44" s="38"/>
      <c r="O44" s="38"/>
      <c r="P44" s="38"/>
      <c r="Q44" s="38"/>
    </row>
    <row r="45" spans="1:17" ht="16.5" thickBot="1">
      <c r="A45" s="37">
        <v>3515</v>
      </c>
      <c r="B45" s="37">
        <v>10106</v>
      </c>
      <c r="C45" s="47">
        <v>938420</v>
      </c>
      <c r="D45" s="40" t="s">
        <v>56</v>
      </c>
      <c r="E45" s="41"/>
      <c r="F45" s="83">
        <v>3569.62</v>
      </c>
      <c r="G45" s="92">
        <v>-49586.55</v>
      </c>
      <c r="H45" s="83">
        <v>55322.71</v>
      </c>
      <c r="I45" s="41"/>
      <c r="J45" s="41"/>
      <c r="K45" s="133">
        <f>VLOOKUP(C45,'[4]PERIOD 2 TOTALS.'!$A$2:$I$128,9,0)</f>
        <v>44384.09</v>
      </c>
      <c r="L45" s="40" t="s">
        <v>229</v>
      </c>
      <c r="M45" s="40">
        <v>100697471</v>
      </c>
      <c r="N45" s="38"/>
      <c r="O45" s="38"/>
      <c r="P45" s="38"/>
      <c r="Q45" s="38"/>
    </row>
    <row r="46" spans="1:17" ht="16.5" thickBot="1">
      <c r="A46" s="37">
        <v>2036</v>
      </c>
      <c r="B46" s="37">
        <v>10074</v>
      </c>
      <c r="C46" s="47">
        <v>938160</v>
      </c>
      <c r="D46" s="40" t="s">
        <v>57</v>
      </c>
      <c r="E46" s="41"/>
      <c r="F46" s="83">
        <f>3986.16-175.02</f>
        <v>3811.14</v>
      </c>
      <c r="G46" s="92">
        <v>-62670.5</v>
      </c>
      <c r="H46" s="83">
        <v>351915.2</v>
      </c>
      <c r="I46" s="41"/>
      <c r="J46" s="41"/>
      <c r="K46" s="133">
        <f>VLOOKUP(C46,'[4]PERIOD 2 TOTALS.'!$A$2:$I$128,9,0)</f>
        <v>410110.06</v>
      </c>
      <c r="L46" s="40" t="s">
        <v>233</v>
      </c>
      <c r="M46" s="40">
        <v>100700556</v>
      </c>
      <c r="N46" s="38"/>
      <c r="O46" s="38"/>
      <c r="P46" s="38"/>
      <c r="Q46" s="38"/>
    </row>
    <row r="47" spans="1:17" ht="16.5" thickBot="1">
      <c r="A47" s="37">
        <v>2037</v>
      </c>
      <c r="B47" s="37">
        <v>10075</v>
      </c>
      <c r="C47" s="47">
        <v>938165</v>
      </c>
      <c r="D47" s="40" t="s">
        <v>58</v>
      </c>
      <c r="E47" s="41"/>
      <c r="F47" s="83">
        <f>1532.02-1.51</f>
        <v>1530.51</v>
      </c>
      <c r="G47" s="92">
        <v>29803.83</v>
      </c>
      <c r="H47" s="83">
        <v>155497.24</v>
      </c>
      <c r="I47" s="41"/>
      <c r="J47" s="41"/>
      <c r="K47" s="133">
        <f>VLOOKUP(C47,'[4]PERIOD 2 TOTALS.'!$A$2:$I$128,9,0)</f>
        <v>189321.73</v>
      </c>
      <c r="L47" s="40" t="s">
        <v>229</v>
      </c>
      <c r="M47" s="40">
        <v>100697469</v>
      </c>
      <c r="N47" s="38"/>
      <c r="O47" s="38"/>
      <c r="P47" s="38"/>
      <c r="Q47" s="38"/>
    </row>
    <row r="48" spans="1:17" ht="16.5" thickBot="1">
      <c r="A48" s="37">
        <v>3523</v>
      </c>
      <c r="B48" s="37">
        <v>11093</v>
      </c>
      <c r="C48" s="47">
        <v>938580</v>
      </c>
      <c r="D48" s="40" t="s">
        <v>177</v>
      </c>
      <c r="E48" s="41"/>
      <c r="F48" s="58">
        <v>8236.09</v>
      </c>
      <c r="G48" s="92">
        <v>-50776.67</v>
      </c>
      <c r="H48" s="58">
        <v>191502.05</v>
      </c>
      <c r="I48" s="58"/>
      <c r="J48" s="58"/>
      <c r="K48" s="133">
        <f>VLOOKUP(C48,'[4]PERIOD 2 TOTALS.'!$A$2:$I$128,9,0)</f>
        <v>387406.05</v>
      </c>
      <c r="L48" s="40" t="s">
        <v>236</v>
      </c>
      <c r="M48" s="40">
        <v>100701251</v>
      </c>
      <c r="N48" s="38"/>
      <c r="O48" s="38"/>
      <c r="P48" s="38"/>
      <c r="Q48" s="38"/>
    </row>
    <row r="49" spans="1:17" ht="16.5" thickBot="1">
      <c r="A49" s="37">
        <v>5948</v>
      </c>
      <c r="B49" s="37">
        <v>10125</v>
      </c>
      <c r="C49" s="47">
        <v>938550</v>
      </c>
      <c r="D49" s="40" t="s">
        <v>59</v>
      </c>
      <c r="E49" s="41"/>
      <c r="F49" s="58">
        <v>1295.78</v>
      </c>
      <c r="G49" s="92">
        <v>-33668.5</v>
      </c>
      <c r="H49" s="58">
        <v>75440.47</v>
      </c>
      <c r="I49" s="41"/>
      <c r="J49" s="41"/>
      <c r="K49" s="133">
        <f>VLOOKUP(C49,'[4]PERIOD 2 TOTALS.'!$A$2:$I$128,9,0)</f>
        <v>71965.28999999992</v>
      </c>
      <c r="L49" s="40" t="s">
        <v>240</v>
      </c>
      <c r="M49" s="40">
        <v>100702491</v>
      </c>
      <c r="N49" s="38"/>
      <c r="O49" s="38"/>
      <c r="P49" s="38"/>
      <c r="Q49" s="38"/>
    </row>
    <row r="50" spans="1:17" ht="16.5" thickBot="1">
      <c r="A50" s="37">
        <v>5949</v>
      </c>
      <c r="B50" s="37">
        <v>10126</v>
      </c>
      <c r="C50" s="47">
        <v>938555</v>
      </c>
      <c r="D50" s="40" t="s">
        <v>61</v>
      </c>
      <c r="E50" s="41"/>
      <c r="F50" s="83">
        <v>888.89</v>
      </c>
      <c r="G50" s="92">
        <v>-39323.65</v>
      </c>
      <c r="H50" s="83">
        <v>61642.13</v>
      </c>
      <c r="I50" s="41"/>
      <c r="J50" s="41"/>
      <c r="K50" s="133">
        <f>VLOOKUP(C50,'[4]PERIOD 2 TOTALS.'!$A$2:$I$128,9,0)</f>
        <v>60753.24</v>
      </c>
      <c r="L50" s="40" t="s">
        <v>232</v>
      </c>
      <c r="M50" s="40">
        <v>100700554</v>
      </c>
      <c r="N50" s="38"/>
      <c r="O50" s="38"/>
      <c r="P50" s="38"/>
      <c r="Q50" s="38"/>
    </row>
    <row r="51" spans="1:17" ht="16.5" thickBot="1">
      <c r="A51" s="37">
        <v>3513</v>
      </c>
      <c r="B51" s="37">
        <v>10114</v>
      </c>
      <c r="C51" s="47">
        <v>938410</v>
      </c>
      <c r="D51" s="40" t="s">
        <v>60</v>
      </c>
      <c r="E51" s="41"/>
      <c r="F51" s="83">
        <v>2755.15</v>
      </c>
      <c r="G51" s="92">
        <v>15856.15</v>
      </c>
      <c r="H51" s="83">
        <v>126092.92</v>
      </c>
      <c r="I51" s="41"/>
      <c r="J51" s="41"/>
      <c r="K51" s="133">
        <f>VLOOKUP(C51,'[4]PERIOD 2 TOTALS.'!$A$2:$I$128,9,0)</f>
        <v>155137.77</v>
      </c>
      <c r="L51" s="40" t="s">
        <v>236</v>
      </c>
      <c r="M51" s="40">
        <v>100700976</v>
      </c>
      <c r="N51" s="38"/>
      <c r="O51" s="38"/>
      <c r="P51" s="38"/>
      <c r="Q51" s="38"/>
    </row>
    <row r="52" spans="1:17" ht="16.5" thickBot="1">
      <c r="A52" s="37">
        <v>3305</v>
      </c>
      <c r="B52" s="37">
        <v>10078</v>
      </c>
      <c r="C52" s="47">
        <v>938295</v>
      </c>
      <c r="D52" s="40" t="s">
        <v>62</v>
      </c>
      <c r="E52" s="41"/>
      <c r="F52" s="83">
        <f>1096.97-7.86</f>
        <v>1089.1100000000001</v>
      </c>
      <c r="G52" s="92">
        <v>-46874.55</v>
      </c>
      <c r="H52" s="83">
        <v>98366.67</v>
      </c>
      <c r="I52" s="41"/>
      <c r="J52" s="41"/>
      <c r="K52" s="133">
        <f>VLOOKUP(C52,'[4]PERIOD 2 TOTALS.'!$A$2:$I$128,9,0)</f>
        <v>97277.56</v>
      </c>
      <c r="L52" s="40" t="s">
        <v>225</v>
      </c>
      <c r="M52" s="40">
        <v>100694672</v>
      </c>
      <c r="N52" s="38"/>
      <c r="O52" s="38"/>
      <c r="P52" s="38"/>
      <c r="Q52" s="38"/>
    </row>
    <row r="53" spans="1:17" ht="16.5" thickBot="1">
      <c r="A53" s="37">
        <v>2042</v>
      </c>
      <c r="B53" s="37">
        <v>10079</v>
      </c>
      <c r="C53" s="47">
        <v>938180</v>
      </c>
      <c r="D53" s="40" t="s">
        <v>63</v>
      </c>
      <c r="E53" s="41"/>
      <c r="F53" s="83">
        <v>1258.57</v>
      </c>
      <c r="G53" s="92">
        <v>-10818.18</v>
      </c>
      <c r="H53" s="83">
        <v>131447.18</v>
      </c>
      <c r="I53" s="41"/>
      <c r="J53" s="41"/>
      <c r="K53" s="133">
        <f>VLOOKUP(C53,'[4]PERIOD 2 TOTALS.'!$A$2:$I$128,9,0)</f>
        <v>132086.61</v>
      </c>
      <c r="L53" s="40" t="s">
        <v>221</v>
      </c>
      <c r="M53" s="40">
        <v>100693200</v>
      </c>
      <c r="N53" s="38"/>
      <c r="O53" s="38"/>
      <c r="P53" s="38"/>
      <c r="Q53" s="38"/>
    </row>
    <row r="54" spans="1:17" ht="16.5" thickBot="1">
      <c r="A54" s="37">
        <v>2044</v>
      </c>
      <c r="B54" s="37">
        <v>10081</v>
      </c>
      <c r="C54" s="47">
        <v>938190</v>
      </c>
      <c r="D54" s="40" t="s">
        <v>65</v>
      </c>
      <c r="E54" s="41"/>
      <c r="F54" s="58">
        <v>4036.65</v>
      </c>
      <c r="G54" s="92">
        <v>-76818.3</v>
      </c>
      <c r="H54" s="58">
        <v>211204.19</v>
      </c>
      <c r="I54" s="41"/>
      <c r="J54" s="41"/>
      <c r="K54" s="133">
        <f>VLOOKUP(C54,'[4]PERIOD 2 TOTALS.'!$A$2:$I$128,9,0)</f>
        <v>223970.54</v>
      </c>
      <c r="L54" s="40" t="s">
        <v>222</v>
      </c>
      <c r="M54" s="40">
        <v>100693688</v>
      </c>
      <c r="N54" s="38"/>
      <c r="O54" s="38"/>
      <c r="P54" s="38"/>
      <c r="Q54" s="38"/>
    </row>
    <row r="55" spans="1:17" ht="16.5" thickBot="1">
      <c r="A55" s="37">
        <v>2043</v>
      </c>
      <c r="B55" s="37">
        <v>10080</v>
      </c>
      <c r="C55" s="47">
        <v>938185</v>
      </c>
      <c r="D55" s="40" t="s">
        <v>64</v>
      </c>
      <c r="E55" s="41"/>
      <c r="F55" s="83">
        <v>6488.16</v>
      </c>
      <c r="G55" s="92">
        <v>-143356.05</v>
      </c>
      <c r="H55" s="83">
        <v>270064.52</v>
      </c>
      <c r="I55" s="41"/>
      <c r="J55" s="41"/>
      <c r="K55" s="133">
        <f>VLOOKUP(C55,'[4]PERIOD 2 TOTALS.'!$A$2:$I$128,9,0)</f>
        <v>263576.36</v>
      </c>
      <c r="L55" s="40" t="s">
        <v>227</v>
      </c>
      <c r="M55" s="40">
        <v>100696203</v>
      </c>
      <c r="N55" s="38"/>
      <c r="O55" s="38"/>
      <c r="P55" s="38"/>
      <c r="Q55" s="38"/>
    </row>
    <row r="56" spans="1:17" ht="16.5" thickBot="1">
      <c r="A56" s="37">
        <v>2045</v>
      </c>
      <c r="B56" s="37">
        <v>10082</v>
      </c>
      <c r="C56" s="47">
        <v>938195</v>
      </c>
      <c r="D56" s="40" t="s">
        <v>66</v>
      </c>
      <c r="E56" s="41"/>
      <c r="F56" s="83">
        <v>2767.82</v>
      </c>
      <c r="G56" s="92">
        <v>-49141.37</v>
      </c>
      <c r="H56" s="83">
        <v>277360.16</v>
      </c>
      <c r="I56" s="41"/>
      <c r="J56" s="41"/>
      <c r="K56" s="133">
        <f>VLOOKUP(C56,'[4]PERIOD 2 TOTALS.'!$A$2:$I$128,9,0)</f>
        <v>274592.34</v>
      </c>
      <c r="L56" s="40" t="s">
        <v>229</v>
      </c>
      <c r="M56" s="40">
        <v>100696797</v>
      </c>
      <c r="N56" s="38"/>
      <c r="O56" s="38"/>
      <c r="P56" s="38"/>
      <c r="Q56" s="38"/>
    </row>
    <row r="57" spans="1:17" ht="16.5" thickBot="1">
      <c r="A57" s="37">
        <v>2077</v>
      </c>
      <c r="B57" s="37">
        <v>10127</v>
      </c>
      <c r="C57" s="47">
        <v>938270</v>
      </c>
      <c r="D57" s="40" t="s">
        <v>49</v>
      </c>
      <c r="E57" s="41"/>
      <c r="F57" s="83">
        <f>15173.32-30.51</f>
        <v>15142.81</v>
      </c>
      <c r="G57" s="92">
        <v>-24567.06</v>
      </c>
      <c r="H57" s="83">
        <v>221576.71</v>
      </c>
      <c r="I57" s="41"/>
      <c r="J57" s="41"/>
      <c r="K57" s="133">
        <f>VLOOKUP(C57,'[4]PERIOD 2 TOTALS.'!$A$2:$I$128,9,0)</f>
        <v>206433.9</v>
      </c>
      <c r="L57" s="40" t="s">
        <v>229</v>
      </c>
      <c r="M57" s="40">
        <v>100697462</v>
      </c>
      <c r="N57" s="38"/>
      <c r="O57" s="38"/>
      <c r="P57" s="38"/>
      <c r="Q57" s="38"/>
    </row>
    <row r="58" spans="1:17" ht="16.5" thickBot="1">
      <c r="A58" s="37">
        <v>5201</v>
      </c>
      <c r="B58" s="37">
        <v>10084</v>
      </c>
      <c r="C58" s="47">
        <v>938495</v>
      </c>
      <c r="D58" s="40" t="s">
        <v>68</v>
      </c>
      <c r="E58" s="41"/>
      <c r="F58" s="83">
        <v>3751.4</v>
      </c>
      <c r="G58" s="92">
        <v>59479.37</v>
      </c>
      <c r="H58" s="83">
        <v>224866.86</v>
      </c>
      <c r="I58" s="41"/>
      <c r="J58" s="41"/>
      <c r="K58" s="133">
        <f>VLOOKUP(C58,'[4]PERIOD 2 TOTALS.'!$A$2:$I$128,9,0)</f>
        <v>221115.46</v>
      </c>
      <c r="L58" s="97" t="s">
        <v>236</v>
      </c>
      <c r="M58" s="40">
        <v>100701267</v>
      </c>
      <c r="N58" s="38"/>
      <c r="O58" s="38"/>
      <c r="P58" s="38"/>
      <c r="Q58" s="38"/>
    </row>
    <row r="59" spans="1:17" ht="16.5" thickBot="1">
      <c r="A59" s="37">
        <v>3501</v>
      </c>
      <c r="B59" s="37">
        <v>10085</v>
      </c>
      <c r="C59" s="47">
        <v>938360</v>
      </c>
      <c r="D59" s="40" t="s">
        <v>67</v>
      </c>
      <c r="E59" s="41"/>
      <c r="F59" s="83">
        <f>1269.78-2.98</f>
        <v>1266.8</v>
      </c>
      <c r="G59" s="92">
        <v>-7225.73</v>
      </c>
      <c r="H59" s="83">
        <v>126418.8</v>
      </c>
      <c r="I59" s="41"/>
      <c r="J59" s="41"/>
      <c r="K59" s="133">
        <f>VLOOKUP(C59,'[4]PERIOD 2 TOTALS.'!$A$2:$I$128,9,0)</f>
        <v>125152</v>
      </c>
      <c r="L59" s="40" t="s">
        <v>228</v>
      </c>
      <c r="M59" s="40">
        <v>100696783</v>
      </c>
      <c r="N59" s="38"/>
      <c r="O59" s="38"/>
      <c r="P59" s="38"/>
      <c r="Q59" s="38"/>
    </row>
    <row r="60" spans="1:17" ht="16.5" thickBot="1">
      <c r="A60" s="37">
        <v>2078</v>
      </c>
      <c r="B60" s="37">
        <v>10129</v>
      </c>
      <c r="C60" s="47">
        <v>938275</v>
      </c>
      <c r="D60" s="40" t="s">
        <v>123</v>
      </c>
      <c r="E60" s="41"/>
      <c r="F60" s="83">
        <v>1537.22</v>
      </c>
      <c r="G60" s="92">
        <v>18656.77</v>
      </c>
      <c r="H60" s="83">
        <v>10005.51</v>
      </c>
      <c r="I60" s="41"/>
      <c r="J60" s="41"/>
      <c r="K60" s="133">
        <f>VLOOKUP(C60,'[4]PERIOD 2 TOTALS.'!$A$2:$I$128,9,0)</f>
        <v>8468.29</v>
      </c>
      <c r="L60" s="40" t="s">
        <v>227</v>
      </c>
      <c r="M60" s="40">
        <v>100695271</v>
      </c>
      <c r="N60" s="38"/>
      <c r="O60" s="38"/>
      <c r="P60" s="38"/>
      <c r="Q60" s="38"/>
    </row>
    <row r="61" spans="1:17" ht="16.5" thickBot="1">
      <c r="A61" s="37">
        <v>2000</v>
      </c>
      <c r="B61" s="37">
        <v>10120</v>
      </c>
      <c r="C61" s="47">
        <v>938020</v>
      </c>
      <c r="D61" s="40" t="s">
        <v>69</v>
      </c>
      <c r="E61" s="41"/>
      <c r="F61" s="83">
        <f>12522.28-37.41</f>
        <v>12484.87</v>
      </c>
      <c r="G61" s="92">
        <v>20360.29</v>
      </c>
      <c r="H61" s="83">
        <v>74064.78</v>
      </c>
      <c r="I61" s="41"/>
      <c r="J61" s="41"/>
      <c r="K61" s="133">
        <f>VLOOKUP(C61,'[4]PERIOD 2 TOTALS.'!$A$2:$I$128,9,0)</f>
        <v>61579.910000000054</v>
      </c>
      <c r="L61" s="40" t="s">
        <v>228</v>
      </c>
      <c r="M61" s="40">
        <v>100696764</v>
      </c>
      <c r="N61" s="38"/>
      <c r="O61" s="38"/>
      <c r="P61" s="38"/>
      <c r="Q61" s="38"/>
    </row>
    <row r="62" spans="1:17" ht="16.5" thickBot="1">
      <c r="A62" s="37">
        <v>2071</v>
      </c>
      <c r="B62" s="37">
        <v>10119</v>
      </c>
      <c r="C62" s="47">
        <v>938245</v>
      </c>
      <c r="D62" s="40" t="s">
        <v>71</v>
      </c>
      <c r="E62" s="41"/>
      <c r="F62" s="83">
        <f>6130.09-19.17</f>
        <v>6110.92</v>
      </c>
      <c r="G62" s="92">
        <v>-58965.74</v>
      </c>
      <c r="H62" s="83">
        <v>111578.65</v>
      </c>
      <c r="I62" s="41"/>
      <c r="J62" s="41"/>
      <c r="K62" s="133">
        <f>VLOOKUP(C62,'[4]PERIOD 2 TOTALS.'!$A$2:$I$128,9,0)</f>
        <v>105467.73</v>
      </c>
      <c r="L62" s="40" t="s">
        <v>238</v>
      </c>
      <c r="M62" s="40">
        <v>100701281</v>
      </c>
      <c r="N62" s="38"/>
      <c r="O62" s="38"/>
      <c r="P62" s="38"/>
      <c r="Q62" s="38"/>
    </row>
    <row r="63" spans="1:17" ht="16.5" thickBot="1">
      <c r="A63" s="37">
        <v>2072</v>
      </c>
      <c r="B63" s="37">
        <v>10086</v>
      </c>
      <c r="C63" s="47">
        <v>938250</v>
      </c>
      <c r="D63" s="40" t="s">
        <v>70</v>
      </c>
      <c r="E63" s="41"/>
      <c r="F63" s="83">
        <f>5216.47-37.68</f>
        <v>5178.79</v>
      </c>
      <c r="G63" s="92">
        <v>-81529.36</v>
      </c>
      <c r="H63" s="83">
        <v>207166.06</v>
      </c>
      <c r="I63" s="41"/>
      <c r="J63" s="41"/>
      <c r="K63" s="133">
        <f>VLOOKUP(C63,'[4]PERIOD 2 TOTALS.'!$A$2:$I$128,9,0)</f>
        <v>201987.27</v>
      </c>
      <c r="L63" s="40" t="s">
        <v>226</v>
      </c>
      <c r="M63" s="40">
        <v>100695210</v>
      </c>
      <c r="N63" s="38"/>
      <c r="O63" s="38"/>
      <c r="P63" s="38"/>
      <c r="Q63" s="38"/>
    </row>
    <row r="64" spans="1:17" ht="16.5" thickBot="1">
      <c r="A64" s="37">
        <v>3512</v>
      </c>
      <c r="B64" s="37">
        <v>10112</v>
      </c>
      <c r="C64" s="47">
        <v>938405</v>
      </c>
      <c r="D64" s="40" t="s">
        <v>72</v>
      </c>
      <c r="E64" s="41"/>
      <c r="F64" s="83">
        <v>3063.61</v>
      </c>
      <c r="G64" s="92">
        <v>-126043.71</v>
      </c>
      <c r="H64" s="83">
        <v>371022.96</v>
      </c>
      <c r="I64" s="41"/>
      <c r="J64" s="41"/>
      <c r="K64" s="133">
        <f>VLOOKUP(C64,'[4]PERIOD 2 TOTALS.'!$A$2:$I$128,9,0)</f>
        <v>210777.35</v>
      </c>
      <c r="L64" s="40" t="s">
        <v>221</v>
      </c>
      <c r="M64" s="40">
        <v>100692876</v>
      </c>
      <c r="N64" s="38"/>
      <c r="O64" s="38"/>
      <c r="P64" s="38"/>
      <c r="Q64" s="38"/>
    </row>
    <row r="65" spans="1:17" ht="16.5" thickBot="1">
      <c r="A65" s="37">
        <v>3510</v>
      </c>
      <c r="B65" s="37">
        <v>10110</v>
      </c>
      <c r="C65" s="47">
        <v>938395</v>
      </c>
      <c r="D65" s="40" t="s">
        <v>73</v>
      </c>
      <c r="E65" s="41"/>
      <c r="F65" s="83">
        <f>9241.67-29.32</f>
        <v>9212.35</v>
      </c>
      <c r="G65" s="92">
        <v>-104092.2</v>
      </c>
      <c r="H65" s="83">
        <v>188503.79</v>
      </c>
      <c r="I65" s="41"/>
      <c r="J65" s="41"/>
      <c r="K65" s="133">
        <f>VLOOKUP(C65,'[4]PERIOD 2 TOTALS.'!$A$2:$I$128,9,0)</f>
        <v>179291.44</v>
      </c>
      <c r="L65" s="40" t="s">
        <v>227</v>
      </c>
      <c r="M65" s="40">
        <v>100696200</v>
      </c>
      <c r="N65" s="38"/>
      <c r="O65" s="38"/>
      <c r="P65" s="38"/>
      <c r="Q65" s="38"/>
    </row>
    <row r="66" spans="1:17" ht="16.5" thickBot="1">
      <c r="A66" s="37">
        <v>3502</v>
      </c>
      <c r="B66" s="37">
        <v>10087</v>
      </c>
      <c r="C66" s="47">
        <v>938365</v>
      </c>
      <c r="D66" s="40" t="s">
        <v>74</v>
      </c>
      <c r="E66" s="41"/>
      <c r="F66" s="83">
        <v>3068.77</v>
      </c>
      <c r="G66" s="92">
        <v>-83959.3</v>
      </c>
      <c r="H66" s="83">
        <v>206033.58</v>
      </c>
      <c r="I66" s="41"/>
      <c r="J66" s="41"/>
      <c r="K66" s="133">
        <f>VLOOKUP(C66,'[4]PERIOD 2 TOTALS.'!$A$2:$I$128,9,0)</f>
        <v>202964.81</v>
      </c>
      <c r="L66" s="40" t="s">
        <v>226</v>
      </c>
      <c r="M66" s="40">
        <v>100694701</v>
      </c>
      <c r="N66" s="38"/>
      <c r="O66" s="38"/>
      <c r="P66" s="38"/>
      <c r="Q66" s="38"/>
    </row>
    <row r="67" spans="1:17" ht="16.5" thickBot="1">
      <c r="A67" s="37">
        <v>3315</v>
      </c>
      <c r="B67" s="37">
        <v>10099</v>
      </c>
      <c r="C67" s="47">
        <v>938340</v>
      </c>
      <c r="D67" s="40" t="s">
        <v>75</v>
      </c>
      <c r="E67" s="41"/>
      <c r="F67" s="83">
        <f>3707.11-26.21</f>
        <v>3680.9</v>
      </c>
      <c r="G67" s="92">
        <v>-55474.71</v>
      </c>
      <c r="H67" s="83">
        <v>63164.72</v>
      </c>
      <c r="I67" s="41"/>
      <c r="J67" s="41"/>
      <c r="K67" s="133">
        <f>VLOOKUP(C67,'[4]PERIOD 2 TOTALS.'!$A$2:$I$128,9,0)</f>
        <v>59483.82</v>
      </c>
      <c r="L67" s="40" t="s">
        <v>228</v>
      </c>
      <c r="M67" s="40">
        <v>100696263</v>
      </c>
      <c r="N67" s="38"/>
      <c r="O67" s="38"/>
      <c r="P67" s="38"/>
      <c r="Q67" s="38"/>
    </row>
    <row r="68" spans="1:17" ht="16.5" thickBot="1">
      <c r="A68" s="37">
        <v>3504</v>
      </c>
      <c r="B68" s="37">
        <v>10088</v>
      </c>
      <c r="C68" s="47">
        <v>938370</v>
      </c>
      <c r="D68" s="40" t="s">
        <v>76</v>
      </c>
      <c r="E68" s="41"/>
      <c r="F68" s="83">
        <v>6949.55</v>
      </c>
      <c r="G68" s="92">
        <v>-96090.51</v>
      </c>
      <c r="H68" s="83">
        <v>166369.17</v>
      </c>
      <c r="I68" s="41"/>
      <c r="J68" s="41"/>
      <c r="K68" s="133">
        <f>VLOOKUP(C68,'[4]PERIOD 2 TOTALS.'!$A$2:$I$128,9,0)</f>
        <v>159419.62</v>
      </c>
      <c r="L68" s="40" t="s">
        <v>236</v>
      </c>
      <c r="M68" s="40">
        <v>100701242</v>
      </c>
      <c r="N68" s="38"/>
      <c r="O68" s="38"/>
      <c r="P68" s="38"/>
      <c r="Q68" s="38"/>
    </row>
    <row r="69" spans="1:17" ht="16.5" thickBot="1">
      <c r="A69" s="37">
        <v>3307</v>
      </c>
      <c r="B69" s="37">
        <v>10089</v>
      </c>
      <c r="C69" s="47">
        <v>938300</v>
      </c>
      <c r="D69" s="40" t="s">
        <v>77</v>
      </c>
      <c r="E69" s="41"/>
      <c r="F69" s="83">
        <f>3464.35-24.09</f>
        <v>3440.2599999999998</v>
      </c>
      <c r="G69" s="92">
        <v>-54715.15</v>
      </c>
      <c r="H69" s="83">
        <v>112388.53</v>
      </c>
      <c r="I69" s="41"/>
      <c r="J69" s="41"/>
      <c r="K69" s="133">
        <f>VLOOKUP(C69,'[4]PERIOD 2 TOTALS.'!$A$2:$I$128,9,0)</f>
        <v>151993.27</v>
      </c>
      <c r="L69" s="40" t="s">
        <v>238</v>
      </c>
      <c r="M69" s="40">
        <v>100701304</v>
      </c>
      <c r="N69" s="38"/>
      <c r="O69" s="38"/>
      <c r="P69" s="38"/>
      <c r="Q69" s="38"/>
    </row>
    <row r="70" spans="1:17" ht="16.5" thickBot="1">
      <c r="A70" s="37">
        <v>3309</v>
      </c>
      <c r="B70" s="37">
        <v>10116</v>
      </c>
      <c r="C70" s="47">
        <v>938310</v>
      </c>
      <c r="D70" s="40" t="s">
        <v>78</v>
      </c>
      <c r="E70" s="41"/>
      <c r="F70" s="83">
        <v>2254.75</v>
      </c>
      <c r="G70" s="92">
        <v>-46541.45</v>
      </c>
      <c r="H70" s="83">
        <v>197520.67</v>
      </c>
      <c r="I70" s="41"/>
      <c r="J70" s="41"/>
      <c r="K70" s="133">
        <f>VLOOKUP(C70,'[4]PERIOD 2 TOTALS.'!$A$2:$I$128,9,0)</f>
        <v>195265.92</v>
      </c>
      <c r="L70" s="40" t="s">
        <v>228</v>
      </c>
      <c r="M70" s="40">
        <v>100696277</v>
      </c>
      <c r="N70" s="38"/>
      <c r="O70" s="38"/>
      <c r="P70" s="38"/>
      <c r="Q70" s="38"/>
    </row>
    <row r="71" spans="1:17" ht="16.5" thickBot="1">
      <c r="A71" s="37">
        <v>3508</v>
      </c>
      <c r="B71" s="37">
        <v>10111</v>
      </c>
      <c r="C71" s="47">
        <v>938385</v>
      </c>
      <c r="D71" s="40" t="s">
        <v>80</v>
      </c>
      <c r="E71" s="41"/>
      <c r="F71" s="83">
        <f>4471.47-7.94</f>
        <v>4463.530000000001</v>
      </c>
      <c r="G71" s="92">
        <v>-43673.75</v>
      </c>
      <c r="H71" s="83">
        <v>60816.95</v>
      </c>
      <c r="I71" s="41"/>
      <c r="J71" s="41"/>
      <c r="K71" s="133">
        <f>VLOOKUP(C71,'[4]PERIOD 2 TOTALS.'!$A$2:$I$128,9,0)</f>
        <v>63833.42</v>
      </c>
      <c r="L71" s="40" t="s">
        <v>235</v>
      </c>
      <c r="M71" s="40">
        <v>100700957</v>
      </c>
      <c r="N71" s="38"/>
      <c r="O71" s="38"/>
      <c r="P71" s="38"/>
      <c r="Q71" s="38"/>
    </row>
    <row r="72" spans="1:17" ht="16.5" thickBot="1">
      <c r="A72" s="37">
        <v>3509</v>
      </c>
      <c r="B72" s="37">
        <v>10107</v>
      </c>
      <c r="C72" s="47">
        <v>938390</v>
      </c>
      <c r="D72" s="40" t="s">
        <v>79</v>
      </c>
      <c r="E72" s="41"/>
      <c r="F72" s="83">
        <f>3550.78-94.03</f>
        <v>3456.75</v>
      </c>
      <c r="G72" s="92">
        <v>-49840.56</v>
      </c>
      <c r="H72" s="83">
        <v>172269.98</v>
      </c>
      <c r="I72" s="41"/>
      <c r="J72" s="41"/>
      <c r="K72" s="133">
        <f>VLOOKUP(C72,'[4]PERIOD 2 TOTALS.'!$A$2:$I$128,9,0)</f>
        <v>76883.23</v>
      </c>
      <c r="L72" s="40" t="s">
        <v>226</v>
      </c>
      <c r="M72" s="40">
        <v>100695204</v>
      </c>
      <c r="N72" s="38"/>
      <c r="O72" s="38"/>
      <c r="P72" s="38"/>
      <c r="Q72" s="38"/>
    </row>
    <row r="73" spans="1:17" ht="16.5" thickBot="1">
      <c r="A73" s="37">
        <v>3312</v>
      </c>
      <c r="B73" s="37">
        <v>10093</v>
      </c>
      <c r="C73" s="47">
        <v>938325</v>
      </c>
      <c r="D73" s="40" t="s">
        <v>82</v>
      </c>
      <c r="E73" s="41"/>
      <c r="F73" s="83">
        <v>3981.51</v>
      </c>
      <c r="G73" s="92">
        <v>-47877.07</v>
      </c>
      <c r="H73" s="83">
        <v>121110.66</v>
      </c>
      <c r="I73" s="41"/>
      <c r="J73" s="41"/>
      <c r="K73" s="133">
        <f>VLOOKUP(C73,'[4]PERIOD 2 TOTALS.'!$A$2:$I$128,9,0)</f>
        <v>117129.15</v>
      </c>
      <c r="L73" s="40" t="s">
        <v>225</v>
      </c>
      <c r="M73" s="40">
        <v>100694346</v>
      </c>
      <c r="N73" s="38"/>
      <c r="O73" s="38"/>
      <c r="P73" s="38"/>
      <c r="Q73" s="38"/>
    </row>
    <row r="74" spans="1:17" ht="16.5" thickBot="1">
      <c r="A74" s="37">
        <v>3311</v>
      </c>
      <c r="B74" s="37">
        <v>10092</v>
      </c>
      <c r="C74" s="47">
        <v>938320</v>
      </c>
      <c r="D74" s="40" t="s">
        <v>81</v>
      </c>
      <c r="E74" s="41"/>
      <c r="F74" s="83">
        <v>4040.5</v>
      </c>
      <c r="G74" s="92">
        <v>-115165.59</v>
      </c>
      <c r="H74" s="83">
        <v>201993.67</v>
      </c>
      <c r="I74" s="41"/>
      <c r="J74" s="41"/>
      <c r="K74" s="133">
        <f>VLOOKUP(C74,'[4]PERIOD 2 TOTALS.'!$A$2:$I$128,9,0)</f>
        <v>234826.17</v>
      </c>
      <c r="L74" s="40" t="s">
        <v>227</v>
      </c>
      <c r="M74" s="40">
        <v>100696215</v>
      </c>
      <c r="N74" s="38"/>
      <c r="O74" s="38"/>
      <c r="P74" s="38"/>
      <c r="Q74" s="38"/>
    </row>
    <row r="75" spans="1:17" ht="16.5" thickBot="1">
      <c r="A75" s="37">
        <v>3521</v>
      </c>
      <c r="B75" s="37">
        <v>10698</v>
      </c>
      <c r="C75" s="47">
        <v>938437</v>
      </c>
      <c r="D75" s="40" t="s">
        <v>136</v>
      </c>
      <c r="E75" s="41"/>
      <c r="F75" s="83">
        <v>11659.29</v>
      </c>
      <c r="G75" s="92">
        <v>-59976.89</v>
      </c>
      <c r="H75" s="83">
        <v>175935.72</v>
      </c>
      <c r="I75" s="41"/>
      <c r="J75" s="41"/>
      <c r="K75" s="133">
        <f>VLOOKUP(C75,'[4]PERIOD 2 TOTALS.'!$A$2:$I$128,9,0)</f>
        <v>164276.43</v>
      </c>
      <c r="L75" s="40" t="s">
        <v>226</v>
      </c>
      <c r="M75" s="40">
        <v>100695264</v>
      </c>
      <c r="N75" s="38"/>
      <c r="O75" s="38"/>
      <c r="P75" s="38"/>
      <c r="Q75" s="38"/>
    </row>
    <row r="76" spans="1:17" ht="16.5" thickBot="1">
      <c r="A76" s="37">
        <v>3313</v>
      </c>
      <c r="B76" s="37">
        <v>10094</v>
      </c>
      <c r="C76" s="47">
        <v>938330</v>
      </c>
      <c r="D76" s="40" t="s">
        <v>83</v>
      </c>
      <c r="E76" s="41"/>
      <c r="F76" s="87">
        <f>3775.54-4.47</f>
        <v>3771.07</v>
      </c>
      <c r="G76" s="92">
        <v>-27732.85</v>
      </c>
      <c r="H76" s="83">
        <v>113798.43</v>
      </c>
      <c r="I76" s="41"/>
      <c r="J76" s="41"/>
      <c r="K76" s="133">
        <f>VLOOKUP(C76,'[4]PERIOD 2 TOTALS.'!$A$2:$I$128,9,0)</f>
        <v>110027.36</v>
      </c>
      <c r="L76" s="40" t="s">
        <v>230</v>
      </c>
      <c r="M76" s="40">
        <v>100700526</v>
      </c>
      <c r="N76" s="38"/>
      <c r="O76" s="38"/>
      <c r="P76" s="38"/>
      <c r="Q76" s="38"/>
    </row>
    <row r="77" spans="1:17" ht="16.5" thickBot="1">
      <c r="A77" s="37">
        <v>3314</v>
      </c>
      <c r="B77" s="37">
        <v>10095</v>
      </c>
      <c r="C77" s="47">
        <v>938335</v>
      </c>
      <c r="D77" s="40" t="s">
        <v>84</v>
      </c>
      <c r="E77" s="41"/>
      <c r="F77" s="87">
        <f>4928-19.36</f>
        <v>4908.64</v>
      </c>
      <c r="G77" s="92">
        <v>-49053.4</v>
      </c>
      <c r="H77" s="83">
        <v>135299.38</v>
      </c>
      <c r="I77" s="41"/>
      <c r="J77" s="41"/>
      <c r="K77" s="133">
        <f>VLOOKUP(C77,'[4]PERIOD 2 TOTALS.'!$A$2:$I$128,9,0)</f>
        <v>141720.74</v>
      </c>
      <c r="L77" s="40" t="s">
        <v>228</v>
      </c>
      <c r="M77" s="40">
        <v>100696787</v>
      </c>
      <c r="N77" s="38"/>
      <c r="O77" s="38"/>
      <c r="P77" s="38"/>
      <c r="Q77" s="38"/>
    </row>
    <row r="78" spans="1:17" ht="16.5" thickBot="1">
      <c r="A78" s="37">
        <v>3507</v>
      </c>
      <c r="B78" s="37">
        <v>10108</v>
      </c>
      <c r="C78" s="47">
        <v>938380</v>
      </c>
      <c r="D78" s="40" t="s">
        <v>85</v>
      </c>
      <c r="E78" s="41"/>
      <c r="F78" s="83">
        <v>5166.63</v>
      </c>
      <c r="G78" s="92">
        <v>-5378.68</v>
      </c>
      <c r="H78" s="83">
        <v>101745.38</v>
      </c>
      <c r="I78" s="41"/>
      <c r="J78" s="41"/>
      <c r="K78" s="133">
        <f>VLOOKUP(C78,'[4]PERIOD 2 TOTALS.'!$A$2:$I$128,9,0)</f>
        <v>96578.75000000009</v>
      </c>
      <c r="L78" s="40" t="s">
        <v>230</v>
      </c>
      <c r="M78" s="40">
        <v>100700525</v>
      </c>
      <c r="N78" s="38"/>
      <c r="O78" s="38"/>
      <c r="P78" s="38"/>
      <c r="Q78" s="38"/>
    </row>
    <row r="79" spans="1:17" ht="16.5" thickBot="1">
      <c r="A79" s="37">
        <v>3506</v>
      </c>
      <c r="B79" s="37">
        <v>10096</v>
      </c>
      <c r="C79" s="47">
        <v>938375</v>
      </c>
      <c r="D79" s="40" t="s">
        <v>86</v>
      </c>
      <c r="E79" s="41"/>
      <c r="F79" s="83">
        <f>2292.05-1.64</f>
        <v>2290.4100000000003</v>
      </c>
      <c r="G79" s="92">
        <v>22007.95</v>
      </c>
      <c r="H79" s="83">
        <v>180697.18</v>
      </c>
      <c r="I79" s="41"/>
      <c r="J79" s="41"/>
      <c r="K79" s="133">
        <f>VLOOKUP(C79,'[4]PERIOD 2 TOTALS.'!$A$2:$I$128,9,0)</f>
        <v>178406.77</v>
      </c>
      <c r="L79" s="40" t="s">
        <v>228</v>
      </c>
      <c r="M79" s="40">
        <v>100696763</v>
      </c>
      <c r="N79" s="38"/>
      <c r="O79" s="38"/>
      <c r="P79" s="38"/>
      <c r="Q79" s="38"/>
    </row>
    <row r="80" spans="1:17" ht="16.5" thickBot="1">
      <c r="A80" s="37">
        <v>2052</v>
      </c>
      <c r="B80" s="37">
        <v>10098</v>
      </c>
      <c r="C80" s="47">
        <v>938200</v>
      </c>
      <c r="D80" s="40" t="s">
        <v>87</v>
      </c>
      <c r="E80" s="41"/>
      <c r="F80" s="83">
        <f>7369-27.39</f>
        <v>7341.61</v>
      </c>
      <c r="G80" s="92">
        <v>-123226.68</v>
      </c>
      <c r="H80" s="83">
        <v>217844.31</v>
      </c>
      <c r="I80" s="41"/>
      <c r="J80" s="41"/>
      <c r="K80" s="133">
        <f>VLOOKUP(C80,'[4]PERIOD 2 TOTALS.'!$A$2:$I$128,9,0)</f>
        <v>210502.7</v>
      </c>
      <c r="L80" s="40" t="s">
        <v>227</v>
      </c>
      <c r="M80" s="40">
        <v>100696257</v>
      </c>
      <c r="N80" s="38"/>
      <c r="O80" s="38"/>
      <c r="P80" s="38"/>
      <c r="Q80" s="38"/>
    </row>
    <row r="81" spans="1:17" ht="16.5" thickBot="1">
      <c r="A81" s="37">
        <v>2070</v>
      </c>
      <c r="B81" s="37">
        <v>10097</v>
      </c>
      <c r="C81" s="47">
        <v>938240</v>
      </c>
      <c r="D81" s="40" t="s">
        <v>88</v>
      </c>
      <c r="E81" s="41"/>
      <c r="F81" s="83">
        <v>4502.91</v>
      </c>
      <c r="G81" s="92">
        <v>-26388.94</v>
      </c>
      <c r="H81" s="83">
        <v>132133.16</v>
      </c>
      <c r="I81" s="41"/>
      <c r="J81" s="41"/>
      <c r="K81" s="133">
        <f>VLOOKUP(C81,'[4]PERIOD 2 TOTALS.'!$A$2:$I$128,9,0)</f>
        <v>127630.25</v>
      </c>
      <c r="L81" s="40" t="s">
        <v>236</v>
      </c>
      <c r="M81" s="40">
        <v>100701232</v>
      </c>
      <c r="N81" s="38"/>
      <c r="O81" s="38"/>
      <c r="P81" s="38"/>
      <c r="Q81" s="38"/>
    </row>
    <row r="82" spans="1:17" ht="16.5" thickBot="1">
      <c r="A82" s="37">
        <v>3316</v>
      </c>
      <c r="B82" s="37">
        <v>10100</v>
      </c>
      <c r="C82" s="47">
        <v>938345</v>
      </c>
      <c r="D82" s="40" t="s">
        <v>89</v>
      </c>
      <c r="E82" s="41"/>
      <c r="F82" s="83">
        <v>2989.12</v>
      </c>
      <c r="G82" s="92">
        <v>-21924.19</v>
      </c>
      <c r="H82" s="83">
        <v>71974</v>
      </c>
      <c r="I82" s="41"/>
      <c r="J82" s="41"/>
      <c r="K82" s="133">
        <f>VLOOKUP(C82,'[4]PERIOD 2 TOTALS.'!$A$2:$I$128,9,0)</f>
        <v>73579.87999999993</v>
      </c>
      <c r="L82" s="40" t="s">
        <v>221</v>
      </c>
      <c r="M82" s="40">
        <v>100693198</v>
      </c>
      <c r="N82" s="38"/>
      <c r="O82" s="38"/>
      <c r="P82" s="38"/>
      <c r="Q82" s="38"/>
    </row>
    <row r="83" spans="1:17" ht="16.5" thickBot="1">
      <c r="A83" s="37">
        <v>2055</v>
      </c>
      <c r="B83" s="37">
        <v>10101</v>
      </c>
      <c r="C83" s="47">
        <v>938210</v>
      </c>
      <c r="D83" s="40" t="s">
        <v>90</v>
      </c>
      <c r="E83" s="41"/>
      <c r="F83" s="83">
        <f>3799.93-12.34</f>
        <v>3787.5899999999997</v>
      </c>
      <c r="G83" s="92">
        <v>31126.47</v>
      </c>
      <c r="H83" s="83">
        <v>109284.42</v>
      </c>
      <c r="I83" s="41"/>
      <c r="J83" s="41"/>
      <c r="K83" s="133">
        <f>VLOOKUP(C83,'[4]PERIOD 2 TOTALS.'!$A$2:$I$128,9,0)</f>
        <v>111781.83</v>
      </c>
      <c r="L83" s="40" t="s">
        <v>227</v>
      </c>
      <c r="M83" s="40">
        <v>100696235</v>
      </c>
      <c r="N83" s="38"/>
      <c r="O83" s="38"/>
      <c r="P83" s="38"/>
      <c r="Q83" s="38"/>
    </row>
    <row r="84" spans="1:17" ht="16.5" thickBot="1">
      <c r="A84" s="37">
        <v>2057</v>
      </c>
      <c r="B84" s="37">
        <v>10103</v>
      </c>
      <c r="C84" s="47">
        <v>938220</v>
      </c>
      <c r="D84" s="40" t="s">
        <v>92</v>
      </c>
      <c r="E84" s="41"/>
      <c r="F84" s="83">
        <v>6936.21</v>
      </c>
      <c r="G84" s="92">
        <v>-9229.69</v>
      </c>
      <c r="H84" s="83">
        <v>63330.04</v>
      </c>
      <c r="I84" s="41"/>
      <c r="J84" s="41"/>
      <c r="K84" s="133">
        <f>VLOOKUP(C84,'[4]PERIOD 2 TOTALS.'!$A$2:$I$128,9,0)</f>
        <v>187530.83</v>
      </c>
      <c r="L84" s="40" t="s">
        <v>225</v>
      </c>
      <c r="M84" s="40">
        <v>100694351</v>
      </c>
      <c r="N84" s="38"/>
      <c r="O84" s="38"/>
      <c r="P84" s="38"/>
      <c r="Q84" s="38"/>
    </row>
    <row r="85" spans="1:17" ht="16.5" thickBot="1">
      <c r="A85" s="37">
        <v>2056</v>
      </c>
      <c r="B85" s="37">
        <v>10102</v>
      </c>
      <c r="C85" s="47">
        <v>938215</v>
      </c>
      <c r="D85" s="40" t="s">
        <v>91</v>
      </c>
      <c r="E85" s="41"/>
      <c r="F85" s="83">
        <v>4994.76</v>
      </c>
      <c r="G85" s="92">
        <v>-32140.51</v>
      </c>
      <c r="H85" s="83">
        <v>89241.57</v>
      </c>
      <c r="I85" s="41"/>
      <c r="J85" s="41"/>
      <c r="K85" s="133">
        <f>VLOOKUP(C85,'[4]PERIOD 2 TOTALS.'!$A$2:$I$128,9,0)</f>
        <v>84246.81</v>
      </c>
      <c r="L85" s="40" t="s">
        <v>230</v>
      </c>
      <c r="M85" s="40">
        <v>100697481</v>
      </c>
      <c r="N85" s="38"/>
      <c r="O85" s="38"/>
      <c r="P85" s="38"/>
      <c r="Q85" s="38"/>
    </row>
    <row r="86" spans="1:17" ht="16.5" thickBot="1">
      <c r="A86" s="37">
        <v>2076</v>
      </c>
      <c r="B86" s="37">
        <v>10124</v>
      </c>
      <c r="C86" s="47">
        <v>938265</v>
      </c>
      <c r="D86" s="40" t="s">
        <v>93</v>
      </c>
      <c r="E86" s="41"/>
      <c r="F86" s="83">
        <f>5860.65-19.03</f>
        <v>5841.62</v>
      </c>
      <c r="G86" s="92">
        <v>-76554.01</v>
      </c>
      <c r="H86" s="83">
        <v>269860.57</v>
      </c>
      <c r="I86" s="41"/>
      <c r="J86" s="41"/>
      <c r="K86" s="133">
        <f>VLOOKUP(C86,'[4]PERIOD 2 TOTALS.'!$A$2:$I$128,9,0)</f>
        <v>264018.95</v>
      </c>
      <c r="L86" s="40" t="s">
        <v>228</v>
      </c>
      <c r="M86" s="40">
        <v>100696770</v>
      </c>
      <c r="N86" s="38"/>
      <c r="O86" s="38"/>
      <c r="P86" s="38"/>
      <c r="Q86" s="38"/>
    </row>
    <row r="87" spans="1:17" ht="16.5" thickBot="1">
      <c r="A87" s="37">
        <v>2060</v>
      </c>
      <c r="B87" s="37">
        <v>10105</v>
      </c>
      <c r="C87" s="47">
        <v>938225</v>
      </c>
      <c r="D87" s="40" t="s">
        <v>94</v>
      </c>
      <c r="E87" s="41"/>
      <c r="F87" s="83">
        <f>8373.98-41.27</f>
        <v>8332.71</v>
      </c>
      <c r="G87" s="92">
        <v>-44264.63</v>
      </c>
      <c r="H87" s="83">
        <v>389546.41</v>
      </c>
      <c r="I87" s="41"/>
      <c r="J87" s="41"/>
      <c r="K87" s="133">
        <f>VLOOKUP(C87,'[4]PERIOD 2 TOTALS.'!$A$2:$I$128,9,0)</f>
        <v>381213.7</v>
      </c>
      <c r="L87" s="40" t="s">
        <v>236</v>
      </c>
      <c r="M87" s="40">
        <v>100701271</v>
      </c>
      <c r="N87" s="38"/>
      <c r="O87" s="38"/>
      <c r="P87" s="38"/>
      <c r="Q87" s="38"/>
    </row>
    <row r="88" spans="1:17" ht="16.5" thickBot="1">
      <c r="A88" s="37">
        <v>3518</v>
      </c>
      <c r="B88" s="37">
        <v>10123</v>
      </c>
      <c r="C88" s="47">
        <v>938430</v>
      </c>
      <c r="D88" s="40" t="s">
        <v>131</v>
      </c>
      <c r="E88" s="41"/>
      <c r="F88" s="83">
        <f>10067.5-9.44</f>
        <v>10058.06</v>
      </c>
      <c r="G88" s="92">
        <v>-30569.91</v>
      </c>
      <c r="H88" s="83">
        <v>261383.16</v>
      </c>
      <c r="I88" s="41"/>
      <c r="J88" s="41"/>
      <c r="K88" s="133">
        <f>VLOOKUP(C88,'[4]PERIOD 2 TOTALS.'!$A$2:$I$128,9,0)</f>
        <v>307393.1</v>
      </c>
      <c r="L88" s="40" t="s">
        <v>226</v>
      </c>
      <c r="M88" s="40">
        <v>100695262</v>
      </c>
      <c r="N88" s="38"/>
      <c r="O88" s="38"/>
      <c r="P88" s="38"/>
      <c r="Q88" s="38"/>
    </row>
    <row r="89" spans="1:17" ht="16.5" thickBot="1">
      <c r="A89" s="37">
        <v>2054</v>
      </c>
      <c r="B89" s="37">
        <v>10109</v>
      </c>
      <c r="C89" s="47">
        <v>938205</v>
      </c>
      <c r="D89" s="40" t="s">
        <v>95</v>
      </c>
      <c r="E89" s="41"/>
      <c r="F89" s="83">
        <f>3430.68-9.23</f>
        <v>3421.45</v>
      </c>
      <c r="G89" s="92">
        <v>-54043.86</v>
      </c>
      <c r="H89" s="83">
        <v>202094.78</v>
      </c>
      <c r="I89" s="41"/>
      <c r="J89" s="41"/>
      <c r="K89" s="133">
        <f>VLOOKUP(C89,'[4]PERIOD 2 TOTALS.'!$A$2:$I$128,9,0)</f>
        <v>198673.33</v>
      </c>
      <c r="L89" s="40" t="s">
        <v>238</v>
      </c>
      <c r="M89" s="40">
        <v>100701284</v>
      </c>
      <c r="N89" s="38"/>
      <c r="O89" s="38"/>
      <c r="P89" s="38"/>
      <c r="Q89" s="38"/>
    </row>
    <row r="90" spans="1:17" ht="16.5" thickBot="1">
      <c r="A90" s="37">
        <v>5406</v>
      </c>
      <c r="B90" s="37">
        <v>10136</v>
      </c>
      <c r="C90" s="47">
        <v>938530</v>
      </c>
      <c r="D90" s="40" t="s">
        <v>96</v>
      </c>
      <c r="E90" s="41"/>
      <c r="F90" s="83">
        <f>31251.96-3895.37</f>
        <v>27356.59</v>
      </c>
      <c r="G90" s="92">
        <v>-29956.53</v>
      </c>
      <c r="H90" s="83">
        <v>160335.9</v>
      </c>
      <c r="I90" s="41"/>
      <c r="J90" s="41"/>
      <c r="K90" s="133">
        <f>VLOOKUP(C90,'[4]PERIOD 2 TOTALS.'!$A$2:$I$128,9,0)</f>
        <v>132979.31</v>
      </c>
      <c r="L90" s="40" t="s">
        <v>230</v>
      </c>
      <c r="M90" s="40">
        <v>100700528</v>
      </c>
      <c r="N90" s="38"/>
      <c r="O90" s="38"/>
      <c r="P90" s="38"/>
      <c r="Q90" s="38"/>
    </row>
    <row r="91" spans="1:17" ht="16.5" thickBot="1">
      <c r="A91" s="37">
        <v>5408</v>
      </c>
      <c r="B91" s="37">
        <v>10137</v>
      </c>
      <c r="C91" s="47">
        <v>938540</v>
      </c>
      <c r="D91" s="40" t="s">
        <v>97</v>
      </c>
      <c r="E91" s="41"/>
      <c r="F91" s="83">
        <v>21522.42</v>
      </c>
      <c r="G91" s="92">
        <v>284046.09</v>
      </c>
      <c r="H91" s="83">
        <v>371125.01</v>
      </c>
      <c r="I91" s="41"/>
      <c r="J91" s="41"/>
      <c r="K91" s="133">
        <f>VLOOKUP(C91,'[4]PERIOD 2 TOTALS.'!$A$2:$I$128,9,0)</f>
        <v>349602.59</v>
      </c>
      <c r="L91" s="40" t="s">
        <v>239</v>
      </c>
      <c r="M91" s="40">
        <v>100702476</v>
      </c>
      <c r="N91" s="38"/>
      <c r="O91" s="38"/>
      <c r="P91" s="38"/>
      <c r="Q91" s="38"/>
    </row>
    <row r="92" spans="1:17" ht="16.5" thickBot="1">
      <c r="A92" s="37">
        <v>4211</v>
      </c>
      <c r="B92" s="37">
        <v>10151</v>
      </c>
      <c r="C92" s="47">
        <v>938465</v>
      </c>
      <c r="D92" s="40" t="s">
        <v>98</v>
      </c>
      <c r="E92" s="41"/>
      <c r="F92" s="83">
        <v>11335.01</v>
      </c>
      <c r="G92" s="92">
        <v>142067.98</v>
      </c>
      <c r="H92" s="83">
        <v>567993.75</v>
      </c>
      <c r="I92" s="41"/>
      <c r="J92" s="41"/>
      <c r="K92" s="133">
        <f>VLOOKUP(C92,'[4]PERIOD 2 TOTALS.'!$A$2:$I$128,9,0)</f>
        <v>556658.74</v>
      </c>
      <c r="L92" s="40" t="s">
        <v>227</v>
      </c>
      <c r="M92" s="40">
        <v>100696208</v>
      </c>
      <c r="N92" s="38"/>
      <c r="O92" s="38"/>
      <c r="P92" s="38"/>
      <c r="Q92" s="38"/>
    </row>
    <row r="93" spans="1:17" ht="16.5" thickBot="1">
      <c r="A93" s="37">
        <v>4215</v>
      </c>
      <c r="B93" s="37">
        <v>10138</v>
      </c>
      <c r="C93" s="47">
        <v>938475</v>
      </c>
      <c r="D93" s="40" t="s">
        <v>99</v>
      </c>
      <c r="E93" s="41"/>
      <c r="F93" s="83">
        <f>28387.6-446.97</f>
        <v>27940.629999999997</v>
      </c>
      <c r="G93" s="92">
        <v>-250697.4</v>
      </c>
      <c r="H93" s="83">
        <v>480042.47</v>
      </c>
      <c r="I93" s="41"/>
      <c r="J93" s="41"/>
      <c r="K93" s="133">
        <f>VLOOKUP(C93,'[4]PERIOD 2 TOTALS.'!$A$2:$I$128,9,0)</f>
        <v>452101.84</v>
      </c>
      <c r="L93" s="40" t="s">
        <v>239</v>
      </c>
      <c r="M93" s="40">
        <v>100702467</v>
      </c>
      <c r="N93" s="38"/>
      <c r="O93" s="38"/>
      <c r="P93" s="38"/>
      <c r="Q93" s="38"/>
    </row>
    <row r="94" spans="1:17" ht="16.5" thickBot="1">
      <c r="A94" s="37">
        <v>4210</v>
      </c>
      <c r="B94" s="37">
        <v>10152</v>
      </c>
      <c r="C94" s="47">
        <v>938460</v>
      </c>
      <c r="D94" s="40" t="s">
        <v>100</v>
      </c>
      <c r="E94" s="41"/>
      <c r="F94" s="83">
        <f>23440.47-88.7</f>
        <v>23351.77</v>
      </c>
      <c r="G94" s="92">
        <v>-232192.03</v>
      </c>
      <c r="H94" s="83">
        <v>1028780.59</v>
      </c>
      <c r="I94" s="41"/>
      <c r="J94" s="41"/>
      <c r="K94" s="133">
        <f>VLOOKUP(C94,'[4]PERIOD 2 TOTALS.'!$A$2:$I$128,9,0)</f>
        <v>1005428.82</v>
      </c>
      <c r="L94" s="40" t="s">
        <v>227</v>
      </c>
      <c r="M94" s="40">
        <v>100696238</v>
      </c>
      <c r="N94" s="38"/>
      <c r="O94" s="38"/>
      <c r="P94" s="38"/>
      <c r="Q94" s="38"/>
    </row>
    <row r="95" spans="1:17" ht="16.5" thickBot="1">
      <c r="A95" s="37">
        <v>4212</v>
      </c>
      <c r="B95" s="37">
        <v>10153</v>
      </c>
      <c r="C95" s="47">
        <v>938470</v>
      </c>
      <c r="D95" s="40" t="s">
        <v>101</v>
      </c>
      <c r="E95" s="41"/>
      <c r="F95" s="83">
        <v>13671.98</v>
      </c>
      <c r="G95" s="92">
        <v>112962.23</v>
      </c>
      <c r="H95" s="83">
        <v>603222.9</v>
      </c>
      <c r="I95" s="41"/>
      <c r="J95" s="41"/>
      <c r="K95" s="133">
        <f>VLOOKUP(C95,'[4]PERIOD 2 TOTALS.'!$A$2:$I$128,9,0)</f>
        <v>589550.9200000006</v>
      </c>
      <c r="L95" s="40" t="s">
        <v>239</v>
      </c>
      <c r="M95" s="40">
        <v>100702478</v>
      </c>
      <c r="N95" s="38"/>
      <c r="O95" s="38"/>
      <c r="P95" s="38"/>
      <c r="Q95" s="38"/>
    </row>
    <row r="96" spans="1:17" ht="16.5" thickBot="1">
      <c r="A96" s="37">
        <v>5405</v>
      </c>
      <c r="B96" s="37">
        <v>10145</v>
      </c>
      <c r="C96" s="47">
        <v>938525</v>
      </c>
      <c r="D96" s="40" t="s">
        <v>102</v>
      </c>
      <c r="E96" s="41"/>
      <c r="F96" s="83">
        <v>22264.58</v>
      </c>
      <c r="G96" s="92">
        <v>-1000205.23</v>
      </c>
      <c r="H96" s="83">
        <v>1303830.93</v>
      </c>
      <c r="I96" s="41"/>
      <c r="J96" s="41"/>
      <c r="K96" s="133">
        <f>VLOOKUP(C96,'[4]PERIOD 2 TOTALS.'!$A$2:$I$128,9,0)</f>
        <v>1281566.35</v>
      </c>
      <c r="L96" s="40" t="s">
        <v>239</v>
      </c>
      <c r="M96" s="40">
        <v>100702468</v>
      </c>
      <c r="N96" s="38"/>
      <c r="O96" s="38"/>
      <c r="P96" s="38"/>
      <c r="Q96" s="38"/>
    </row>
    <row r="97" spans="1:17" ht="16.5" thickBot="1">
      <c r="A97" s="37">
        <v>4003</v>
      </c>
      <c r="B97" s="37">
        <v>10139</v>
      </c>
      <c r="C97" s="47">
        <v>938440</v>
      </c>
      <c r="D97" s="40" t="s">
        <v>103</v>
      </c>
      <c r="E97" s="41"/>
      <c r="F97" s="83">
        <f>13861.37-65.87</f>
        <v>13795.5</v>
      </c>
      <c r="G97" s="92">
        <v>145660.23</v>
      </c>
      <c r="H97" s="83">
        <v>68762.64</v>
      </c>
      <c r="I97" s="41"/>
      <c r="J97" s="41"/>
      <c r="K97" s="133">
        <f>VLOOKUP(C97,'[4]PERIOD 2 TOTALS.'!$A$2:$I$128,9,0)</f>
        <v>54967.14000000007</v>
      </c>
      <c r="L97" s="40" t="s">
        <v>229</v>
      </c>
      <c r="M97" s="40">
        <v>100696795</v>
      </c>
      <c r="N97" s="38"/>
      <c r="O97" s="38"/>
      <c r="P97" s="38"/>
      <c r="Q97" s="38"/>
    </row>
    <row r="98" spans="1:17" ht="16.5" thickBot="1">
      <c r="A98" s="37">
        <v>5409</v>
      </c>
      <c r="B98" s="37">
        <v>10146</v>
      </c>
      <c r="C98" s="47">
        <v>938545</v>
      </c>
      <c r="D98" s="40" t="s">
        <v>104</v>
      </c>
      <c r="E98" s="41"/>
      <c r="F98" s="83">
        <v>34281.29</v>
      </c>
      <c r="G98" s="92">
        <v>5527.98</v>
      </c>
      <c r="H98" s="83">
        <v>37799.11</v>
      </c>
      <c r="I98" s="41"/>
      <c r="J98" s="41"/>
      <c r="K98" s="133">
        <f>VLOOKUP(C98,'[4]PERIOD 2 TOTALS.'!$A$2:$I$128,9,0)</f>
        <v>3517.820000000007</v>
      </c>
      <c r="L98" s="40" t="s">
        <v>236</v>
      </c>
      <c r="M98" s="40">
        <v>100701280</v>
      </c>
      <c r="N98" s="38"/>
      <c r="O98" s="38"/>
      <c r="P98" s="38"/>
      <c r="Q98" s="38"/>
    </row>
    <row r="99" spans="1:17" ht="16.5" thickBot="1">
      <c r="A99" s="37">
        <v>5400</v>
      </c>
      <c r="B99" s="37">
        <v>10150</v>
      </c>
      <c r="C99" s="47">
        <v>938500</v>
      </c>
      <c r="D99" s="40" t="s">
        <v>105</v>
      </c>
      <c r="E99" s="41"/>
      <c r="F99" s="83">
        <v>16742.43</v>
      </c>
      <c r="G99" s="92">
        <v>146971.67</v>
      </c>
      <c r="H99" s="139">
        <v>380766.4</v>
      </c>
      <c r="I99" s="41"/>
      <c r="J99" s="41"/>
      <c r="K99" s="133">
        <f>VLOOKUP(C99,'[4]PERIOD 2 TOTALS.'!$A$2:$I$128,9,0)</f>
        <v>388747.2</v>
      </c>
      <c r="L99" s="40" t="s">
        <v>240</v>
      </c>
      <c r="M99" s="40">
        <v>100703250</v>
      </c>
      <c r="N99" s="38"/>
      <c r="O99" s="38"/>
      <c r="P99" s="38"/>
      <c r="Q99" s="38"/>
    </row>
    <row r="100" spans="1:17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41"/>
      <c r="F100" s="83">
        <v>9671.07</v>
      </c>
      <c r="G100" s="92">
        <v>-376396.9</v>
      </c>
      <c r="H100" s="83">
        <v>450496.86</v>
      </c>
      <c r="I100" s="41"/>
      <c r="J100" s="41"/>
      <c r="K100" s="133">
        <f>VLOOKUP(C100,'[4]PERIOD 2 TOTALS.'!$A$2:$I$128,9,0)</f>
        <v>440825.79</v>
      </c>
      <c r="L100" s="40" t="s">
        <v>235</v>
      </c>
      <c r="M100" s="40">
        <v>100700952</v>
      </c>
      <c r="N100" s="38"/>
      <c r="O100" s="38"/>
      <c r="P100" s="38"/>
      <c r="Q100" s="38"/>
    </row>
    <row r="101" spans="1:17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41"/>
      <c r="F101" s="83">
        <v>43.95</v>
      </c>
      <c r="G101" s="92">
        <v>1396.22</v>
      </c>
      <c r="H101" s="83">
        <v>97802.54</v>
      </c>
      <c r="I101" s="41"/>
      <c r="J101" s="41"/>
      <c r="K101" s="133">
        <f>VLOOKUP(C101,'[4]PERIOD 2 TOTALS.'!$A$2:$I$128,9,0)</f>
        <v>96660.68</v>
      </c>
      <c r="L101" s="40" t="s">
        <v>234</v>
      </c>
      <c r="M101" s="40">
        <v>100700561</v>
      </c>
      <c r="N101" s="38"/>
      <c r="O101" s="38"/>
      <c r="P101" s="38"/>
      <c r="Q101" s="38"/>
    </row>
    <row r="102" spans="1:17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41"/>
      <c r="F102" s="83">
        <v>22878.09</v>
      </c>
      <c r="G102" s="92">
        <v>62564.65</v>
      </c>
      <c r="H102" s="83">
        <v>994864.94</v>
      </c>
      <c r="I102" s="41"/>
      <c r="J102" s="41"/>
      <c r="K102" s="133">
        <f>VLOOKUP(C102,'[4]PERIOD 2 TOTALS.'!$A$2:$I$128,9,0)</f>
        <v>971986.85</v>
      </c>
      <c r="L102" s="40" t="s">
        <v>236</v>
      </c>
      <c r="M102" s="40">
        <v>100700962</v>
      </c>
      <c r="N102" s="38"/>
      <c r="O102" s="38"/>
      <c r="P102" s="38"/>
      <c r="Q102" s="38"/>
    </row>
    <row r="103" spans="1:17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41"/>
      <c r="F103" s="83">
        <v>52085.68</v>
      </c>
      <c r="G103" s="92">
        <v>325199.04</v>
      </c>
      <c r="H103" s="83">
        <v>394265.31</v>
      </c>
      <c r="I103" s="41"/>
      <c r="J103" s="41"/>
      <c r="K103" s="133">
        <f>VLOOKUP(C103,'[4]PERIOD 2 TOTALS.'!$A$2:$I$128,9,0)</f>
        <v>342179.63</v>
      </c>
      <c r="L103" s="40" t="s">
        <v>238</v>
      </c>
      <c r="M103" s="40">
        <v>100701285</v>
      </c>
      <c r="N103" s="38"/>
      <c r="O103" s="38"/>
      <c r="P103" s="38"/>
      <c r="Q103" s="38"/>
    </row>
    <row r="104" spans="1:17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41"/>
      <c r="F104" s="83">
        <v>26333.21</v>
      </c>
      <c r="G104" s="92">
        <v>-42520.6</v>
      </c>
      <c r="H104" s="83">
        <v>245639.51</v>
      </c>
      <c r="I104" s="41"/>
      <c r="J104" s="41"/>
      <c r="K104" s="133">
        <f>VLOOKUP(C104,'[4]PERIOD 2 TOTALS.'!$A$2:$I$128,9,0)</f>
        <v>219306.3</v>
      </c>
      <c r="L104" s="40" t="s">
        <v>239</v>
      </c>
      <c r="M104" s="40">
        <v>100702472</v>
      </c>
      <c r="N104" s="38"/>
      <c r="O104" s="38"/>
      <c r="P104" s="38"/>
      <c r="Q104" s="38"/>
    </row>
    <row r="105" spans="1:17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41"/>
      <c r="F105" s="83">
        <v>22660.91</v>
      </c>
      <c r="G105" s="92">
        <v>-181223.94</v>
      </c>
      <c r="H105" s="83">
        <v>1014841.39</v>
      </c>
      <c r="I105" s="41"/>
      <c r="J105" s="41"/>
      <c r="K105" s="133">
        <f>VLOOKUP(C105,'[4]PERIOD 2 TOTALS.'!$A$2:$I$128,9,0)</f>
        <v>992180.48</v>
      </c>
      <c r="L105" s="40" t="s">
        <v>226</v>
      </c>
      <c r="M105" s="40">
        <v>100694681</v>
      </c>
      <c r="N105" s="38"/>
      <c r="O105" s="38"/>
      <c r="P105" s="38"/>
      <c r="Q105" s="38"/>
    </row>
    <row r="106" spans="1:17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41"/>
      <c r="F106" s="83">
        <f>10893.34-54.78</f>
        <v>10838.56</v>
      </c>
      <c r="G106" s="92">
        <v>-190205.63</v>
      </c>
      <c r="H106" s="83">
        <v>507929.56</v>
      </c>
      <c r="I106" s="41"/>
      <c r="J106" s="41"/>
      <c r="K106" s="133">
        <f>VLOOKUP(C106,'[4]PERIOD 2 TOTALS.'!$A$2:$I$128,9,0)</f>
        <v>497091</v>
      </c>
      <c r="L106" s="40" t="s">
        <v>236</v>
      </c>
      <c r="M106" s="40">
        <v>100700966</v>
      </c>
      <c r="N106" s="38"/>
      <c r="O106" s="38"/>
      <c r="P106" s="38"/>
      <c r="Q106" s="38"/>
    </row>
    <row r="107" spans="1:17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41"/>
      <c r="F107" s="83">
        <v>13466.83</v>
      </c>
      <c r="G107" s="92">
        <v>437946.44</v>
      </c>
      <c r="H107" s="83">
        <v>154359.8</v>
      </c>
      <c r="I107" s="41"/>
      <c r="J107" s="41"/>
      <c r="K107" s="133">
        <f>VLOOKUP(C107,'[4]PERIOD 2 TOTALS.'!$A$2:$I$128,9,0)</f>
        <v>140892.97</v>
      </c>
      <c r="L107" s="40" t="s">
        <v>227</v>
      </c>
      <c r="M107" s="40">
        <v>100696247</v>
      </c>
      <c r="N107" s="38"/>
      <c r="O107" s="38"/>
      <c r="P107" s="38"/>
      <c r="Q107" s="38"/>
    </row>
    <row r="108" spans="1:17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41"/>
      <c r="F108" s="83">
        <f>5490.9-164.65</f>
        <v>5326.25</v>
      </c>
      <c r="G108" s="92">
        <v>-3468.32</v>
      </c>
      <c r="H108" s="83">
        <v>76417.41</v>
      </c>
      <c r="I108" s="41"/>
      <c r="J108" s="41"/>
      <c r="K108" s="133">
        <f>VLOOKUP(C108,'[4]PERIOD 2 TOTALS.'!$A$2:$I$128,9,0)</f>
        <v>71091.16000000012</v>
      </c>
      <c r="L108" s="40" t="s">
        <v>236</v>
      </c>
      <c r="M108" s="40">
        <v>100701261</v>
      </c>
      <c r="N108" s="38"/>
      <c r="O108" s="38"/>
      <c r="P108" s="38"/>
      <c r="Q108" s="38"/>
    </row>
    <row r="109" spans="1:17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41"/>
      <c r="F109" s="83">
        <f>21958.38-1923.35</f>
        <v>20035.030000000002</v>
      </c>
      <c r="G109" s="92">
        <v>215362.07</v>
      </c>
      <c r="H109" s="83">
        <v>375138.27</v>
      </c>
      <c r="I109" s="41"/>
      <c r="J109" s="41"/>
      <c r="K109" s="133">
        <f>VLOOKUP(C109,'[4]PERIOD 2 TOTALS.'!$A$2:$I$128,9,0)</f>
        <v>355103.24</v>
      </c>
      <c r="L109" s="40" t="s">
        <v>233</v>
      </c>
      <c r="M109" s="40">
        <v>100700558</v>
      </c>
      <c r="N109" s="38"/>
      <c r="O109" s="38"/>
      <c r="P109" s="38"/>
      <c r="Q109" s="38"/>
    </row>
    <row r="110" spans="1:17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41"/>
      <c r="F110" s="83">
        <f>7512.7-4.4</f>
        <v>7508.3</v>
      </c>
      <c r="G110" s="92">
        <v>-136103.87</v>
      </c>
      <c r="H110" s="83">
        <v>250741.95</v>
      </c>
      <c r="I110" s="41"/>
      <c r="J110" s="41"/>
      <c r="K110" s="133">
        <f>VLOOKUP(C110,'[4]PERIOD 2 TOTALS.'!$A$2:$I$128,9,0)</f>
        <v>243233.65</v>
      </c>
      <c r="L110" s="40" t="s">
        <v>224</v>
      </c>
      <c r="M110" s="40">
        <v>100694338</v>
      </c>
      <c r="N110" s="38"/>
      <c r="O110" s="38"/>
      <c r="P110" s="38"/>
      <c r="Q110" s="38"/>
    </row>
    <row r="111" spans="1:17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41"/>
      <c r="F111" s="83">
        <f>1209.36-3</f>
        <v>1206.36</v>
      </c>
      <c r="G111" s="92">
        <v>36057.69</v>
      </c>
      <c r="H111" s="83">
        <v>184949.22</v>
      </c>
      <c r="I111" s="41"/>
      <c r="J111" s="41"/>
      <c r="K111" s="133">
        <f>VLOOKUP(C111,'[4]PERIOD 2 TOTALS.'!$A$2:$I$128,9,0)</f>
        <v>183742.86</v>
      </c>
      <c r="L111" s="40" t="s">
        <v>229</v>
      </c>
      <c r="M111" s="40">
        <v>100697475</v>
      </c>
      <c r="N111" s="38"/>
      <c r="O111" s="38"/>
      <c r="P111" s="38"/>
      <c r="Q111" s="38"/>
    </row>
    <row r="112" spans="1:17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41"/>
      <c r="F112" s="83">
        <f>11645.89-6.84</f>
        <v>11639.05</v>
      </c>
      <c r="G112" s="92">
        <v>-70242.63</v>
      </c>
      <c r="H112" s="83">
        <v>418789.88</v>
      </c>
      <c r="I112" s="41"/>
      <c r="J112" s="41"/>
      <c r="K112" s="133">
        <f>VLOOKUP(C112,'[4]PERIOD 2 TOTALS.'!$A$2:$I$128,9,0)</f>
        <v>407150.83</v>
      </c>
      <c r="L112" s="40" t="s">
        <v>223</v>
      </c>
      <c r="M112" s="40">
        <v>100694339</v>
      </c>
      <c r="N112" s="38"/>
      <c r="O112" s="38"/>
      <c r="P112" s="38"/>
      <c r="Q112" s="38"/>
    </row>
    <row r="113" spans="1:17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41"/>
      <c r="F113" s="87">
        <v>27104.08</v>
      </c>
      <c r="G113" s="92">
        <v>-160840.55</v>
      </c>
      <c r="H113" s="83">
        <v>267313.24</v>
      </c>
      <c r="I113" s="41"/>
      <c r="J113" s="41"/>
      <c r="K113" s="133">
        <f>VLOOKUP(C113,'[4]PERIOD 2 TOTALS.'!$A$2:$I$128,9,0)</f>
        <v>240209.16</v>
      </c>
      <c r="L113" s="40" t="s">
        <v>225</v>
      </c>
      <c r="M113" s="40">
        <v>100694674</v>
      </c>
      <c r="N113" s="38"/>
      <c r="O113" s="38"/>
      <c r="P113" s="38"/>
      <c r="Q113" s="38"/>
    </row>
    <row r="114" spans="1:17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41"/>
      <c r="F114" s="83">
        <v>7236.69</v>
      </c>
      <c r="G114" s="92">
        <v>13906.02</v>
      </c>
      <c r="H114" s="83">
        <v>183951.26</v>
      </c>
      <c r="I114" s="41"/>
      <c r="J114" s="41"/>
      <c r="K114" s="133">
        <f>VLOOKUP(C114,'[4]PERIOD 2 TOTALS.'!$A$2:$I$128,9,0)</f>
        <v>151973.57</v>
      </c>
      <c r="L114" s="40" t="s">
        <v>225</v>
      </c>
      <c r="M114" s="40">
        <v>100694350</v>
      </c>
      <c r="N114" s="38"/>
      <c r="O114" s="38"/>
      <c r="P114" s="38"/>
      <c r="Q114" s="38"/>
    </row>
    <row r="115" spans="1:17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41"/>
      <c r="F115" s="92">
        <v>1471.16</v>
      </c>
      <c r="G115" s="92">
        <v>-8720.97</v>
      </c>
      <c r="H115" s="83">
        <v>123711.43</v>
      </c>
      <c r="I115" s="41"/>
      <c r="J115" s="41"/>
      <c r="K115" s="133">
        <f>VLOOKUP(C115,'[4]PERIOD 2 TOTALS.'!$A$2:$I$128,9,0)</f>
        <v>122240.27</v>
      </c>
      <c r="L115" s="40" t="s">
        <v>226</v>
      </c>
      <c r="M115" s="40">
        <v>100694696</v>
      </c>
      <c r="N115" s="38"/>
      <c r="O115" s="38"/>
      <c r="P115" s="38"/>
      <c r="Q115" s="38"/>
    </row>
    <row r="116" spans="1:17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41"/>
      <c r="F116" s="92">
        <v>1916.42</v>
      </c>
      <c r="G116" s="92">
        <v>-27898.21</v>
      </c>
      <c r="H116" s="83">
        <v>256466.39</v>
      </c>
      <c r="I116" s="41"/>
      <c r="J116" s="41"/>
      <c r="K116" s="133">
        <f>VLOOKUP(C116,'[4]PERIOD 2 TOTALS.'!$A$2:$I$128,9,0)</f>
        <v>147291.97</v>
      </c>
      <c r="L116" s="40" t="s">
        <v>229</v>
      </c>
      <c r="M116" s="40">
        <v>100697466</v>
      </c>
      <c r="N116" s="38"/>
      <c r="O116" s="38"/>
      <c r="P116" s="38"/>
      <c r="Q116" s="38"/>
    </row>
    <row r="117" spans="1:17" ht="15.75">
      <c r="A117" s="37">
        <v>1003</v>
      </c>
      <c r="B117" s="37">
        <v>10133</v>
      </c>
      <c r="C117" s="47">
        <v>938015</v>
      </c>
      <c r="D117" s="40" t="s">
        <v>135</v>
      </c>
      <c r="E117" s="41"/>
      <c r="F117" s="92">
        <v>1249.92</v>
      </c>
      <c r="G117" s="92">
        <v>-8301.57</v>
      </c>
      <c r="H117" s="83">
        <v>113154.62</v>
      </c>
      <c r="I117" s="41"/>
      <c r="J117" s="41"/>
      <c r="K117" s="133">
        <f>VLOOKUP(C117,'[4]PERIOD 2 TOTALS.'!$A$2:$I$128,9,0)</f>
        <v>111904.7</v>
      </c>
      <c r="L117" s="40" t="s">
        <v>240</v>
      </c>
      <c r="M117" s="40">
        <v>100702793</v>
      </c>
      <c r="N117" s="38"/>
      <c r="O117" s="38"/>
      <c r="P117" s="38"/>
      <c r="Q117" s="38"/>
    </row>
    <row r="118" spans="2:17" ht="15.75">
      <c r="B118" s="38"/>
      <c r="C118" s="42"/>
      <c r="D118" s="43" t="s">
        <v>139</v>
      </c>
      <c r="E118" s="41"/>
      <c r="F118" s="45">
        <f aca="true" t="shared" si="0" ref="F118:K118">SUM(F3:F117)</f>
        <v>942611.1900000002</v>
      </c>
      <c r="G118" s="92">
        <f t="shared" si="0"/>
        <v>-4521477.749999997</v>
      </c>
      <c r="H118" s="45">
        <f t="shared" si="0"/>
        <v>27212806.359999996</v>
      </c>
      <c r="I118" s="45">
        <f t="shared" si="0"/>
        <v>0</v>
      </c>
      <c r="J118" s="92">
        <f t="shared" si="0"/>
        <v>-2352.24</v>
      </c>
      <c r="K118" s="45">
        <f t="shared" si="0"/>
        <v>26338773.97999999</v>
      </c>
      <c r="L118" s="38"/>
      <c r="M118" s="38"/>
      <c r="N118" s="38"/>
      <c r="O118" s="38"/>
      <c r="P118" s="38"/>
      <c r="Q118" s="38"/>
    </row>
    <row r="119" spans="2:17" ht="15.75">
      <c r="B119" s="38"/>
      <c r="C119" s="42"/>
      <c r="D119" s="41"/>
      <c r="E119" s="41"/>
      <c r="F119" s="83"/>
      <c r="G119" s="92"/>
      <c r="H119" s="83"/>
      <c r="I119" s="41"/>
      <c r="J119" s="41"/>
      <c r="K119" s="83"/>
      <c r="L119" s="38"/>
      <c r="M119" s="38"/>
      <c r="N119" s="38"/>
      <c r="O119" s="38"/>
      <c r="P119" s="38"/>
      <c r="Q119" s="38"/>
    </row>
    <row r="120" spans="3:17" ht="15.75">
      <c r="C120" s="1">
        <f>COUNT(C3:C117)</f>
        <v>115</v>
      </c>
      <c r="D120" s="86">
        <f>COUNT(A3:A117)-COUNTA(M3:M117)</f>
        <v>0</v>
      </c>
      <c r="E120" s="37" t="s">
        <v>175</v>
      </c>
      <c r="F120" s="41"/>
      <c r="G120" s="92"/>
      <c r="H120" s="41"/>
      <c r="I120" s="41"/>
      <c r="J120" s="41"/>
      <c r="K120" s="41"/>
      <c r="L120" s="38"/>
      <c r="M120" s="38"/>
      <c r="N120" s="38"/>
      <c r="O120" s="38"/>
      <c r="P120" s="38"/>
      <c r="Q120" s="38"/>
    </row>
    <row r="121" spans="4:17" ht="15.75">
      <c r="D121" s="86">
        <f>C120-D120</f>
        <v>115</v>
      </c>
      <c r="E121" s="38" t="s">
        <v>174</v>
      </c>
      <c r="F121" s="38"/>
      <c r="G121" s="92"/>
      <c r="H121" s="38"/>
      <c r="I121" s="38"/>
      <c r="J121" s="38"/>
      <c r="K121" s="62"/>
      <c r="L121" s="38"/>
      <c r="M121" s="38"/>
      <c r="N121" s="38"/>
      <c r="O121" s="38"/>
      <c r="P121" s="38"/>
      <c r="Q121" s="38"/>
    </row>
    <row r="122" spans="4:17" ht="15.75">
      <c r="D122" s="41"/>
      <c r="E122" s="38"/>
      <c r="F122" s="38"/>
      <c r="G122" s="92"/>
      <c r="H122" s="85"/>
      <c r="I122" s="38"/>
      <c r="J122" s="38"/>
      <c r="K122" s="88"/>
      <c r="L122" s="38"/>
      <c r="M122" s="38"/>
      <c r="N122" s="38"/>
      <c r="O122" s="38"/>
      <c r="P122" s="38"/>
      <c r="Q122" s="38"/>
    </row>
    <row r="123" spans="4:17" ht="15.75">
      <c r="D123" s="38"/>
      <c r="E123" s="38"/>
      <c r="F123" s="38"/>
      <c r="G123" s="38"/>
      <c r="H123" s="38"/>
      <c r="I123" s="38"/>
      <c r="J123" s="38"/>
      <c r="K123" s="88"/>
      <c r="L123" s="38"/>
      <c r="M123" s="38"/>
      <c r="N123" s="38"/>
      <c r="O123" s="38"/>
      <c r="P123" s="38"/>
      <c r="Q123" s="38"/>
    </row>
    <row r="124" spans="5:17" ht="15.75">
      <c r="E124" s="38"/>
      <c r="F124" s="38"/>
      <c r="G124" s="38"/>
      <c r="H124" s="38"/>
      <c r="I124" s="38"/>
      <c r="J124" s="38"/>
      <c r="K124" s="62"/>
      <c r="L124" s="38"/>
      <c r="M124" s="38"/>
      <c r="N124" s="38"/>
      <c r="O124" s="38"/>
      <c r="P124" s="38"/>
      <c r="Q124" s="38"/>
    </row>
    <row r="125" spans="5:17" ht="15.75">
      <c r="E125" s="38"/>
      <c r="F125" s="38"/>
      <c r="G125" s="38"/>
      <c r="H125" s="38"/>
      <c r="I125" s="38"/>
      <c r="J125" s="38"/>
      <c r="K125" s="62"/>
      <c r="L125" s="38"/>
      <c r="M125" s="38"/>
      <c r="N125" s="38"/>
      <c r="O125" s="38"/>
      <c r="P125" s="38"/>
      <c r="Q125" s="38"/>
    </row>
    <row r="126" spans="5:17" ht="15.75">
      <c r="E126" s="38"/>
      <c r="F126" s="38"/>
      <c r="G126" s="38"/>
      <c r="H126" s="38"/>
      <c r="I126" s="38"/>
      <c r="J126" s="38"/>
      <c r="K126" s="62"/>
      <c r="L126" s="38"/>
      <c r="M126" s="38"/>
      <c r="N126" s="38"/>
      <c r="O126" s="38"/>
      <c r="P126" s="38"/>
      <c r="Q126" s="38"/>
    </row>
    <row r="127" spans="5:17" ht="15.75">
      <c r="E127" s="38"/>
      <c r="F127" s="38"/>
      <c r="G127" s="38"/>
      <c r="H127" s="38"/>
      <c r="I127" s="38"/>
      <c r="J127" s="38"/>
      <c r="K127" s="62"/>
      <c r="L127" s="38"/>
      <c r="M127" s="38"/>
      <c r="N127" s="38"/>
      <c r="O127" s="38"/>
      <c r="P127" s="38"/>
      <c r="Q127" s="38"/>
    </row>
    <row r="128" spans="5:17" ht="15.75">
      <c r="E128" s="38"/>
      <c r="F128" s="38"/>
      <c r="G128" s="38"/>
      <c r="H128" s="38"/>
      <c r="I128" s="38"/>
      <c r="J128" s="38"/>
      <c r="K128" s="62"/>
      <c r="L128" s="38"/>
      <c r="M128" s="38"/>
      <c r="N128" s="38"/>
      <c r="O128" s="38"/>
      <c r="P128" s="38"/>
      <c r="Q128" s="38"/>
    </row>
    <row r="129" spans="5:17" ht="15.75">
      <c r="E129" s="38"/>
      <c r="F129" s="38"/>
      <c r="G129" s="38"/>
      <c r="H129" s="38"/>
      <c r="I129" s="38"/>
      <c r="J129" s="38"/>
      <c r="K129" s="62"/>
      <c r="L129" s="38"/>
      <c r="M129" s="38"/>
      <c r="N129" s="38"/>
      <c r="O129" s="38"/>
      <c r="P129" s="38"/>
      <c r="Q129" s="38"/>
    </row>
    <row r="130" spans="5:17" ht="15.75">
      <c r="E130" s="38"/>
      <c r="F130" s="38"/>
      <c r="G130" s="38"/>
      <c r="H130" s="38"/>
      <c r="I130" s="38"/>
      <c r="J130" s="38"/>
      <c r="K130" s="62"/>
      <c r="L130" s="38"/>
      <c r="M130" s="38"/>
      <c r="N130" s="38"/>
      <c r="O130" s="38"/>
      <c r="P130" s="38"/>
      <c r="Q130" s="38"/>
    </row>
    <row r="131" spans="5:17" ht="15.75">
      <c r="E131" s="38"/>
      <c r="F131" s="38"/>
      <c r="G131" s="38"/>
      <c r="H131" s="38"/>
      <c r="I131" s="38"/>
      <c r="J131" s="38"/>
      <c r="K131" s="62"/>
      <c r="L131" s="38"/>
      <c r="M131" s="38"/>
      <c r="N131" s="38"/>
      <c r="O131" s="38"/>
      <c r="P131" s="38"/>
      <c r="Q131" s="38"/>
    </row>
    <row r="132" spans="5:17" ht="15.75">
      <c r="E132" s="38"/>
      <c r="F132" s="38"/>
      <c r="G132" s="38"/>
      <c r="H132" s="38"/>
      <c r="I132" s="38"/>
      <c r="J132" s="38"/>
      <c r="K132" s="62"/>
      <c r="L132" s="38"/>
      <c r="M132" s="38"/>
      <c r="N132" s="38"/>
      <c r="O132" s="38"/>
      <c r="P132" s="38"/>
      <c r="Q132" s="38"/>
    </row>
    <row r="133" spans="5:17" ht="15.75">
      <c r="E133" s="38"/>
      <c r="F133" s="38"/>
      <c r="G133" s="38"/>
      <c r="H133" s="38"/>
      <c r="I133" s="38"/>
      <c r="J133" s="38"/>
      <c r="K133" s="62"/>
      <c r="L133" s="38"/>
      <c r="M133" s="38"/>
      <c r="N133" s="38"/>
      <c r="O133" s="38"/>
      <c r="P133" s="38"/>
      <c r="Q133" s="38"/>
    </row>
    <row r="134" spans="5:17" ht="15.75">
      <c r="E134" s="38"/>
      <c r="F134" s="38"/>
      <c r="G134" s="38"/>
      <c r="H134" s="38"/>
      <c r="I134" s="38"/>
      <c r="J134" s="38"/>
      <c r="K134" s="62"/>
      <c r="L134" s="38"/>
      <c r="M134" s="38"/>
      <c r="N134" s="38"/>
      <c r="O134" s="38"/>
      <c r="P134" s="38"/>
      <c r="Q134" s="38"/>
    </row>
    <row r="135" spans="5:17" ht="15.75">
      <c r="E135" s="38"/>
      <c r="F135" s="38"/>
      <c r="G135" s="38"/>
      <c r="H135" s="38"/>
      <c r="I135" s="38"/>
      <c r="J135" s="38"/>
      <c r="K135" s="62"/>
      <c r="L135" s="38"/>
      <c r="M135" s="38"/>
      <c r="N135" s="38"/>
      <c r="O135" s="38"/>
      <c r="P135" s="38"/>
      <c r="Q135" s="38"/>
    </row>
    <row r="136" spans="5:17" ht="15.75">
      <c r="E136" s="38"/>
      <c r="F136" s="38"/>
      <c r="G136" s="38"/>
      <c r="H136" s="38"/>
      <c r="I136" s="38"/>
      <c r="J136" s="38"/>
      <c r="K136" s="62"/>
      <c r="L136" s="38"/>
      <c r="M136" s="38"/>
      <c r="N136" s="38"/>
      <c r="O136" s="38"/>
      <c r="P136" s="38"/>
      <c r="Q136" s="38"/>
    </row>
    <row r="137" spans="5:17" ht="15.75">
      <c r="E137" s="38"/>
      <c r="F137" s="38"/>
      <c r="G137" s="38"/>
      <c r="H137" s="38"/>
      <c r="I137" s="38"/>
      <c r="J137" s="38"/>
      <c r="K137" s="62"/>
      <c r="L137" s="38"/>
      <c r="M137" s="38"/>
      <c r="N137" s="38"/>
      <c r="O137" s="38"/>
      <c r="P137" s="38"/>
      <c r="Q137" s="38"/>
    </row>
    <row r="138" spans="5:16" ht="15.75">
      <c r="E138" s="38"/>
      <c r="F138" s="38"/>
      <c r="G138" s="38"/>
      <c r="H138" s="38"/>
      <c r="I138" s="38"/>
      <c r="J138" s="38"/>
      <c r="K138" s="62"/>
      <c r="L138" s="38"/>
      <c r="M138" s="38"/>
      <c r="N138" s="38"/>
      <c r="O138" s="38"/>
      <c r="P138" s="38"/>
    </row>
    <row r="139" spans="5:16" ht="15.75">
      <c r="E139" s="38"/>
      <c r="F139" s="38"/>
      <c r="G139" s="38"/>
      <c r="H139" s="38"/>
      <c r="I139" s="38"/>
      <c r="J139" s="38"/>
      <c r="K139" s="62"/>
      <c r="L139" s="38"/>
      <c r="M139" s="38"/>
      <c r="N139" s="38"/>
      <c r="O139" s="38"/>
      <c r="P139" s="38"/>
    </row>
    <row r="140" spans="5:16" ht="15.75">
      <c r="E140" s="38"/>
      <c r="F140" s="38"/>
      <c r="G140" s="38"/>
      <c r="H140" s="38"/>
      <c r="I140" s="38"/>
      <c r="J140" s="38"/>
      <c r="K140" s="62"/>
      <c r="L140" s="38"/>
      <c r="M140" s="38"/>
      <c r="N140" s="38"/>
      <c r="O140" s="38"/>
      <c r="P140" s="38"/>
    </row>
    <row r="141" spans="5:16" ht="15.75">
      <c r="E141" s="38"/>
      <c r="F141" s="38"/>
      <c r="G141" s="38"/>
      <c r="H141" s="38"/>
      <c r="I141" s="38"/>
      <c r="J141" s="38"/>
      <c r="K141" s="62"/>
      <c r="L141" s="38"/>
      <c r="M141" s="38"/>
      <c r="N141" s="38"/>
      <c r="O141" s="38"/>
      <c r="P141" s="38"/>
    </row>
    <row r="142" spans="5:16" ht="15.75">
      <c r="E142" s="38"/>
      <c r="F142" s="38"/>
      <c r="G142" s="38"/>
      <c r="H142" s="38"/>
      <c r="I142" s="38"/>
      <c r="J142" s="38"/>
      <c r="K142" s="62"/>
      <c r="L142" s="38"/>
      <c r="M142" s="38"/>
      <c r="N142" s="38"/>
      <c r="O142" s="38"/>
      <c r="P142" s="38"/>
    </row>
    <row r="143" spans="5:16" ht="15.75">
      <c r="E143" s="38"/>
      <c r="F143" s="38"/>
      <c r="G143" s="38"/>
      <c r="H143" s="38"/>
      <c r="I143" s="38"/>
      <c r="J143" s="38"/>
      <c r="K143" s="62"/>
      <c r="L143" s="38"/>
      <c r="M143" s="38"/>
      <c r="N143" s="38"/>
      <c r="O143" s="38"/>
      <c r="P143" s="38"/>
    </row>
    <row r="144" spans="5:16" ht="15.75">
      <c r="E144" s="38"/>
      <c r="F144" s="38"/>
      <c r="G144" s="38"/>
      <c r="H144" s="38"/>
      <c r="I144" s="38"/>
      <c r="J144" s="38"/>
      <c r="K144" s="62"/>
      <c r="L144" s="38"/>
      <c r="M144" s="38"/>
      <c r="N144" s="38"/>
      <c r="O144" s="38"/>
      <c r="P144" s="38"/>
    </row>
    <row r="145" spans="5:16" ht="15.75">
      <c r="E145" s="38"/>
      <c r="F145" s="38"/>
      <c r="G145" s="38"/>
      <c r="H145" s="38"/>
      <c r="I145" s="38"/>
      <c r="J145" s="38"/>
      <c r="K145" s="62"/>
      <c r="L145" s="38"/>
      <c r="M145" s="38"/>
      <c r="N145" s="38"/>
      <c r="O145" s="38"/>
      <c r="P145" s="38"/>
    </row>
    <row r="146" spans="5:16" ht="15.75">
      <c r="E146" s="38"/>
      <c r="F146" s="38"/>
      <c r="G146" s="38"/>
      <c r="H146" s="38"/>
      <c r="I146" s="38"/>
      <c r="J146" s="38"/>
      <c r="K146" s="62"/>
      <c r="L146" s="38"/>
      <c r="M146" s="38"/>
      <c r="N146" s="38"/>
      <c r="O146" s="38"/>
      <c r="P146" s="38"/>
    </row>
    <row r="147" spans="5:16" ht="15.75">
      <c r="E147" s="38"/>
      <c r="F147" s="38"/>
      <c r="G147" s="38"/>
      <c r="H147" s="38"/>
      <c r="I147" s="38"/>
      <c r="J147" s="38"/>
      <c r="K147" s="62"/>
      <c r="L147" s="38"/>
      <c r="M147" s="38"/>
      <c r="N147" s="38"/>
      <c r="O147" s="38"/>
      <c r="P147" s="38"/>
    </row>
    <row r="148" spans="5:16" ht="15.75">
      <c r="E148" s="38"/>
      <c r="F148" s="38"/>
      <c r="G148" s="38"/>
      <c r="H148" s="38"/>
      <c r="I148" s="38"/>
      <c r="J148" s="38"/>
      <c r="K148" s="62"/>
      <c r="L148" s="38"/>
      <c r="M148" s="38"/>
      <c r="N148" s="38"/>
      <c r="O148" s="38"/>
      <c r="P148" s="38"/>
    </row>
    <row r="149" spans="5:16" ht="15.75">
      <c r="E149" s="38"/>
      <c r="F149" s="38"/>
      <c r="G149" s="38"/>
      <c r="H149" s="38"/>
      <c r="I149" s="38"/>
      <c r="J149" s="38"/>
      <c r="K149" s="62"/>
      <c r="L149" s="38"/>
      <c r="M149" s="38"/>
      <c r="N149" s="38"/>
      <c r="O149" s="38"/>
      <c r="P149" s="38"/>
    </row>
    <row r="150" spans="5:16" ht="15.75">
      <c r="E150" s="38"/>
      <c r="F150" s="38"/>
      <c r="G150" s="38"/>
      <c r="H150" s="38"/>
      <c r="I150" s="38"/>
      <c r="J150" s="38"/>
      <c r="K150" s="62"/>
      <c r="L150" s="38"/>
      <c r="M150" s="38"/>
      <c r="N150" s="38"/>
      <c r="O150" s="38"/>
      <c r="P150" s="38"/>
    </row>
    <row r="151" spans="5:16" ht="15.75">
      <c r="E151" s="38"/>
      <c r="F151" s="38"/>
      <c r="G151" s="38"/>
      <c r="H151" s="38"/>
      <c r="I151" s="38"/>
      <c r="J151" s="38"/>
      <c r="K151" s="62"/>
      <c r="L151" s="38"/>
      <c r="M151" s="38"/>
      <c r="N151" s="38"/>
      <c r="O151" s="38"/>
      <c r="P151" s="38"/>
    </row>
    <row r="152" spans="5:16" ht="15.75">
      <c r="E152" s="38"/>
      <c r="F152" s="38"/>
      <c r="G152" s="38"/>
      <c r="H152" s="38"/>
      <c r="I152" s="38"/>
      <c r="J152" s="38"/>
      <c r="K152" s="62"/>
      <c r="L152" s="38"/>
      <c r="M152" s="38"/>
      <c r="N152" s="38"/>
      <c r="O152" s="38"/>
      <c r="P152" s="38"/>
    </row>
    <row r="153" spans="5:16" ht="15.75">
      <c r="E153" s="38"/>
      <c r="F153" s="38"/>
      <c r="G153" s="38"/>
      <c r="H153" s="38"/>
      <c r="I153" s="38"/>
      <c r="J153" s="38"/>
      <c r="K153" s="62"/>
      <c r="L153" s="38"/>
      <c r="M153" s="38"/>
      <c r="N153" s="38"/>
      <c r="O153" s="38"/>
      <c r="P153" s="38"/>
    </row>
    <row r="154" spans="5:16" ht="15.75">
      <c r="E154" s="38"/>
      <c r="F154" s="38"/>
      <c r="G154" s="38"/>
      <c r="H154" s="38"/>
      <c r="I154" s="38"/>
      <c r="J154" s="38"/>
      <c r="K154" s="62"/>
      <c r="L154" s="38"/>
      <c r="M154" s="38"/>
      <c r="N154" s="38"/>
      <c r="O154" s="38"/>
      <c r="P154" s="38"/>
    </row>
    <row r="155" spans="5:16" ht="15.75">
      <c r="E155" s="38"/>
      <c r="F155" s="38"/>
      <c r="G155" s="38"/>
      <c r="H155" s="38"/>
      <c r="I155" s="38"/>
      <c r="J155" s="38"/>
      <c r="K155" s="62"/>
      <c r="L155" s="38"/>
      <c r="M155" s="38"/>
      <c r="N155" s="38"/>
      <c r="O155" s="38"/>
      <c r="P155" s="38"/>
    </row>
    <row r="156" spans="5:16" ht="15.75">
      <c r="E156" s="38"/>
      <c r="F156" s="38"/>
      <c r="G156" s="38"/>
      <c r="H156" s="38"/>
      <c r="I156" s="38"/>
      <c r="J156" s="38"/>
      <c r="K156" s="62"/>
      <c r="L156" s="38"/>
      <c r="M156" s="38"/>
      <c r="N156" s="38"/>
      <c r="O156" s="38"/>
      <c r="P156" s="38"/>
    </row>
    <row r="157" spans="5:16" ht="15.75">
      <c r="E157" s="38"/>
      <c r="F157" s="38"/>
      <c r="G157" s="38"/>
      <c r="H157" s="38"/>
      <c r="I157" s="38"/>
      <c r="J157" s="38"/>
      <c r="K157" s="62"/>
      <c r="L157" s="38"/>
      <c r="M157" s="38"/>
      <c r="N157" s="38"/>
      <c r="O157" s="38"/>
      <c r="P157" s="38"/>
    </row>
    <row r="158" spans="5:16" ht="15.75">
      <c r="E158" s="38"/>
      <c r="F158" s="38"/>
      <c r="G158" s="38"/>
      <c r="H158" s="38"/>
      <c r="I158" s="38"/>
      <c r="J158" s="38"/>
      <c r="K158" s="62"/>
      <c r="L158" s="38"/>
      <c r="M158" s="38"/>
      <c r="N158" s="38"/>
      <c r="O158" s="38"/>
      <c r="P158" s="38"/>
    </row>
    <row r="159" spans="5:16" ht="15.75">
      <c r="E159" s="38"/>
      <c r="F159" s="38"/>
      <c r="G159" s="38"/>
      <c r="H159" s="38"/>
      <c r="I159" s="38"/>
      <c r="J159" s="38"/>
      <c r="K159" s="62"/>
      <c r="L159" s="38"/>
      <c r="M159" s="38"/>
      <c r="N159" s="38"/>
      <c r="O159" s="38"/>
      <c r="P159" s="38"/>
    </row>
    <row r="160" spans="5:16" ht="15.75">
      <c r="E160" s="38"/>
      <c r="F160" s="38"/>
      <c r="G160" s="38"/>
      <c r="H160" s="38"/>
      <c r="I160" s="38"/>
      <c r="J160" s="38"/>
      <c r="K160" s="62"/>
      <c r="L160" s="38"/>
      <c r="M160" s="38"/>
      <c r="N160" s="38"/>
      <c r="O160" s="38"/>
      <c r="P160" s="38"/>
    </row>
    <row r="161" spans="5:16" ht="15.75">
      <c r="E161" s="38"/>
      <c r="F161" s="38"/>
      <c r="G161" s="38"/>
      <c r="H161" s="38"/>
      <c r="I161" s="38"/>
      <c r="J161" s="38"/>
      <c r="K161" s="62"/>
      <c r="L161" s="38"/>
      <c r="M161" s="38"/>
      <c r="N161" s="38"/>
      <c r="O161" s="38"/>
      <c r="P161" s="38"/>
    </row>
    <row r="162" spans="5:16" ht="15.75">
      <c r="E162" s="38"/>
      <c r="F162" s="38"/>
      <c r="G162" s="38"/>
      <c r="H162" s="38"/>
      <c r="I162" s="38"/>
      <c r="J162" s="38"/>
      <c r="K162" s="62"/>
      <c r="L162" s="38"/>
      <c r="M162" s="38"/>
      <c r="N162" s="38"/>
      <c r="O162" s="38"/>
      <c r="P162" s="38"/>
    </row>
    <row r="163" spans="5:16" ht="15.75">
      <c r="E163" s="38"/>
      <c r="F163" s="38"/>
      <c r="G163" s="38"/>
      <c r="H163" s="38"/>
      <c r="I163" s="38"/>
      <c r="J163" s="38"/>
      <c r="K163" s="62"/>
      <c r="L163" s="38"/>
      <c r="M163" s="38"/>
      <c r="N163" s="38"/>
      <c r="O163" s="38"/>
      <c r="P163" s="38"/>
    </row>
    <row r="164" spans="5:16" ht="15.75">
      <c r="E164" s="38"/>
      <c r="F164" s="38"/>
      <c r="G164" s="38"/>
      <c r="H164" s="38"/>
      <c r="I164" s="38"/>
      <c r="J164" s="38"/>
      <c r="K164" s="62"/>
      <c r="L164" s="38"/>
      <c r="M164" s="38"/>
      <c r="N164" s="38"/>
      <c r="O164" s="38"/>
      <c r="P164" s="38"/>
    </row>
    <row r="165" spans="5:16" ht="15.75">
      <c r="E165" s="38"/>
      <c r="F165" s="38"/>
      <c r="G165" s="38"/>
      <c r="H165" s="38"/>
      <c r="I165" s="38"/>
      <c r="J165" s="38"/>
      <c r="K165" s="62"/>
      <c r="L165" s="38"/>
      <c r="M165" s="38"/>
      <c r="N165" s="38"/>
      <c r="O165" s="38"/>
      <c r="P165" s="38"/>
    </row>
    <row r="166" spans="5:16" ht="15.75">
      <c r="E166" s="38"/>
      <c r="F166" s="38"/>
      <c r="G166" s="38"/>
      <c r="H166" s="38"/>
      <c r="I166" s="38"/>
      <c r="J166" s="38"/>
      <c r="K166" s="62"/>
      <c r="L166" s="38"/>
      <c r="M166" s="38"/>
      <c r="N166" s="38"/>
      <c r="O166" s="38"/>
      <c r="P166" s="38"/>
    </row>
    <row r="167" spans="5:16" ht="15.75">
      <c r="E167" s="38"/>
      <c r="F167" s="38"/>
      <c r="G167" s="38"/>
      <c r="H167" s="38"/>
      <c r="I167" s="38"/>
      <c r="J167" s="38"/>
      <c r="K167" s="62"/>
      <c r="L167" s="38"/>
      <c r="M167" s="38"/>
      <c r="N167" s="38"/>
      <c r="O167" s="38"/>
      <c r="P167" s="38"/>
    </row>
    <row r="168" spans="5:16" ht="15.75">
      <c r="E168" s="38"/>
      <c r="F168" s="38"/>
      <c r="G168" s="38"/>
      <c r="H168" s="38"/>
      <c r="I168" s="38"/>
      <c r="J168" s="38"/>
      <c r="K168" s="62"/>
      <c r="L168" s="38"/>
      <c r="M168" s="38"/>
      <c r="N168" s="38"/>
      <c r="O168" s="38"/>
      <c r="P168" s="38"/>
    </row>
    <row r="169" spans="5:16" ht="15.75">
      <c r="E169" s="38"/>
      <c r="F169" s="38"/>
      <c r="G169" s="38"/>
      <c r="H169" s="38"/>
      <c r="I169" s="38"/>
      <c r="J169" s="38"/>
      <c r="K169" s="62"/>
      <c r="L169" s="38"/>
      <c r="M169" s="38"/>
      <c r="N169" s="38"/>
      <c r="O169" s="38"/>
      <c r="P169" s="38"/>
    </row>
    <row r="170" spans="5:16" ht="15.75">
      <c r="E170" s="38"/>
      <c r="F170" s="38"/>
      <c r="G170" s="38"/>
      <c r="H170" s="38"/>
      <c r="I170" s="38"/>
      <c r="J170" s="38"/>
      <c r="K170" s="62"/>
      <c r="L170" s="38"/>
      <c r="M170" s="38"/>
      <c r="N170" s="38"/>
      <c r="O170" s="38"/>
      <c r="P170" s="38"/>
    </row>
    <row r="171" spans="5:16" ht="15.75">
      <c r="E171" s="38"/>
      <c r="F171" s="38"/>
      <c r="G171" s="38"/>
      <c r="H171" s="38"/>
      <c r="I171" s="38"/>
      <c r="J171" s="38"/>
      <c r="K171" s="62"/>
      <c r="L171" s="38"/>
      <c r="M171" s="38"/>
      <c r="N171" s="38"/>
      <c r="O171" s="38"/>
      <c r="P171" s="38"/>
    </row>
    <row r="172" spans="5:16" ht="15.75">
      <c r="E172" s="38"/>
      <c r="F172" s="38"/>
      <c r="G172" s="38"/>
      <c r="H172" s="38"/>
      <c r="I172" s="38"/>
      <c r="J172" s="38"/>
      <c r="K172" s="62"/>
      <c r="L172" s="38"/>
      <c r="M172" s="38"/>
      <c r="N172" s="38"/>
      <c r="O172" s="38"/>
      <c r="P172" s="38"/>
    </row>
    <row r="173" spans="5:16" ht="15.75">
      <c r="E173" s="38"/>
      <c r="F173" s="38"/>
      <c r="G173" s="38"/>
      <c r="H173" s="38"/>
      <c r="I173" s="38"/>
      <c r="J173" s="38"/>
      <c r="K173" s="62"/>
      <c r="L173" s="38"/>
      <c r="M173" s="38"/>
      <c r="N173" s="38"/>
      <c r="O173" s="38"/>
      <c r="P173" s="38"/>
    </row>
    <row r="174" spans="5:16" ht="15.75">
      <c r="E174" s="38"/>
      <c r="F174" s="38"/>
      <c r="G174" s="38"/>
      <c r="H174" s="38"/>
      <c r="I174" s="38"/>
      <c r="J174" s="38"/>
      <c r="K174" s="62"/>
      <c r="L174" s="38"/>
      <c r="M174" s="38"/>
      <c r="N174" s="38"/>
      <c r="O174" s="38"/>
      <c r="P174" s="38"/>
    </row>
    <row r="175" spans="5:16" ht="15.75">
      <c r="E175" s="38"/>
      <c r="F175" s="38"/>
      <c r="G175" s="38"/>
      <c r="H175" s="38"/>
      <c r="I175" s="38"/>
      <c r="J175" s="38"/>
      <c r="K175" s="62"/>
      <c r="L175" s="38"/>
      <c r="M175" s="38"/>
      <c r="N175" s="38"/>
      <c r="O175" s="38"/>
      <c r="P175" s="38"/>
    </row>
    <row r="176" spans="5:16" ht="15.75">
      <c r="E176" s="38"/>
      <c r="F176" s="38"/>
      <c r="G176" s="38"/>
      <c r="H176" s="38"/>
      <c r="I176" s="38"/>
      <c r="J176" s="38"/>
      <c r="K176" s="62"/>
      <c r="L176" s="38"/>
      <c r="M176" s="38"/>
      <c r="N176" s="38"/>
      <c r="O176" s="38"/>
      <c r="P176" s="38"/>
    </row>
    <row r="177" spans="5:16" ht="15.75">
      <c r="E177" s="38"/>
      <c r="F177" s="38"/>
      <c r="G177" s="38"/>
      <c r="H177" s="38"/>
      <c r="I177" s="38"/>
      <c r="J177" s="38"/>
      <c r="K177" s="62"/>
      <c r="L177" s="38"/>
      <c r="M177" s="38"/>
      <c r="N177" s="38"/>
      <c r="O177" s="38"/>
      <c r="P177" s="38"/>
    </row>
    <row r="178" spans="5:16" ht="15.75">
      <c r="E178" s="38"/>
      <c r="F178" s="38"/>
      <c r="G178" s="38"/>
      <c r="H178" s="38"/>
      <c r="I178" s="38"/>
      <c r="J178" s="38"/>
      <c r="K178" s="62"/>
      <c r="L178" s="38"/>
      <c r="M178" s="38"/>
      <c r="N178" s="38"/>
      <c r="O178" s="38"/>
      <c r="P178" s="38"/>
    </row>
    <row r="179" spans="5:16" ht="15.75">
      <c r="E179" s="38"/>
      <c r="F179" s="38"/>
      <c r="G179" s="38"/>
      <c r="H179" s="38"/>
      <c r="I179" s="38"/>
      <c r="J179" s="38"/>
      <c r="K179" s="62"/>
      <c r="L179" s="38"/>
      <c r="M179" s="38"/>
      <c r="N179" s="38"/>
      <c r="O179" s="38"/>
      <c r="P179" s="38"/>
    </row>
    <row r="180" spans="5:16" ht="15.75">
      <c r="E180" s="38"/>
      <c r="F180" s="38"/>
      <c r="G180" s="38"/>
      <c r="H180" s="38"/>
      <c r="I180" s="38"/>
      <c r="J180" s="38"/>
      <c r="K180" s="62"/>
      <c r="L180" s="38"/>
      <c r="M180" s="38"/>
      <c r="N180" s="38"/>
      <c r="O180" s="38"/>
      <c r="P180" s="38"/>
    </row>
    <row r="181" spans="5:16" ht="15.75">
      <c r="E181" s="38"/>
      <c r="F181" s="38"/>
      <c r="G181" s="38"/>
      <c r="H181" s="38"/>
      <c r="I181" s="38"/>
      <c r="J181" s="38"/>
      <c r="K181" s="62"/>
      <c r="L181" s="38"/>
      <c r="M181" s="38"/>
      <c r="N181" s="38"/>
      <c r="O181" s="38"/>
      <c r="P181" s="38"/>
    </row>
    <row r="182" spans="5:16" ht="15.75">
      <c r="E182" s="38"/>
      <c r="F182" s="38"/>
      <c r="G182" s="38"/>
      <c r="H182" s="38"/>
      <c r="I182" s="38"/>
      <c r="J182" s="38"/>
      <c r="K182" s="62"/>
      <c r="L182" s="38"/>
      <c r="M182" s="38"/>
      <c r="N182" s="38"/>
      <c r="O182" s="38"/>
      <c r="P182" s="38"/>
    </row>
    <row r="183" spans="5:16" ht="15.75">
      <c r="E183" s="38"/>
      <c r="F183" s="38"/>
      <c r="G183" s="38"/>
      <c r="H183" s="38"/>
      <c r="I183" s="38"/>
      <c r="J183" s="38"/>
      <c r="K183" s="62"/>
      <c r="L183" s="38"/>
      <c r="M183" s="38"/>
      <c r="N183" s="38"/>
      <c r="O183" s="38"/>
      <c r="P183" s="38"/>
    </row>
    <row r="184" spans="5:16" ht="15.75">
      <c r="E184" s="38"/>
      <c r="F184" s="38"/>
      <c r="G184" s="38"/>
      <c r="H184" s="38"/>
      <c r="I184" s="38"/>
      <c r="J184" s="38"/>
      <c r="K184" s="62"/>
      <c r="L184" s="38"/>
      <c r="M184" s="38"/>
      <c r="N184" s="38"/>
      <c r="O184" s="38"/>
      <c r="P184" s="38"/>
    </row>
    <row r="185" spans="5:16" ht="15.75">
      <c r="E185" s="38"/>
      <c r="F185" s="38"/>
      <c r="G185" s="38"/>
      <c r="H185" s="38"/>
      <c r="I185" s="38"/>
      <c r="J185" s="38"/>
      <c r="K185" s="62"/>
      <c r="L185" s="38"/>
      <c r="M185" s="38"/>
      <c r="N185" s="38"/>
      <c r="O185" s="38"/>
      <c r="P185" s="38"/>
    </row>
    <row r="186" spans="5:16" ht="15.75">
      <c r="E186" s="38"/>
      <c r="F186" s="38"/>
      <c r="G186" s="38"/>
      <c r="H186" s="38"/>
      <c r="I186" s="38"/>
      <c r="J186" s="38"/>
      <c r="K186" s="62"/>
      <c r="L186" s="38"/>
      <c r="M186" s="38"/>
      <c r="N186" s="38"/>
      <c r="O186" s="38"/>
      <c r="P186" s="38"/>
    </row>
    <row r="187" spans="5:16" ht="15.75">
      <c r="E187" s="38"/>
      <c r="F187" s="38"/>
      <c r="G187" s="38"/>
      <c r="H187" s="38"/>
      <c r="I187" s="38"/>
      <c r="J187" s="38"/>
      <c r="K187" s="62"/>
      <c r="L187" s="38"/>
      <c r="M187" s="38"/>
      <c r="N187" s="38"/>
      <c r="O187" s="38"/>
      <c r="P187" s="38"/>
    </row>
    <row r="188" spans="5:16" ht="15.75">
      <c r="E188" s="38"/>
      <c r="F188" s="38"/>
      <c r="G188" s="38"/>
      <c r="H188" s="38"/>
      <c r="I188" s="38"/>
      <c r="J188" s="38"/>
      <c r="K188" s="62"/>
      <c r="L188" s="38"/>
      <c r="M188" s="38"/>
      <c r="N188" s="38"/>
      <c r="O188" s="38"/>
      <c r="P188" s="38"/>
    </row>
    <row r="189" spans="5:16" ht="15.75">
      <c r="E189" s="38"/>
      <c r="F189" s="38"/>
      <c r="G189" s="38"/>
      <c r="H189" s="38"/>
      <c r="I189" s="38"/>
      <c r="J189" s="38"/>
      <c r="K189" s="62"/>
      <c r="L189" s="38"/>
      <c r="M189" s="38"/>
      <c r="N189" s="38"/>
      <c r="O189" s="38"/>
      <c r="P189" s="38"/>
    </row>
    <row r="190" spans="5:16" ht="15.75">
      <c r="E190" s="38"/>
      <c r="F190" s="38"/>
      <c r="G190" s="38"/>
      <c r="H190" s="38"/>
      <c r="I190" s="38"/>
      <c r="J190" s="38"/>
      <c r="K190" s="62"/>
      <c r="L190" s="38"/>
      <c r="M190" s="38"/>
      <c r="N190" s="38"/>
      <c r="O190" s="38"/>
      <c r="P190" s="38"/>
    </row>
    <row r="191" spans="5:16" ht="15.75">
      <c r="E191" s="38"/>
      <c r="F191" s="38"/>
      <c r="G191" s="38"/>
      <c r="H191" s="38"/>
      <c r="I191" s="38"/>
      <c r="J191" s="38"/>
      <c r="K191" s="62"/>
      <c r="L191" s="38"/>
      <c r="M191" s="38"/>
      <c r="N191" s="38"/>
      <c r="O191" s="38"/>
      <c r="P191" s="38"/>
    </row>
    <row r="192" spans="5:16" ht="15.75">
      <c r="E192" s="38"/>
      <c r="F192" s="38"/>
      <c r="G192" s="38"/>
      <c r="H192" s="38"/>
      <c r="I192" s="38"/>
      <c r="J192" s="38"/>
      <c r="K192" s="62"/>
      <c r="L192" s="38"/>
      <c r="M192" s="38"/>
      <c r="N192" s="38"/>
      <c r="O192" s="38"/>
      <c r="P192" s="38"/>
    </row>
    <row r="193" spans="5:16" ht="15.75">
      <c r="E193" s="38"/>
      <c r="F193" s="38"/>
      <c r="G193" s="38"/>
      <c r="H193" s="38"/>
      <c r="I193" s="38"/>
      <c r="J193" s="38"/>
      <c r="K193" s="62"/>
      <c r="L193" s="38"/>
      <c r="M193" s="38"/>
      <c r="N193" s="38"/>
      <c r="O193" s="38"/>
      <c r="P193" s="38"/>
    </row>
    <row r="194" spans="5:16" ht="15.75">
      <c r="E194" s="38"/>
      <c r="F194" s="38"/>
      <c r="G194" s="38"/>
      <c r="H194" s="38"/>
      <c r="I194" s="38"/>
      <c r="J194" s="38"/>
      <c r="K194" s="62"/>
      <c r="L194" s="38"/>
      <c r="M194" s="38"/>
      <c r="N194" s="38"/>
      <c r="O194" s="38"/>
      <c r="P194" s="38"/>
    </row>
    <row r="195" spans="5:16" ht="15.75">
      <c r="E195" s="38"/>
      <c r="F195" s="38"/>
      <c r="G195" s="38"/>
      <c r="H195" s="38"/>
      <c r="I195" s="38"/>
      <c r="J195" s="38"/>
      <c r="K195" s="62"/>
      <c r="L195" s="38"/>
      <c r="M195" s="38"/>
      <c r="N195" s="38"/>
      <c r="O195" s="38"/>
      <c r="P195" s="38"/>
    </row>
    <row r="196" spans="5:16" ht="15.75">
      <c r="E196" s="38"/>
      <c r="F196" s="38"/>
      <c r="G196" s="38"/>
      <c r="H196" s="38"/>
      <c r="I196" s="38"/>
      <c r="J196" s="38"/>
      <c r="K196" s="62"/>
      <c r="L196" s="38"/>
      <c r="M196" s="38"/>
      <c r="N196" s="38"/>
      <c r="O196" s="38"/>
      <c r="P196" s="38"/>
    </row>
    <row r="197" spans="5:16" ht="15.75">
      <c r="E197" s="38"/>
      <c r="F197" s="38"/>
      <c r="G197" s="38"/>
      <c r="H197" s="38"/>
      <c r="I197" s="38"/>
      <c r="J197" s="38"/>
      <c r="K197" s="62"/>
      <c r="L197" s="38"/>
      <c r="M197" s="38"/>
      <c r="N197" s="38"/>
      <c r="O197" s="38"/>
      <c r="P197" s="38"/>
    </row>
    <row r="198" spans="5:16" ht="15.75">
      <c r="E198" s="38"/>
      <c r="F198" s="38"/>
      <c r="G198" s="38"/>
      <c r="H198" s="38"/>
      <c r="I198" s="38"/>
      <c r="J198" s="38"/>
      <c r="K198" s="62"/>
      <c r="L198" s="38"/>
      <c r="M198" s="38"/>
      <c r="N198" s="38"/>
      <c r="O198" s="38"/>
      <c r="P198" s="38"/>
    </row>
    <row r="199" spans="5:16" ht="15.75">
      <c r="E199" s="38"/>
      <c r="F199" s="38"/>
      <c r="G199" s="38"/>
      <c r="H199" s="38"/>
      <c r="I199" s="38"/>
      <c r="J199" s="38"/>
      <c r="K199" s="62"/>
      <c r="L199" s="38"/>
      <c r="M199" s="38"/>
      <c r="N199" s="38"/>
      <c r="O199" s="38"/>
      <c r="P199" s="38"/>
    </row>
    <row r="200" spans="5:16" ht="15.75">
      <c r="E200" s="38"/>
      <c r="F200" s="38"/>
      <c r="G200" s="38"/>
      <c r="H200" s="38"/>
      <c r="I200" s="38"/>
      <c r="J200" s="38"/>
      <c r="K200" s="62"/>
      <c r="L200" s="38"/>
      <c r="M200" s="38"/>
      <c r="N200" s="38"/>
      <c r="O200" s="38"/>
      <c r="P200" s="38"/>
    </row>
    <row r="201" spans="5:16" ht="15.75">
      <c r="E201" s="38"/>
      <c r="F201" s="38"/>
      <c r="G201" s="38"/>
      <c r="H201" s="38"/>
      <c r="I201" s="38"/>
      <c r="J201" s="38"/>
      <c r="K201" s="62"/>
      <c r="L201" s="38"/>
      <c r="M201" s="38"/>
      <c r="N201" s="38"/>
      <c r="O201" s="38"/>
      <c r="P201" s="38"/>
    </row>
    <row r="202" spans="5:16" ht="15.75">
      <c r="E202" s="38"/>
      <c r="F202" s="38"/>
      <c r="G202" s="38"/>
      <c r="H202" s="38"/>
      <c r="I202" s="38"/>
      <c r="J202" s="38"/>
      <c r="K202" s="62"/>
      <c r="L202" s="38"/>
      <c r="M202" s="38"/>
      <c r="N202" s="38"/>
      <c r="O202" s="38"/>
      <c r="P202" s="38"/>
    </row>
    <row r="203" spans="5:16" ht="15.75">
      <c r="E203" s="38"/>
      <c r="F203" s="38"/>
      <c r="G203" s="38"/>
      <c r="H203" s="38"/>
      <c r="I203" s="38"/>
      <c r="J203" s="38"/>
      <c r="K203" s="62"/>
      <c r="L203" s="38"/>
      <c r="M203" s="38"/>
      <c r="N203" s="38"/>
      <c r="O203" s="38"/>
      <c r="P203" s="38"/>
    </row>
    <row r="204" spans="5:16" ht="15.75">
      <c r="E204" s="38"/>
      <c r="F204" s="38"/>
      <c r="G204" s="38"/>
      <c r="H204" s="38"/>
      <c r="I204" s="38"/>
      <c r="J204" s="38"/>
      <c r="K204" s="62"/>
      <c r="L204" s="38"/>
      <c r="M204" s="38"/>
      <c r="N204" s="38"/>
      <c r="O204" s="38"/>
      <c r="P204" s="38"/>
    </row>
    <row r="205" spans="5:16" ht="15.75">
      <c r="E205" s="38"/>
      <c r="F205" s="38"/>
      <c r="G205" s="38"/>
      <c r="H205" s="38"/>
      <c r="I205" s="38"/>
      <c r="J205" s="38"/>
      <c r="K205" s="62"/>
      <c r="L205" s="38"/>
      <c r="M205" s="38"/>
      <c r="N205" s="38"/>
      <c r="O205" s="38"/>
      <c r="P205" s="38"/>
    </row>
    <row r="206" spans="5:16" ht="15.75">
      <c r="E206" s="38"/>
      <c r="F206" s="38"/>
      <c r="G206" s="38"/>
      <c r="H206" s="38"/>
      <c r="I206" s="38"/>
      <c r="J206" s="38"/>
      <c r="K206" s="62"/>
      <c r="L206" s="38"/>
      <c r="M206" s="38"/>
      <c r="N206" s="38"/>
      <c r="O206" s="38"/>
      <c r="P206" s="38"/>
    </row>
    <row r="207" spans="5:16" ht="15.75">
      <c r="E207" s="38"/>
      <c r="F207" s="38"/>
      <c r="G207" s="38"/>
      <c r="H207" s="38"/>
      <c r="I207" s="38"/>
      <c r="J207" s="38"/>
      <c r="K207" s="62"/>
      <c r="L207" s="38"/>
      <c r="M207" s="38"/>
      <c r="N207" s="38"/>
      <c r="O207" s="38"/>
      <c r="P207" s="38"/>
    </row>
    <row r="208" spans="5:16" ht="15.75">
      <c r="E208" s="38"/>
      <c r="F208" s="38"/>
      <c r="G208" s="38"/>
      <c r="H208" s="38"/>
      <c r="I208" s="38"/>
      <c r="J208" s="38"/>
      <c r="K208" s="62"/>
      <c r="L208" s="38"/>
      <c r="M208" s="38"/>
      <c r="N208" s="38"/>
      <c r="O208" s="38"/>
      <c r="P208" s="38"/>
    </row>
    <row r="209" spans="5:16" ht="15.75">
      <c r="E209" s="38"/>
      <c r="F209" s="38"/>
      <c r="G209" s="38"/>
      <c r="H209" s="38"/>
      <c r="I209" s="38"/>
      <c r="J209" s="38"/>
      <c r="K209" s="62"/>
      <c r="L209" s="38"/>
      <c r="M209" s="38"/>
      <c r="N209" s="38"/>
      <c r="O209" s="38"/>
      <c r="P209" s="38"/>
    </row>
    <row r="210" spans="5:16" ht="15.75">
      <c r="E210" s="38"/>
      <c r="F210" s="38"/>
      <c r="G210" s="38"/>
      <c r="H210" s="38"/>
      <c r="I210" s="38"/>
      <c r="J210" s="38"/>
      <c r="K210" s="62"/>
      <c r="L210" s="38"/>
      <c r="M210" s="38"/>
      <c r="N210" s="38"/>
      <c r="O210" s="38"/>
      <c r="P210" s="38"/>
    </row>
    <row r="211" spans="5:16" ht="15.75">
      <c r="E211" s="38"/>
      <c r="F211" s="38"/>
      <c r="G211" s="38"/>
      <c r="H211" s="38"/>
      <c r="I211" s="38"/>
      <c r="J211" s="38"/>
      <c r="K211" s="62"/>
      <c r="L211" s="38"/>
      <c r="M211" s="38"/>
      <c r="N211" s="38"/>
      <c r="O211" s="38"/>
      <c r="P211" s="38"/>
    </row>
    <row r="212" spans="5:16" ht="15.75">
      <c r="E212" s="38"/>
      <c r="F212" s="38"/>
      <c r="G212" s="38"/>
      <c r="H212" s="38"/>
      <c r="I212" s="38"/>
      <c r="J212" s="38"/>
      <c r="K212" s="62"/>
      <c r="L212" s="38"/>
      <c r="M212" s="38"/>
      <c r="N212" s="38"/>
      <c r="O212" s="38"/>
      <c r="P212" s="38"/>
    </row>
    <row r="213" spans="5:16" ht="15.75">
      <c r="E213" s="38"/>
      <c r="F213" s="38"/>
      <c r="G213" s="38"/>
      <c r="H213" s="38"/>
      <c r="I213" s="38"/>
      <c r="J213" s="38"/>
      <c r="K213" s="62"/>
      <c r="L213" s="38"/>
      <c r="M213" s="38"/>
      <c r="N213" s="38"/>
      <c r="O213" s="38"/>
      <c r="P213" s="38"/>
    </row>
    <row r="214" ht="15.75">
      <c r="E214" s="38"/>
    </row>
    <row r="215" ht="15.75">
      <c r="E215" s="38"/>
    </row>
    <row r="216" ht="15.75">
      <c r="E216" s="38"/>
    </row>
    <row r="217" ht="15.75">
      <c r="E217" s="38"/>
    </row>
    <row r="218" ht="15.75">
      <c r="E218" s="38"/>
    </row>
    <row r="219" ht="15.75">
      <c r="E219" s="38"/>
    </row>
    <row r="220" ht="15.75">
      <c r="E220" s="38"/>
    </row>
    <row r="221" ht="15.75">
      <c r="E221" s="38"/>
    </row>
    <row r="222" ht="15.75">
      <c r="E222" s="38"/>
    </row>
    <row r="223" ht="15.75">
      <c r="E223" s="38"/>
    </row>
    <row r="224" ht="15.75">
      <c r="E224" s="38"/>
    </row>
    <row r="225" ht="15.75">
      <c r="E225" s="38"/>
    </row>
    <row r="226" ht="15.75">
      <c r="E226" s="38"/>
    </row>
    <row r="227" ht="15.75">
      <c r="E227" s="38"/>
    </row>
    <row r="228" ht="15.75">
      <c r="E228" s="38"/>
    </row>
  </sheetData>
  <autoFilter ref="A2:V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D3:D117">
    <cfRule type="expression" priority="1" dxfId="2" stopIfTrue="1">
      <formula>M3&lt;1</formula>
    </cfRule>
  </conditionalFormatting>
  <conditionalFormatting sqref="F113 F76:F77 F26 F34 J40 G36:H36 G3:G35 F115:G117 G118:G122 G37:G114 J118">
    <cfRule type="cellIs" priority="2" dxfId="1" operator="lessThan" stopIfTrue="1">
      <formula>0</formula>
    </cfRule>
  </conditionalFormatting>
  <conditionalFormatting sqref="F4">
    <cfRule type="expression" priority="3" dxfId="2" stopIfTrue="1">
      <formula>#REF!&lt;1</formula>
    </cfRule>
  </conditionalFormatting>
  <printOptions/>
  <pageMargins left="0" right="0" top="0" bottom="0" header="0" footer="0"/>
  <pageSetup cellComments="asDisplayed" fitToHeight="1" fitToWidth="1" horizontalDpi="600" verticalDpi="600" orientation="landscape" paperSize="9" scale="2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indexed="33"/>
    <pageSetUpPr fitToPage="1"/>
  </sheetPr>
  <dimension ref="A1:N179"/>
  <sheetViews>
    <sheetView zoomScale="75" zoomScaleNormal="75" workbookViewId="0" topLeftCell="A1">
      <pane xSplit="4" ySplit="2" topLeftCell="E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3.3359375" style="37" bestFit="1" customWidth="1"/>
    <col min="5" max="5" width="14.99609375" style="37" customWidth="1"/>
    <col min="6" max="6" width="13.88671875" style="37" customWidth="1"/>
    <col min="7" max="7" width="14.4453125" style="37" customWidth="1"/>
    <col min="8" max="8" width="14.6640625" style="37" customWidth="1"/>
    <col min="9" max="10" width="8.4453125" style="37" customWidth="1"/>
    <col min="11" max="11" width="15.4453125" style="37" customWidth="1"/>
    <col min="12" max="12" width="12.5546875" style="37" customWidth="1"/>
    <col min="13" max="13" width="18.6640625" style="37" customWidth="1"/>
    <col min="14" max="14" width="10.3359375" style="37" customWidth="1"/>
    <col min="15" max="16384" width="8.88671875" style="37" customWidth="1"/>
  </cols>
  <sheetData>
    <row r="1" spans="1:13" s="59" customFormat="1" ht="15.75">
      <c r="A1" s="56" t="s">
        <v>118</v>
      </c>
      <c r="B1" s="56" t="s">
        <v>120</v>
      </c>
      <c r="C1" s="56" t="s">
        <v>171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5.75">
      <c r="A2" s="57" t="s">
        <v>119</v>
      </c>
      <c r="B2" s="57" t="s">
        <v>137</v>
      </c>
      <c r="C2" s="57" t="s">
        <v>172</v>
      </c>
      <c r="D2" s="57" t="s">
        <v>209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.75">
      <c r="A3" s="37">
        <v>3520</v>
      </c>
      <c r="B3" s="36">
        <v>11094</v>
      </c>
      <c r="C3" s="22">
        <v>938585</v>
      </c>
      <c r="D3" s="40" t="s">
        <v>176</v>
      </c>
      <c r="E3" s="45">
        <f>VLOOKUP(C3,'[1]Mar10'!$C$3:$K$128,9,0)</f>
        <v>84403.87</v>
      </c>
      <c r="F3" s="58"/>
      <c r="G3" s="92"/>
      <c r="H3" s="58"/>
      <c r="I3" s="58"/>
      <c r="J3" s="58"/>
      <c r="K3" s="58"/>
      <c r="L3" s="58"/>
      <c r="M3" s="58"/>
    </row>
    <row r="4" spans="1:13" ht="16.5" thickBot="1">
      <c r="A4" s="37">
        <v>3317</v>
      </c>
      <c r="B4" s="36">
        <v>10042</v>
      </c>
      <c r="C4" s="22">
        <v>938350</v>
      </c>
      <c r="D4" s="40" t="s">
        <v>18</v>
      </c>
      <c r="E4" s="45">
        <f>VLOOKUP(C4,'[1]Mar10'!$C$3:$K$128,9,0)</f>
        <v>74710.89</v>
      </c>
      <c r="F4" s="58">
        <f>2233.32-14.08</f>
        <v>2219.2400000000002</v>
      </c>
      <c r="G4" s="92">
        <v>-75007.17</v>
      </c>
      <c r="H4" s="58">
        <v>151937.15</v>
      </c>
      <c r="I4" s="58"/>
      <c r="J4" s="58"/>
      <c r="K4" s="58"/>
      <c r="L4" s="58" t="s">
        <v>217</v>
      </c>
      <c r="M4" s="40">
        <v>100689057</v>
      </c>
    </row>
    <row r="5" spans="1:13" ht="16.5" thickBot="1">
      <c r="A5" s="37">
        <v>3300</v>
      </c>
      <c r="B5" s="37">
        <v>10040</v>
      </c>
      <c r="C5" s="47">
        <v>938282</v>
      </c>
      <c r="D5" s="40" t="s">
        <v>17</v>
      </c>
      <c r="E5" s="45">
        <f>VLOOKUP(C5,'[1]Mar10'!$C$3:$K$128,9,0)</f>
        <v>72921.51000000008</v>
      </c>
      <c r="F5" s="58"/>
      <c r="G5" s="92"/>
      <c r="H5" s="58"/>
      <c r="I5" s="58"/>
      <c r="J5" s="58"/>
      <c r="K5" s="58"/>
      <c r="L5" s="40"/>
      <c r="M5" s="40"/>
    </row>
    <row r="6" spans="1:13" ht="16.5" thickBot="1">
      <c r="A6" s="37">
        <v>3500</v>
      </c>
      <c r="B6" s="37">
        <v>10043</v>
      </c>
      <c r="C6" s="47">
        <v>938355</v>
      </c>
      <c r="D6" s="40" t="s">
        <v>20</v>
      </c>
      <c r="E6" s="45">
        <f>VLOOKUP(C6,'[1]Mar10'!$C$3:$K$128,9,0)</f>
        <v>156208.93</v>
      </c>
      <c r="F6" s="58"/>
      <c r="G6" s="92"/>
      <c r="H6" s="58"/>
      <c r="I6" s="58"/>
      <c r="J6" s="58"/>
      <c r="K6" s="58"/>
      <c r="L6" s="40"/>
      <c r="M6" s="40"/>
    </row>
    <row r="7" spans="1:13" ht="16.5" thickBot="1">
      <c r="A7" s="37">
        <v>3514</v>
      </c>
      <c r="B7" s="37">
        <v>10117</v>
      </c>
      <c r="C7" s="47">
        <v>938415</v>
      </c>
      <c r="D7" s="40" t="s">
        <v>19</v>
      </c>
      <c r="E7" s="45">
        <f>VLOOKUP(C7,'[1]Mar10'!$C$3:$K$128,9,0)</f>
        <v>42891.44999999986</v>
      </c>
      <c r="F7" s="58"/>
      <c r="G7" s="92"/>
      <c r="H7" s="58"/>
      <c r="I7" s="58"/>
      <c r="J7" s="58"/>
      <c r="K7" s="58"/>
      <c r="L7" s="40"/>
      <c r="M7" s="40"/>
    </row>
    <row r="8" spans="1:13" ht="16.5" thickBot="1">
      <c r="A8" s="37">
        <v>2002</v>
      </c>
      <c r="B8" s="37">
        <v>10044</v>
      </c>
      <c r="C8" s="47">
        <v>938025</v>
      </c>
      <c r="D8" s="40" t="s">
        <v>22</v>
      </c>
      <c r="E8" s="45">
        <f>VLOOKUP(C8,'[1]Mar10'!$C$3:$K$128,9,0)</f>
        <v>204099.02</v>
      </c>
      <c r="F8" s="58"/>
      <c r="G8" s="92"/>
      <c r="H8" s="58"/>
      <c r="I8" s="58"/>
      <c r="J8" s="58"/>
      <c r="K8" s="58"/>
      <c r="L8" s="40"/>
      <c r="M8" s="40"/>
    </row>
    <row r="9" spans="1:13" ht="16.5" thickBot="1">
      <c r="A9" s="37">
        <v>2079</v>
      </c>
      <c r="B9" s="37">
        <v>10128</v>
      </c>
      <c r="C9" s="47">
        <v>938280</v>
      </c>
      <c r="D9" s="40" t="s">
        <v>124</v>
      </c>
      <c r="E9" s="45">
        <f>VLOOKUP(C9,'[1]Mar10'!$C$3:$K$128,9,0)</f>
        <v>19729.91</v>
      </c>
      <c r="F9" s="58"/>
      <c r="G9" s="92"/>
      <c r="H9" s="58"/>
      <c r="I9" s="58"/>
      <c r="J9" s="58"/>
      <c r="K9" s="58"/>
      <c r="L9" s="40"/>
      <c r="M9" s="40"/>
    </row>
    <row r="10" spans="1:13" ht="16.5" thickBot="1">
      <c r="A10" s="37">
        <v>2003</v>
      </c>
      <c r="B10" s="37">
        <v>10045</v>
      </c>
      <c r="C10" s="47">
        <v>938030</v>
      </c>
      <c r="D10" s="40" t="s">
        <v>23</v>
      </c>
      <c r="E10" s="45">
        <f>VLOOKUP(C10,'[1]Mar10'!$C$3:$K$128,9,0)</f>
        <v>370869.62</v>
      </c>
      <c r="F10" s="58"/>
      <c r="G10" s="92"/>
      <c r="H10" s="58"/>
      <c r="I10" s="58"/>
      <c r="J10" s="58"/>
      <c r="K10" s="58"/>
      <c r="L10" s="40"/>
      <c r="M10" s="40"/>
    </row>
    <row r="11" spans="1:13" ht="16.5" thickBot="1">
      <c r="A11" s="37">
        <v>3511</v>
      </c>
      <c r="B11" s="37">
        <v>10115</v>
      </c>
      <c r="C11" s="47">
        <v>938400</v>
      </c>
      <c r="D11" s="40" t="s">
        <v>24</v>
      </c>
      <c r="E11" s="45">
        <f>VLOOKUP(C11,'[1]Mar10'!$C$3:$K$128,9,0)</f>
        <v>88854.63000000012</v>
      </c>
      <c r="F11" s="58"/>
      <c r="G11" s="92"/>
      <c r="H11" s="58"/>
      <c r="I11" s="58"/>
      <c r="J11" s="58"/>
      <c r="K11" s="58"/>
      <c r="L11" s="40"/>
      <c r="M11" s="40"/>
    </row>
    <row r="12" spans="1:13" ht="16.5" thickBot="1">
      <c r="A12" s="37">
        <v>3519</v>
      </c>
      <c r="B12" s="37">
        <v>10134</v>
      </c>
      <c r="C12" s="47">
        <v>938435</v>
      </c>
      <c r="D12" s="40" t="s">
        <v>130</v>
      </c>
      <c r="E12" s="45">
        <f>VLOOKUP(C12,'[1]Mar10'!$C$3:$K$128,9,0)</f>
        <v>320558.25</v>
      </c>
      <c r="F12" s="58"/>
      <c r="G12" s="92"/>
      <c r="H12" s="58"/>
      <c r="I12" s="58"/>
      <c r="J12" s="58"/>
      <c r="K12" s="58"/>
      <c r="L12" s="40"/>
      <c r="M12" s="40"/>
    </row>
    <row r="13" spans="1:13" ht="16.5" thickBot="1">
      <c r="A13" s="37">
        <v>2008</v>
      </c>
      <c r="B13" s="37">
        <v>10047</v>
      </c>
      <c r="C13" s="47">
        <v>938040</v>
      </c>
      <c r="D13" s="40" t="s">
        <v>26</v>
      </c>
      <c r="E13" s="45">
        <f>VLOOKUP(C13,'[1]Mar10'!$C$3:$K$128,9,0)</f>
        <v>173617.3</v>
      </c>
      <c r="F13" s="58"/>
      <c r="G13" s="92"/>
      <c r="H13" s="58"/>
      <c r="I13" s="58"/>
      <c r="J13" s="58"/>
      <c r="K13" s="58"/>
      <c r="L13" s="40"/>
      <c r="M13" s="40"/>
    </row>
    <row r="14" spans="1:13" ht="16.5" thickBot="1">
      <c r="A14" s="37">
        <v>2007</v>
      </c>
      <c r="B14" s="37">
        <v>10046</v>
      </c>
      <c r="C14" s="47">
        <v>938035</v>
      </c>
      <c r="D14" s="40" t="s">
        <v>25</v>
      </c>
      <c r="E14" s="45">
        <f>VLOOKUP(C14,'[1]Mar10'!$C$3:$K$128,9,0)</f>
        <v>225010.69</v>
      </c>
      <c r="F14" s="58"/>
      <c r="G14" s="92"/>
      <c r="H14" s="38"/>
      <c r="I14" s="58"/>
      <c r="J14" s="58"/>
      <c r="K14" s="58"/>
      <c r="L14" s="89"/>
      <c r="M14" s="40"/>
    </row>
    <row r="15" spans="1:13" ht="16.5" thickBot="1">
      <c r="A15" s="37">
        <v>2009</v>
      </c>
      <c r="B15" s="37">
        <v>10048</v>
      </c>
      <c r="C15" s="47">
        <v>938045</v>
      </c>
      <c r="D15" s="40" t="s">
        <v>27</v>
      </c>
      <c r="E15" s="45">
        <f>VLOOKUP(C15,'[1]Mar10'!$C$3:$K$128,9,0)</f>
        <v>154542.06</v>
      </c>
      <c r="F15" s="58"/>
      <c r="G15" s="92"/>
      <c r="H15" s="58"/>
      <c r="I15" s="58"/>
      <c r="J15" s="58"/>
      <c r="K15" s="58"/>
      <c r="L15" s="40"/>
      <c r="M15" s="40"/>
    </row>
    <row r="16" spans="1:13" ht="16.5" thickBot="1">
      <c r="A16" s="37">
        <v>2067</v>
      </c>
      <c r="B16" s="37">
        <v>10118</v>
      </c>
      <c r="C16" s="47">
        <v>938235</v>
      </c>
      <c r="D16" s="40" t="s">
        <v>28</v>
      </c>
      <c r="E16" s="45">
        <f>VLOOKUP(C16,'[1]Mar10'!$C$3:$K$128,9,0)</f>
        <v>215121</v>
      </c>
      <c r="F16" s="58"/>
      <c r="G16" s="92"/>
      <c r="H16" s="58"/>
      <c r="I16" s="58"/>
      <c r="J16" s="58"/>
      <c r="K16" s="58"/>
      <c r="L16" s="40"/>
      <c r="M16" s="40"/>
    </row>
    <row r="17" spans="1:13" ht="16.5" thickBot="1">
      <c r="A17" s="37">
        <v>2010</v>
      </c>
      <c r="B17" s="37">
        <v>10049</v>
      </c>
      <c r="C17" s="47">
        <v>938050</v>
      </c>
      <c r="D17" s="40" t="s">
        <v>29</v>
      </c>
      <c r="E17" s="45">
        <f>VLOOKUP(C17,'[1]Mar10'!$C$3:$K$128,9,0)</f>
        <v>229879.26</v>
      </c>
      <c r="F17" s="58"/>
      <c r="G17" s="92"/>
      <c r="H17" s="58"/>
      <c r="I17" s="58"/>
      <c r="J17" s="58"/>
      <c r="K17" s="58"/>
      <c r="L17" s="40"/>
      <c r="M17" s="40"/>
    </row>
    <row r="18" spans="1:13" ht="16.5" thickBot="1">
      <c r="A18" s="37">
        <v>3302</v>
      </c>
      <c r="B18" s="37">
        <v>10050</v>
      </c>
      <c r="C18" s="47">
        <v>938285</v>
      </c>
      <c r="D18" s="40" t="s">
        <v>30</v>
      </c>
      <c r="E18" s="45">
        <f>VLOOKUP(C18,'[1]Mar10'!$C$3:$K$128,9,0)</f>
        <v>109352.93</v>
      </c>
      <c r="F18" s="58"/>
      <c r="G18" s="92"/>
      <c r="H18" s="58"/>
      <c r="I18" s="58"/>
      <c r="J18" s="58"/>
      <c r="K18" s="58"/>
      <c r="L18" s="40"/>
      <c r="M18" s="40"/>
    </row>
    <row r="19" spans="1:13" ht="16.5" thickBot="1">
      <c r="A19" s="37">
        <v>2011</v>
      </c>
      <c r="B19" s="37">
        <v>10051</v>
      </c>
      <c r="C19" s="47">
        <v>938055</v>
      </c>
      <c r="D19" s="40" t="s">
        <v>31</v>
      </c>
      <c r="E19" s="45">
        <f>VLOOKUP(C19,'[1]Mar10'!$C$3:$K$128,9,0)</f>
        <v>142747.69</v>
      </c>
      <c r="F19" s="58"/>
      <c r="G19" s="92"/>
      <c r="H19" s="58"/>
      <c r="I19" s="58"/>
      <c r="J19" s="58"/>
      <c r="K19" s="58"/>
      <c r="L19" s="40"/>
      <c r="M19" s="40"/>
    </row>
    <row r="20" spans="1:13" ht="16.5" thickBot="1">
      <c r="A20" s="37">
        <v>3522</v>
      </c>
      <c r="B20" s="37">
        <v>10953</v>
      </c>
      <c r="C20" s="47">
        <v>938438</v>
      </c>
      <c r="D20" s="40" t="s">
        <v>140</v>
      </c>
      <c r="E20" s="45">
        <f>VLOOKUP(C20,'[1]Mar10'!$C$3:$K$128,9,0)</f>
        <v>127100.57</v>
      </c>
      <c r="F20" s="58"/>
      <c r="G20" s="92"/>
      <c r="H20" s="58"/>
      <c r="I20" s="58"/>
      <c r="J20" s="58"/>
      <c r="K20" s="58"/>
      <c r="L20" s="40"/>
      <c r="M20" s="40"/>
    </row>
    <row r="21" spans="1:13" ht="16.5" thickBot="1">
      <c r="A21" s="37">
        <v>2014</v>
      </c>
      <c r="B21" s="37">
        <v>10054</v>
      </c>
      <c r="C21" s="47">
        <v>938070</v>
      </c>
      <c r="D21" s="40" t="s">
        <v>32</v>
      </c>
      <c r="E21" s="45">
        <f>VLOOKUP(C21,'[1]Mar10'!$C$3:$K$128,9,0)</f>
        <v>520309.84</v>
      </c>
      <c r="F21" s="58"/>
      <c r="G21" s="92"/>
      <c r="H21" s="58"/>
      <c r="I21" s="58"/>
      <c r="J21" s="58"/>
      <c r="K21" s="58"/>
      <c r="L21" s="40"/>
      <c r="M21" s="40"/>
    </row>
    <row r="22" spans="1:13" ht="16.5" thickBot="1">
      <c r="A22" s="37">
        <v>2015</v>
      </c>
      <c r="B22" s="37">
        <v>10055</v>
      </c>
      <c r="C22" s="47">
        <v>938075</v>
      </c>
      <c r="D22" s="40" t="s">
        <v>33</v>
      </c>
      <c r="E22" s="45">
        <f>VLOOKUP(C22,'[1]Mar10'!$C$3:$K$128,9,0)</f>
        <v>187332.16</v>
      </c>
      <c r="F22" s="58">
        <f>1722.74-12.43</f>
        <v>1710.31</v>
      </c>
      <c r="G22" s="92">
        <v>-139535.39</v>
      </c>
      <c r="H22" s="58">
        <v>328577.86</v>
      </c>
      <c r="I22" s="58"/>
      <c r="J22" s="58"/>
      <c r="K22" s="58"/>
      <c r="L22" s="40" t="s">
        <v>218</v>
      </c>
      <c r="M22" s="40">
        <v>100689083</v>
      </c>
    </row>
    <row r="23" spans="1:13" ht="16.5" thickBot="1">
      <c r="A23" s="37">
        <v>2016</v>
      </c>
      <c r="B23" s="37">
        <v>10056</v>
      </c>
      <c r="C23" s="47">
        <v>938080</v>
      </c>
      <c r="D23" s="40" t="s">
        <v>34</v>
      </c>
      <c r="E23" s="45">
        <f>VLOOKUP(C23,'[1]Mar10'!$C$3:$K$128,9,0)</f>
        <v>168938.34</v>
      </c>
      <c r="F23" s="58"/>
      <c r="G23" s="92"/>
      <c r="H23" s="58"/>
      <c r="I23" s="58"/>
      <c r="J23" s="58"/>
      <c r="K23" s="58"/>
      <c r="L23" s="40"/>
      <c r="M23" s="40"/>
    </row>
    <row r="24" spans="1:13" ht="16.5" thickBot="1">
      <c r="A24" s="37">
        <v>2017</v>
      </c>
      <c r="B24" s="37">
        <v>10057</v>
      </c>
      <c r="C24" s="47">
        <v>938085</v>
      </c>
      <c r="D24" s="40" t="s">
        <v>35</v>
      </c>
      <c r="E24" s="45">
        <f>VLOOKUP(C24,'[1]Mar10'!$C$3:$K$128,9,0)</f>
        <v>213300.56</v>
      </c>
      <c r="F24" s="58"/>
      <c r="G24" s="92"/>
      <c r="H24" s="58"/>
      <c r="I24" s="58"/>
      <c r="J24" s="58"/>
      <c r="K24" s="58"/>
      <c r="L24" s="40"/>
      <c r="M24" s="40"/>
    </row>
    <row r="25" spans="1:13" ht="16.5" thickBot="1">
      <c r="A25" s="37">
        <v>2073</v>
      </c>
      <c r="B25" s="37">
        <v>10083</v>
      </c>
      <c r="C25" s="47">
        <v>938255</v>
      </c>
      <c r="D25" s="40" t="s">
        <v>36</v>
      </c>
      <c r="E25" s="45">
        <f>VLOOKUP(C25,'[1]Mar10'!$C$3:$K$128,9,0)</f>
        <v>111604.37</v>
      </c>
      <c r="F25" s="58"/>
      <c r="G25" s="92"/>
      <c r="H25" s="58"/>
      <c r="I25" s="58"/>
      <c r="J25" s="58"/>
      <c r="K25" s="58"/>
      <c r="L25" s="40"/>
      <c r="M25" s="40"/>
    </row>
    <row r="26" spans="1:13" ht="16.5" thickBot="1">
      <c r="A26" s="37">
        <v>2019</v>
      </c>
      <c r="B26" s="37">
        <v>10059</v>
      </c>
      <c r="C26" s="47">
        <v>938095</v>
      </c>
      <c r="D26" s="40" t="s">
        <v>38</v>
      </c>
      <c r="E26" s="45">
        <f>VLOOKUP(C26,'[1]Mar10'!$C$3:$K$128,9,0)</f>
        <v>155818.58</v>
      </c>
      <c r="F26" s="58"/>
      <c r="G26" s="92"/>
      <c r="H26" s="58"/>
      <c r="I26" s="58"/>
      <c r="J26" s="58"/>
      <c r="K26" s="58"/>
      <c r="L26" s="40"/>
      <c r="M26" s="40"/>
    </row>
    <row r="27" spans="1:13" ht="16.5" thickBot="1">
      <c r="A27" s="37">
        <v>2018</v>
      </c>
      <c r="B27" s="37">
        <v>10058</v>
      </c>
      <c r="C27" s="47">
        <v>938090</v>
      </c>
      <c r="D27" s="40" t="s">
        <v>37</v>
      </c>
      <c r="E27" s="45">
        <f>VLOOKUP(C27,'[1]Mar10'!$C$3:$K$128,9,0)</f>
        <v>330950.19</v>
      </c>
      <c r="F27" s="58"/>
      <c r="G27" s="92"/>
      <c r="H27" s="58"/>
      <c r="I27" s="58"/>
      <c r="J27" s="58"/>
      <c r="K27" s="58"/>
      <c r="L27" s="40"/>
      <c r="M27" s="40"/>
    </row>
    <row r="28" spans="1:13" ht="16.5" thickBot="1">
      <c r="A28" s="37">
        <v>2021</v>
      </c>
      <c r="B28" s="37">
        <v>10061</v>
      </c>
      <c r="C28" s="47">
        <v>938100</v>
      </c>
      <c r="D28" s="40" t="s">
        <v>40</v>
      </c>
      <c r="E28" s="45">
        <f>VLOOKUP(C28,'[1]Mar10'!$C$3:$K$128,9,0)</f>
        <v>119094.51</v>
      </c>
      <c r="F28" s="58"/>
      <c r="G28" s="92"/>
      <c r="H28" s="58"/>
      <c r="I28" s="58"/>
      <c r="J28" s="58"/>
      <c r="K28" s="58"/>
      <c r="L28" s="40"/>
      <c r="M28" s="40"/>
    </row>
    <row r="29" spans="1:13" ht="16.5" thickBot="1">
      <c r="A29" s="37">
        <v>5200</v>
      </c>
      <c r="B29" s="37">
        <v>10060</v>
      </c>
      <c r="C29" s="47">
        <v>938490</v>
      </c>
      <c r="D29" s="40" t="s">
        <v>39</v>
      </c>
      <c r="E29" s="45">
        <f>VLOOKUP(C29,'[1]Mar10'!$C$3:$K$128,9,0)</f>
        <v>138811.79</v>
      </c>
      <c r="F29" s="58">
        <v>14941.54</v>
      </c>
      <c r="G29" s="92">
        <v>81381.5</v>
      </c>
      <c r="H29" s="58">
        <v>72371.83</v>
      </c>
      <c r="I29" s="58"/>
      <c r="J29" s="58"/>
      <c r="K29" s="58"/>
      <c r="L29" s="40" t="s">
        <v>216</v>
      </c>
      <c r="M29" s="40">
        <v>100689970</v>
      </c>
    </row>
    <row r="30" spans="1:13" ht="16.5" thickBot="1">
      <c r="A30" s="37">
        <v>2023</v>
      </c>
      <c r="B30" s="37">
        <v>10063</v>
      </c>
      <c r="C30" s="47">
        <v>938110</v>
      </c>
      <c r="D30" s="40" t="s">
        <v>42</v>
      </c>
      <c r="E30" s="45">
        <f>VLOOKUP(C30,'[1]Mar10'!$C$3:$K$128,9,0)</f>
        <v>244351.4</v>
      </c>
      <c r="F30" s="137">
        <v>2616.71</v>
      </c>
      <c r="G30" s="135">
        <v>-98206.58</v>
      </c>
      <c r="H30" s="132">
        <v>345471.69</v>
      </c>
      <c r="I30" s="58"/>
      <c r="J30" s="58"/>
      <c r="K30" s="58"/>
      <c r="L30" s="136" t="s">
        <v>236</v>
      </c>
      <c r="M30" s="136">
        <v>100700974</v>
      </c>
    </row>
    <row r="31" spans="1:13" ht="16.5" thickBot="1">
      <c r="A31" s="37">
        <v>2022</v>
      </c>
      <c r="B31" s="37">
        <v>10062</v>
      </c>
      <c r="C31" s="47">
        <v>938105</v>
      </c>
      <c r="D31" s="40" t="s">
        <v>41</v>
      </c>
      <c r="E31" s="45">
        <f>VLOOKUP(C31,'[1]Mar10'!$C$3:$K$128,9,0)</f>
        <v>265997.59</v>
      </c>
      <c r="F31" s="58"/>
      <c r="G31" s="92"/>
      <c r="H31" s="58"/>
      <c r="I31" s="58"/>
      <c r="J31" s="58"/>
      <c r="K31" s="58"/>
      <c r="L31" s="40"/>
      <c r="M31" s="40"/>
    </row>
    <row r="32" spans="1:13" ht="16.5" thickBot="1">
      <c r="A32" s="37">
        <v>3524</v>
      </c>
      <c r="B32" s="37">
        <v>11278</v>
      </c>
      <c r="C32" s="47">
        <v>938590</v>
      </c>
      <c r="D32" s="40" t="s">
        <v>396</v>
      </c>
      <c r="E32" s="45"/>
      <c r="F32" s="58"/>
      <c r="G32" s="92"/>
      <c r="H32" s="58"/>
      <c r="I32" s="58"/>
      <c r="J32" s="58"/>
      <c r="K32" s="58"/>
      <c r="L32" s="40"/>
      <c r="M32" s="40">
        <v>1</v>
      </c>
    </row>
    <row r="33" spans="1:13" ht="16.5" thickBot="1">
      <c r="A33" s="37">
        <v>2024</v>
      </c>
      <c r="B33" s="37">
        <v>10064</v>
      </c>
      <c r="C33" s="47">
        <v>938115</v>
      </c>
      <c r="D33" s="40" t="s">
        <v>43</v>
      </c>
      <c r="E33" s="45">
        <f>VLOOKUP(C33,'[1]Mar10'!$C$3:$K$128,9,0)</f>
        <v>194753.95</v>
      </c>
      <c r="F33" s="58">
        <f>1167.43-29.08</f>
        <v>1138.3500000000001</v>
      </c>
      <c r="G33" s="92">
        <v>-91133.92</v>
      </c>
      <c r="H33" s="58">
        <v>287026.22</v>
      </c>
      <c r="I33" s="58"/>
      <c r="J33" s="58"/>
      <c r="K33" s="58"/>
      <c r="L33" s="40" t="s">
        <v>216</v>
      </c>
      <c r="M33" s="40">
        <v>100688472</v>
      </c>
    </row>
    <row r="34" spans="1:13" ht="16.5" thickBot="1">
      <c r="A34" s="37">
        <v>2025</v>
      </c>
      <c r="B34" s="37">
        <v>10065</v>
      </c>
      <c r="C34" s="47">
        <v>938120</v>
      </c>
      <c r="D34" s="40" t="s">
        <v>44</v>
      </c>
      <c r="E34" s="45">
        <f>VLOOKUP(C34,'[1]Mar10'!$C$3:$K$128,9,0)</f>
        <v>175353.47</v>
      </c>
      <c r="F34" s="58"/>
      <c r="G34" s="92"/>
      <c r="H34" s="58"/>
      <c r="I34" s="58"/>
      <c r="J34" s="58"/>
      <c r="K34" s="58"/>
      <c r="L34" s="40"/>
      <c r="M34" s="40"/>
    </row>
    <row r="35" spans="1:13" ht="16.5" thickBot="1">
      <c r="A35" s="37">
        <v>2026</v>
      </c>
      <c r="B35" s="37">
        <v>10066</v>
      </c>
      <c r="C35" s="47">
        <v>938125</v>
      </c>
      <c r="D35" s="40" t="s">
        <v>45</v>
      </c>
      <c r="E35" s="45">
        <f>VLOOKUP(C35,'[1]Mar10'!$C$3:$K$128,9,0)</f>
        <v>334493.04</v>
      </c>
      <c r="F35" s="58"/>
      <c r="G35" s="92"/>
      <c r="H35" s="58"/>
      <c r="I35" s="58"/>
      <c r="J35" s="58"/>
      <c r="K35" s="58"/>
      <c r="L35" s="40"/>
      <c r="M35" s="40"/>
    </row>
    <row r="36" spans="1:13" ht="16.5" thickBot="1">
      <c r="A36" s="37">
        <v>2028</v>
      </c>
      <c r="B36" s="37">
        <v>10068</v>
      </c>
      <c r="C36" s="47">
        <v>938135</v>
      </c>
      <c r="D36" s="40" t="s">
        <v>47</v>
      </c>
      <c r="E36" s="45">
        <f>VLOOKUP(C36,'[1]Mar10'!$C$3:$K$128,9,0)</f>
        <v>147392.47</v>
      </c>
      <c r="F36" s="58"/>
      <c r="G36" s="92"/>
      <c r="H36" s="58"/>
      <c r="I36" s="58"/>
      <c r="J36" s="58"/>
      <c r="K36" s="58"/>
      <c r="L36" s="40"/>
      <c r="M36" s="40"/>
    </row>
    <row r="37" spans="1:13" ht="16.5" thickBot="1">
      <c r="A37" s="37">
        <v>2027</v>
      </c>
      <c r="B37" s="37">
        <v>10067</v>
      </c>
      <c r="C37" s="47">
        <v>938130</v>
      </c>
      <c r="D37" s="40" t="s">
        <v>46</v>
      </c>
      <c r="E37" s="45">
        <f>VLOOKUP(C37,'[1]Mar10'!$C$3:$K$128,9,0)</f>
        <v>163698.3</v>
      </c>
      <c r="F37" s="58"/>
      <c r="G37" s="92"/>
      <c r="H37" s="58"/>
      <c r="I37" s="58"/>
      <c r="J37" s="58"/>
      <c r="K37" s="58"/>
      <c r="L37" s="40"/>
      <c r="M37" s="40"/>
    </row>
    <row r="38" spans="1:13" ht="16.5" thickBot="1">
      <c r="A38" s="37">
        <v>2029</v>
      </c>
      <c r="B38" s="37">
        <v>10069</v>
      </c>
      <c r="C38" s="47">
        <v>938140</v>
      </c>
      <c r="D38" s="40" t="s">
        <v>48</v>
      </c>
      <c r="E38" s="45">
        <f>VLOOKUP(C38,'[1]Mar10'!$C$3:$K$128,9,0)</f>
        <v>71274.82999999986</v>
      </c>
      <c r="F38" s="58"/>
      <c r="G38" s="92"/>
      <c r="H38" s="58"/>
      <c r="I38" s="58"/>
      <c r="J38" s="58"/>
      <c r="K38" s="58"/>
      <c r="L38" s="40"/>
      <c r="M38" s="40"/>
    </row>
    <row r="39" spans="1:13" ht="16.5" thickBot="1">
      <c r="A39" s="37">
        <v>2030</v>
      </c>
      <c r="B39" s="37">
        <v>10070</v>
      </c>
      <c r="C39" s="47">
        <v>938145</v>
      </c>
      <c r="D39" s="40" t="s">
        <v>50</v>
      </c>
      <c r="E39" s="45">
        <f>VLOOKUP(C39,'[1]Mar10'!$C$3:$K$128,9,0)</f>
        <v>78266.12</v>
      </c>
      <c r="F39" s="58">
        <v>475.85</v>
      </c>
      <c r="G39" s="92">
        <v>-31622.77</v>
      </c>
      <c r="H39" s="58">
        <v>110364.74</v>
      </c>
      <c r="I39" s="58"/>
      <c r="J39" s="58"/>
      <c r="K39" s="58"/>
      <c r="L39" s="40" t="s">
        <v>214</v>
      </c>
      <c r="M39" s="40">
        <v>100688437</v>
      </c>
    </row>
    <row r="40" spans="1:13" ht="16.5" thickBot="1">
      <c r="A40" s="37">
        <v>3516</v>
      </c>
      <c r="B40" s="37">
        <v>10121</v>
      </c>
      <c r="C40" s="47">
        <v>938425</v>
      </c>
      <c r="D40" s="40" t="s">
        <v>51</v>
      </c>
      <c r="E40" s="45">
        <f>VLOOKUP(C40,'[1]Mar10'!$C$3:$K$128,9,0)</f>
        <v>40007.79</v>
      </c>
      <c r="F40" s="58"/>
      <c r="G40" s="92"/>
      <c r="H40" s="58"/>
      <c r="I40" s="58"/>
      <c r="J40" s="58"/>
      <c r="K40" s="58"/>
      <c r="L40" s="40"/>
      <c r="M40" s="40"/>
    </row>
    <row r="41" spans="1:13" ht="16.5" thickBot="1">
      <c r="A41" s="37">
        <v>2031</v>
      </c>
      <c r="B41" s="37">
        <v>10071</v>
      </c>
      <c r="C41" s="47">
        <v>938150</v>
      </c>
      <c r="D41" s="40" t="s">
        <v>52</v>
      </c>
      <c r="E41" s="45">
        <f>VLOOKUP(C41,'[1]Mar10'!$C$3:$K$128,9,0)</f>
        <v>214444.45</v>
      </c>
      <c r="F41" s="58"/>
      <c r="G41" s="92"/>
      <c r="H41" s="58"/>
      <c r="I41" s="58"/>
      <c r="J41" s="58"/>
      <c r="K41" s="58"/>
      <c r="L41" s="40"/>
      <c r="M41" s="40"/>
    </row>
    <row r="42" spans="1:13" ht="16.5" thickBot="1">
      <c r="A42" s="37">
        <v>2032</v>
      </c>
      <c r="B42" s="37">
        <v>10072</v>
      </c>
      <c r="C42" s="47">
        <v>938155</v>
      </c>
      <c r="D42" s="40" t="s">
        <v>53</v>
      </c>
      <c r="E42" s="45">
        <f>VLOOKUP(C42,'[1]Mar10'!$C$3:$K$128,9,0)</f>
        <v>101547.72</v>
      </c>
      <c r="F42" s="58"/>
      <c r="G42" s="92"/>
      <c r="H42" s="58"/>
      <c r="I42" s="58"/>
      <c r="J42" s="58"/>
      <c r="K42" s="58"/>
      <c r="L42" s="40"/>
      <c r="M42" s="40"/>
    </row>
    <row r="43" spans="1:13" ht="16.5" thickBot="1">
      <c r="A43" s="37">
        <v>3304</v>
      </c>
      <c r="B43" s="37">
        <v>10073</v>
      </c>
      <c r="C43" s="47">
        <v>938290</v>
      </c>
      <c r="D43" s="40" t="s">
        <v>54</v>
      </c>
      <c r="E43" s="45">
        <f>VLOOKUP(C43,'[1]Mar10'!$C$3:$K$128,9,0)</f>
        <v>62423.98999999995</v>
      </c>
      <c r="F43" s="58"/>
      <c r="G43" s="92"/>
      <c r="H43" s="58"/>
      <c r="I43" s="58"/>
      <c r="J43" s="58"/>
      <c r="K43" s="58"/>
      <c r="L43" s="40"/>
      <c r="M43" s="40"/>
    </row>
    <row r="44" spans="1:13" ht="16.5" thickBot="1">
      <c r="A44" s="37">
        <v>2074</v>
      </c>
      <c r="B44" s="37">
        <v>10122</v>
      </c>
      <c r="C44" s="47">
        <v>938260</v>
      </c>
      <c r="D44" s="40" t="s">
        <v>55</v>
      </c>
      <c r="E44" s="45">
        <f>VLOOKUP(C44,'[1]Mar10'!$C$3:$K$128,9,0)</f>
        <v>239664.26</v>
      </c>
      <c r="F44" s="58">
        <f>8084.22-26.81</f>
        <v>8057.41</v>
      </c>
      <c r="G44" s="92">
        <v>-75435.68</v>
      </c>
      <c r="H44" s="58">
        <v>323157.34</v>
      </c>
      <c r="I44" s="58"/>
      <c r="J44" s="58"/>
      <c r="K44" s="58"/>
      <c r="L44" s="40" t="s">
        <v>213</v>
      </c>
      <c r="M44" s="40">
        <v>100688399</v>
      </c>
    </row>
    <row r="45" spans="1:13" ht="16.5" thickBot="1">
      <c r="A45" s="37">
        <v>3515</v>
      </c>
      <c r="B45" s="37">
        <v>10106</v>
      </c>
      <c r="C45" s="47">
        <v>938420</v>
      </c>
      <c r="D45" s="40" t="s">
        <v>56</v>
      </c>
      <c r="E45" s="45">
        <f>VLOOKUP(C45,'[1]Mar10'!$C$3:$K$128,9,0)</f>
        <v>2166.5400000000186</v>
      </c>
      <c r="F45" s="58"/>
      <c r="G45" s="92"/>
      <c r="H45" s="58"/>
      <c r="I45" s="58"/>
      <c r="J45" s="58"/>
      <c r="K45" s="58"/>
      <c r="L45" s="40"/>
      <c r="M45" s="40"/>
    </row>
    <row r="46" spans="1:13" ht="16.5" thickBot="1">
      <c r="A46" s="37">
        <v>2036</v>
      </c>
      <c r="B46" s="37">
        <v>10074</v>
      </c>
      <c r="C46" s="47">
        <v>938160</v>
      </c>
      <c r="D46" s="40" t="s">
        <v>57</v>
      </c>
      <c r="E46" s="45">
        <f>VLOOKUP(C46,'[1]Mar10'!$C$3:$K$128,9,0)</f>
        <v>285433.56</v>
      </c>
      <c r="F46" s="58"/>
      <c r="G46" s="92"/>
      <c r="H46" s="58"/>
      <c r="I46" s="58"/>
      <c r="J46" s="58"/>
      <c r="K46" s="58"/>
      <c r="L46" s="40"/>
      <c r="M46" s="40"/>
    </row>
    <row r="47" spans="1:14" ht="16.5" thickBot="1">
      <c r="A47" s="37">
        <v>2037</v>
      </c>
      <c r="B47" s="37">
        <v>10075</v>
      </c>
      <c r="C47" s="47">
        <v>938165</v>
      </c>
      <c r="D47" s="40" t="s">
        <v>58</v>
      </c>
      <c r="E47" s="45">
        <f>VLOOKUP(C47,'[1]Mar10'!$C$3:$K$128,9,0)</f>
        <v>172813.38</v>
      </c>
      <c r="F47" s="58">
        <f>6652.38-2.07</f>
        <v>6650.31</v>
      </c>
      <c r="G47" s="92">
        <v>-39661.87</v>
      </c>
      <c r="H47" s="58">
        <v>219125.56</v>
      </c>
      <c r="I47" s="58"/>
      <c r="J47" s="58"/>
      <c r="K47" s="58"/>
      <c r="L47" s="40" t="s">
        <v>211</v>
      </c>
      <c r="M47" s="40">
        <v>100687436</v>
      </c>
      <c r="N47" s="58"/>
    </row>
    <row r="48" spans="1:13" ht="16.5" thickBot="1">
      <c r="A48" s="37">
        <v>3523</v>
      </c>
      <c r="B48" s="37">
        <v>11093</v>
      </c>
      <c r="C48" s="47">
        <v>938580</v>
      </c>
      <c r="D48" s="40" t="s">
        <v>177</v>
      </c>
      <c r="E48" s="45">
        <f>VLOOKUP(C48,'[1]Mar10'!$C$3:$K$128,9,0)</f>
        <v>336629.38</v>
      </c>
      <c r="M48" s="40"/>
    </row>
    <row r="49" spans="1:13" ht="16.5" thickBot="1">
      <c r="A49" s="37">
        <v>5948</v>
      </c>
      <c r="B49" s="37">
        <v>10125</v>
      </c>
      <c r="C49" s="47">
        <v>938550</v>
      </c>
      <c r="D49" s="40" t="s">
        <v>59</v>
      </c>
      <c r="E49" s="45">
        <f>VLOOKUP(C49,'[1]Mar10'!$C$3:$K$128,9,0)</f>
        <v>112685.07</v>
      </c>
      <c r="F49" s="137">
        <f>2183.34-3.93</f>
        <v>2179.4100000000003</v>
      </c>
      <c r="G49" s="135">
        <v>78295.28</v>
      </c>
      <c r="H49" s="132">
        <v>36569.19</v>
      </c>
      <c r="I49" s="58"/>
      <c r="J49" s="58"/>
      <c r="K49" s="58"/>
      <c r="L49" s="136" t="s">
        <v>239</v>
      </c>
      <c r="M49" s="136">
        <v>100702475</v>
      </c>
    </row>
    <row r="50" spans="1:13" ht="16.5" thickBot="1">
      <c r="A50" s="37">
        <v>5949</v>
      </c>
      <c r="B50" s="37">
        <v>10126</v>
      </c>
      <c r="C50" s="47">
        <v>938555</v>
      </c>
      <c r="D50" s="40" t="s">
        <v>61</v>
      </c>
      <c r="E50" s="45">
        <f>VLOOKUP(C50,'[1]Mar10'!$C$3:$K$128,9,0)</f>
        <v>10649.77</v>
      </c>
      <c r="F50" s="58">
        <v>1251.32</v>
      </c>
      <c r="G50" s="92">
        <v>-9528.5</v>
      </c>
      <c r="H50" s="58">
        <v>21429.59</v>
      </c>
      <c r="I50" s="58"/>
      <c r="J50" s="58"/>
      <c r="K50" s="58"/>
      <c r="L50" s="40" t="s">
        <v>211</v>
      </c>
      <c r="M50" s="40">
        <v>100687385</v>
      </c>
    </row>
    <row r="51" spans="1:13" ht="16.5" thickBot="1">
      <c r="A51" s="37">
        <v>3513</v>
      </c>
      <c r="B51" s="37">
        <v>10114</v>
      </c>
      <c r="C51" s="47">
        <v>938410</v>
      </c>
      <c r="D51" s="40" t="s">
        <v>60</v>
      </c>
      <c r="E51" s="45">
        <f>VLOOKUP(C51,'[1]Mar10'!$C$3:$K$128,9,0)</f>
        <v>105456.35</v>
      </c>
      <c r="F51" s="58">
        <v>1741.55</v>
      </c>
      <c r="G51" s="92">
        <v>-63796.02</v>
      </c>
      <c r="H51" s="58">
        <v>170993.92</v>
      </c>
      <c r="I51" s="58"/>
      <c r="J51" s="58"/>
      <c r="K51" s="58"/>
      <c r="L51" s="40" t="s">
        <v>217</v>
      </c>
      <c r="M51" s="40">
        <v>100688476</v>
      </c>
    </row>
    <row r="52" spans="1:13" ht="16.5" thickBot="1">
      <c r="A52" s="37">
        <v>3305</v>
      </c>
      <c r="B52" s="37">
        <v>10078</v>
      </c>
      <c r="C52" s="47">
        <v>938295</v>
      </c>
      <c r="D52" s="40" t="s">
        <v>62</v>
      </c>
      <c r="E52" s="45">
        <f>VLOOKUP(C52,'[1]Mar10'!$C$3:$K$128,9,0)</f>
        <v>50403.01</v>
      </c>
      <c r="F52" s="58"/>
      <c r="G52" s="92"/>
      <c r="H52" s="58"/>
      <c r="I52" s="58"/>
      <c r="J52" s="58"/>
      <c r="K52" s="58"/>
      <c r="L52" s="40"/>
      <c r="M52" s="40"/>
    </row>
    <row r="53" spans="1:13" ht="16.5" thickBot="1">
      <c r="A53" s="37">
        <v>2042</v>
      </c>
      <c r="B53" s="37">
        <v>10079</v>
      </c>
      <c r="C53" s="47">
        <v>938180</v>
      </c>
      <c r="D53" s="40" t="s">
        <v>63</v>
      </c>
      <c r="E53" s="45">
        <f>VLOOKUP(C53,'[1]Mar10'!$C$3:$K$128,9,0)</f>
        <v>119370.43</v>
      </c>
      <c r="F53" s="58"/>
      <c r="G53" s="92"/>
      <c r="H53" s="58"/>
      <c r="I53" s="58"/>
      <c r="J53" s="58"/>
      <c r="K53" s="58"/>
      <c r="L53" s="40"/>
      <c r="M53" s="40"/>
    </row>
    <row r="54" spans="1:13" ht="16.5" thickBot="1">
      <c r="A54" s="37">
        <v>2044</v>
      </c>
      <c r="B54" s="37">
        <v>10081</v>
      </c>
      <c r="C54" s="47">
        <v>938190</v>
      </c>
      <c r="D54" s="40" t="s">
        <v>65</v>
      </c>
      <c r="E54" s="45">
        <f>VLOOKUP(C54,'[1]Mar10'!$C$3:$K$128,9,0)</f>
        <v>130349.24</v>
      </c>
      <c r="F54" s="58"/>
      <c r="G54" s="92"/>
      <c r="H54" s="58"/>
      <c r="I54" s="58"/>
      <c r="J54" s="58"/>
      <c r="K54" s="58"/>
      <c r="L54" s="48"/>
      <c r="M54" s="48"/>
    </row>
    <row r="55" spans="1:13" ht="16.5" thickBot="1">
      <c r="A55" s="37">
        <v>2043</v>
      </c>
      <c r="B55" s="37">
        <v>10080</v>
      </c>
      <c r="C55" s="47">
        <v>938185</v>
      </c>
      <c r="D55" s="40" t="s">
        <v>64</v>
      </c>
      <c r="E55" s="45">
        <f>VLOOKUP(C55,'[1]Mar10'!$C$3:$K$128,9,0)</f>
        <v>163962.31</v>
      </c>
      <c r="F55" s="58"/>
      <c r="G55" s="92"/>
      <c r="H55" s="58"/>
      <c r="I55" s="58"/>
      <c r="J55" s="58"/>
      <c r="K55" s="58"/>
      <c r="L55" s="40"/>
      <c r="M55" s="40"/>
    </row>
    <row r="56" spans="1:13" ht="16.5" thickBot="1">
      <c r="A56" s="37">
        <v>2045</v>
      </c>
      <c r="B56" s="37">
        <v>10082</v>
      </c>
      <c r="C56" s="47">
        <v>938195</v>
      </c>
      <c r="D56" s="40" t="s">
        <v>66</v>
      </c>
      <c r="E56" s="45">
        <f>VLOOKUP(C56,'[1]Mar10'!$C$3:$K$128,9,0)</f>
        <v>225450.97</v>
      </c>
      <c r="F56" s="58"/>
      <c r="G56" s="92"/>
      <c r="H56" s="58"/>
      <c r="I56" s="58"/>
      <c r="J56" s="58"/>
      <c r="K56" s="58"/>
      <c r="L56" s="40"/>
      <c r="M56" s="40"/>
    </row>
    <row r="57" spans="1:13" ht="16.5" thickBot="1">
      <c r="A57" s="37">
        <v>2077</v>
      </c>
      <c r="B57" s="37">
        <v>10127</v>
      </c>
      <c r="C57" s="47">
        <v>938270</v>
      </c>
      <c r="D57" s="40" t="s">
        <v>49</v>
      </c>
      <c r="E57" s="45">
        <f>VLOOKUP(C57,'[1]Mar10'!$C$3:$K$128,9,0)</f>
        <v>135671.84</v>
      </c>
      <c r="F57" s="58"/>
      <c r="G57" s="92"/>
      <c r="H57" s="58"/>
      <c r="I57" s="58"/>
      <c r="J57" s="58"/>
      <c r="K57" s="58"/>
      <c r="L57" s="40"/>
      <c r="M57" s="40"/>
    </row>
    <row r="58" spans="1:13" ht="16.5" thickBot="1">
      <c r="A58" s="37">
        <v>5201</v>
      </c>
      <c r="B58" s="37">
        <v>10084</v>
      </c>
      <c r="C58" s="47">
        <v>938495</v>
      </c>
      <c r="D58" s="40" t="s">
        <v>68</v>
      </c>
      <c r="E58" s="45">
        <f>VLOOKUP(C58,'[1]Mar10'!$C$3:$K$128,9,0)</f>
        <v>127375.02</v>
      </c>
      <c r="F58" s="58">
        <f>4603.17-52.28</f>
        <v>4550.89</v>
      </c>
      <c r="G58" s="92">
        <v>-147055.92</v>
      </c>
      <c r="H58" s="58">
        <v>278981.83</v>
      </c>
      <c r="I58" s="58"/>
      <c r="J58" s="58"/>
      <c r="K58" s="58"/>
      <c r="L58" s="40" t="s">
        <v>211</v>
      </c>
      <c r="M58" s="40">
        <v>100688407</v>
      </c>
    </row>
    <row r="59" spans="1:13" ht="16.5" thickBot="1">
      <c r="A59" s="37">
        <v>3501</v>
      </c>
      <c r="B59" s="37">
        <v>10085</v>
      </c>
      <c r="C59" s="47">
        <v>938360</v>
      </c>
      <c r="D59" s="40" t="s">
        <v>67</v>
      </c>
      <c r="E59" s="45">
        <f>VLOOKUP(C59,'[1]Mar10'!$C$3:$K$128,9,0)</f>
        <v>91477.51</v>
      </c>
      <c r="F59" s="58">
        <f>1006.38-8.24</f>
        <v>998.14</v>
      </c>
      <c r="G59" s="92">
        <v>-69958.62</v>
      </c>
      <c r="H59" s="58">
        <v>162434.27</v>
      </c>
      <c r="I59" s="58"/>
      <c r="J59" s="58"/>
      <c r="K59" s="58"/>
      <c r="L59" s="40" t="s">
        <v>211</v>
      </c>
      <c r="M59" s="40">
        <v>100687434</v>
      </c>
    </row>
    <row r="60" spans="1:13" ht="16.5" thickBot="1">
      <c r="A60" s="37">
        <v>2078</v>
      </c>
      <c r="B60" s="37">
        <v>10129</v>
      </c>
      <c r="C60" s="47">
        <v>938275</v>
      </c>
      <c r="D60" s="40" t="s">
        <v>123</v>
      </c>
      <c r="E60" s="45">
        <f>VLOOKUP(C60,'[1]Mar10'!$C$3:$K$128,9,0)</f>
        <v>27125.06</v>
      </c>
      <c r="F60" s="58"/>
      <c r="G60" s="92"/>
      <c r="H60" s="58"/>
      <c r="I60" s="58"/>
      <c r="J60" s="58"/>
      <c r="K60" s="58"/>
      <c r="L60" s="40"/>
      <c r="M60" s="40"/>
    </row>
    <row r="61" spans="1:13" ht="16.5" thickBot="1">
      <c r="A61" s="37">
        <v>2000</v>
      </c>
      <c r="B61" s="37">
        <v>10120</v>
      </c>
      <c r="C61" s="47">
        <v>938020</v>
      </c>
      <c r="D61" s="40" t="s">
        <v>69</v>
      </c>
      <c r="E61" s="45">
        <f>VLOOKUP(C61,'[1]Mar10'!$C$3:$K$128,9,0)</f>
        <v>47776.200000000055</v>
      </c>
      <c r="F61" s="58"/>
      <c r="G61" s="92"/>
      <c r="H61" s="58"/>
      <c r="I61" s="58"/>
      <c r="J61" s="58"/>
      <c r="K61" s="58"/>
      <c r="L61" s="40"/>
      <c r="M61" s="40"/>
    </row>
    <row r="62" spans="1:13" ht="16.5" thickBot="1">
      <c r="A62" s="37">
        <v>2071</v>
      </c>
      <c r="B62" s="37">
        <v>10119</v>
      </c>
      <c r="C62" s="47">
        <v>938245</v>
      </c>
      <c r="D62" s="40" t="s">
        <v>71</v>
      </c>
      <c r="E62" s="45">
        <f>VLOOKUP(C62,'[1]Mar10'!$C$3:$K$128,9,0)</f>
        <v>114866.99</v>
      </c>
      <c r="F62" s="58"/>
      <c r="G62" s="92"/>
      <c r="H62" s="58"/>
      <c r="I62" s="58"/>
      <c r="J62" s="58"/>
      <c r="K62" s="58"/>
      <c r="L62" s="40"/>
      <c r="M62" s="40"/>
    </row>
    <row r="63" spans="1:13" ht="16.5" thickBot="1">
      <c r="A63" s="37">
        <v>2072</v>
      </c>
      <c r="B63" s="37">
        <v>10086</v>
      </c>
      <c r="C63" s="47">
        <v>938250</v>
      </c>
      <c r="D63" s="40" t="s">
        <v>70</v>
      </c>
      <c r="E63" s="45">
        <f>VLOOKUP(C63,'[1]Mar10'!$C$3:$K$128,9,0)</f>
        <v>137171.91</v>
      </c>
      <c r="F63" s="58"/>
      <c r="G63" s="92"/>
      <c r="H63" s="58"/>
      <c r="I63" s="58"/>
      <c r="J63" s="58"/>
      <c r="K63" s="58"/>
      <c r="L63" s="40"/>
      <c r="M63" s="40"/>
    </row>
    <row r="64" spans="1:13" ht="16.5" thickBot="1">
      <c r="A64" s="37">
        <v>3512</v>
      </c>
      <c r="B64" s="37">
        <v>10112</v>
      </c>
      <c r="C64" s="47">
        <v>938405</v>
      </c>
      <c r="D64" s="40" t="s">
        <v>72</v>
      </c>
      <c r="E64" s="45">
        <f>VLOOKUP(C64,'[1]Mar10'!$C$3:$K$128,9,0)</f>
        <v>241915.64</v>
      </c>
      <c r="F64" s="58"/>
      <c r="G64" s="92"/>
      <c r="H64" s="58"/>
      <c r="I64" s="58"/>
      <c r="J64" s="58"/>
      <c r="K64" s="58"/>
      <c r="L64" s="40"/>
      <c r="M64" s="40"/>
    </row>
    <row r="65" spans="1:13" ht="16.5" thickBot="1">
      <c r="A65" s="37">
        <v>3510</v>
      </c>
      <c r="B65" s="37">
        <v>10110</v>
      </c>
      <c r="C65" s="47">
        <v>938395</v>
      </c>
      <c r="D65" s="40" t="s">
        <v>73</v>
      </c>
      <c r="E65" s="45">
        <f>VLOOKUP(C65,'[1]Mar10'!$C$3:$K$128,9,0)</f>
        <v>117699.24</v>
      </c>
      <c r="F65" s="58"/>
      <c r="G65" s="92"/>
      <c r="H65" s="58"/>
      <c r="I65" s="58"/>
      <c r="J65" s="58"/>
      <c r="K65" s="58"/>
      <c r="L65" s="40"/>
      <c r="M65" s="40"/>
    </row>
    <row r="66" spans="1:13" ht="16.5" thickBot="1">
      <c r="A66" s="37">
        <v>3502</v>
      </c>
      <c r="B66" s="37">
        <v>10087</v>
      </c>
      <c r="C66" s="47">
        <v>938365</v>
      </c>
      <c r="D66" s="40" t="s">
        <v>74</v>
      </c>
      <c r="E66" s="45">
        <f>VLOOKUP(C66,'[1]Mar10'!$C$3:$K$128,9,0)</f>
        <v>112422.51</v>
      </c>
      <c r="F66" s="58"/>
      <c r="G66" s="92"/>
      <c r="H66" s="58"/>
      <c r="I66" s="58"/>
      <c r="J66" s="58"/>
      <c r="K66" s="58"/>
      <c r="L66" s="40"/>
      <c r="M66" s="40"/>
    </row>
    <row r="67" spans="1:13" ht="16.5" thickBot="1">
      <c r="A67" s="37">
        <v>3315</v>
      </c>
      <c r="B67" s="37">
        <v>10099</v>
      </c>
      <c r="C67" s="47">
        <v>938340</v>
      </c>
      <c r="D67" s="40" t="s">
        <v>75</v>
      </c>
      <c r="E67" s="45">
        <f>VLOOKUP(C67,'[1]Mar10'!$C$3:$K$128,9,0)</f>
        <v>7278.110000000042</v>
      </c>
      <c r="F67" s="58"/>
      <c r="G67" s="92"/>
      <c r="H67" s="58"/>
      <c r="I67" s="58"/>
      <c r="J67" s="58"/>
      <c r="K67" s="58"/>
      <c r="L67" s="40"/>
      <c r="M67" s="40"/>
    </row>
    <row r="68" spans="1:13" ht="16.5" thickBot="1">
      <c r="A68" s="37">
        <v>3504</v>
      </c>
      <c r="B68" s="37">
        <v>10088</v>
      </c>
      <c r="C68" s="47">
        <v>938370</v>
      </c>
      <c r="D68" s="40" t="s">
        <v>76</v>
      </c>
      <c r="E68" s="45">
        <f>VLOOKUP(C68,'[1]Mar10'!$C$3:$K$128,9,0)</f>
        <v>151265.11</v>
      </c>
      <c r="F68" s="58"/>
      <c r="G68" s="92"/>
      <c r="H68" s="58"/>
      <c r="I68" s="58"/>
      <c r="J68" s="58"/>
      <c r="K68" s="58"/>
      <c r="L68" s="40"/>
      <c r="M68" s="40"/>
    </row>
    <row r="69" spans="1:13" ht="16.5" thickBot="1">
      <c r="A69" s="37">
        <v>3307</v>
      </c>
      <c r="B69" s="37">
        <v>10089</v>
      </c>
      <c r="C69" s="47">
        <v>938300</v>
      </c>
      <c r="D69" s="40" t="s">
        <v>77</v>
      </c>
      <c r="E69" s="45">
        <f>VLOOKUP(C69,'[1]Mar10'!$C$3:$K$128,9,0)</f>
        <v>97278.12</v>
      </c>
      <c r="F69" s="58"/>
      <c r="G69" s="92"/>
      <c r="H69" s="58"/>
      <c r="I69" s="58"/>
      <c r="J69" s="58"/>
      <c r="K69" s="58"/>
      <c r="L69" s="40"/>
      <c r="M69" s="40"/>
    </row>
    <row r="70" spans="1:13" ht="16.5" thickBot="1">
      <c r="A70" s="37">
        <v>3309</v>
      </c>
      <c r="B70" s="37">
        <v>10116</v>
      </c>
      <c r="C70" s="47">
        <v>938310</v>
      </c>
      <c r="D70" s="40" t="s">
        <v>78</v>
      </c>
      <c r="E70" s="45">
        <f>VLOOKUP(C70,'[1]Mar10'!$C$3:$K$128,9,0)</f>
        <v>148724.47</v>
      </c>
      <c r="F70" s="58"/>
      <c r="G70" s="92"/>
      <c r="H70" s="58"/>
      <c r="I70" s="58"/>
      <c r="J70" s="58"/>
      <c r="K70" s="58"/>
      <c r="L70" s="40"/>
      <c r="M70" s="40"/>
    </row>
    <row r="71" spans="1:13" ht="16.5" thickBot="1">
      <c r="A71" s="37">
        <v>3508</v>
      </c>
      <c r="B71" s="37">
        <v>10111</v>
      </c>
      <c r="C71" s="47">
        <v>938385</v>
      </c>
      <c r="D71" s="40" t="s">
        <v>80</v>
      </c>
      <c r="E71" s="45">
        <f>VLOOKUP(C71,'[1]Mar10'!$C$3:$K$128,9,0)</f>
        <v>16419.67</v>
      </c>
      <c r="F71" s="58"/>
      <c r="G71" s="92"/>
      <c r="H71" s="58"/>
      <c r="I71" s="58"/>
      <c r="J71" s="58"/>
      <c r="K71" s="58"/>
      <c r="L71" s="40"/>
      <c r="M71" s="40"/>
    </row>
    <row r="72" spans="1:13" ht="16.5" thickBot="1">
      <c r="A72" s="37">
        <v>3509</v>
      </c>
      <c r="B72" s="37">
        <v>10107</v>
      </c>
      <c r="C72" s="47">
        <v>938390</v>
      </c>
      <c r="D72" s="40" t="s">
        <v>79</v>
      </c>
      <c r="E72" s="45">
        <f>VLOOKUP(C72,'[1]Mar10'!$C$3:$K$128,9,0)</f>
        <v>118972.67</v>
      </c>
      <c r="F72" s="58"/>
      <c r="G72" s="92"/>
      <c r="H72" s="58"/>
      <c r="I72" s="58"/>
      <c r="J72" s="58"/>
      <c r="K72" s="58"/>
      <c r="L72" s="40"/>
      <c r="M72" s="40"/>
    </row>
    <row r="73" spans="1:13" ht="16.5" thickBot="1">
      <c r="A73" s="37">
        <v>3312</v>
      </c>
      <c r="B73" s="37">
        <v>10093</v>
      </c>
      <c r="C73" s="47">
        <v>938325</v>
      </c>
      <c r="D73" s="40" t="s">
        <v>82</v>
      </c>
      <c r="E73" s="45">
        <f>VLOOKUP(C73,'[1]Mar10'!$C$3:$K$128,9,0)</f>
        <v>132735.08</v>
      </c>
      <c r="F73" s="58"/>
      <c r="G73" s="92"/>
      <c r="H73" s="58"/>
      <c r="I73" s="58"/>
      <c r="J73" s="58"/>
      <c r="K73" s="58"/>
      <c r="L73" s="40"/>
      <c r="M73" s="40"/>
    </row>
    <row r="74" spans="1:13" ht="16.5" thickBot="1">
      <c r="A74" s="37">
        <v>3311</v>
      </c>
      <c r="B74" s="37">
        <v>10092</v>
      </c>
      <c r="C74" s="47">
        <v>938320</v>
      </c>
      <c r="D74" s="40" t="s">
        <v>81</v>
      </c>
      <c r="E74" s="45">
        <f>VLOOKUP(C74,'[1]Mar10'!$C$3:$K$128,9,0)</f>
        <v>119660.58</v>
      </c>
      <c r="F74" s="58"/>
      <c r="G74" s="92"/>
      <c r="H74" s="58"/>
      <c r="I74" s="58"/>
      <c r="J74" s="58"/>
      <c r="K74" s="58"/>
      <c r="L74" s="40"/>
      <c r="M74" s="40"/>
    </row>
    <row r="75" spans="1:13" ht="16.5" thickBot="1">
      <c r="A75" s="37">
        <v>3521</v>
      </c>
      <c r="B75" s="37">
        <v>10698</v>
      </c>
      <c r="C75" s="47">
        <v>938437</v>
      </c>
      <c r="D75" s="40" t="s">
        <v>136</v>
      </c>
      <c r="E75" s="45">
        <f>VLOOKUP(C75,'[1]Mar10'!$C$3:$K$128,9,0)</f>
        <v>116825.54</v>
      </c>
      <c r="F75" s="58"/>
      <c r="G75" s="92"/>
      <c r="H75" s="58"/>
      <c r="I75" s="58"/>
      <c r="J75" s="58"/>
      <c r="K75" s="58"/>
      <c r="L75" s="40"/>
      <c r="M75" s="40"/>
    </row>
    <row r="76" spans="1:13" ht="16.5" thickBot="1">
      <c r="A76" s="37">
        <v>3313</v>
      </c>
      <c r="B76" s="37">
        <v>10094</v>
      </c>
      <c r="C76" s="47">
        <v>938330</v>
      </c>
      <c r="D76" s="40" t="s">
        <v>83</v>
      </c>
      <c r="E76" s="45">
        <f>VLOOKUP(C76,'[1]Mar10'!$C$3:$K$128,9,0)</f>
        <v>83075.51</v>
      </c>
      <c r="F76" s="58"/>
      <c r="G76" s="92"/>
      <c r="H76" s="58"/>
      <c r="I76" s="58"/>
      <c r="J76" s="58"/>
      <c r="K76" s="58"/>
      <c r="L76" s="40"/>
      <c r="M76" s="40"/>
    </row>
    <row r="77" spans="1:13" ht="16.5" thickBot="1">
      <c r="A77" s="37">
        <v>3314</v>
      </c>
      <c r="B77" s="37">
        <v>10095</v>
      </c>
      <c r="C77" s="47">
        <v>938335</v>
      </c>
      <c r="D77" s="40" t="s">
        <v>84</v>
      </c>
      <c r="E77" s="45">
        <f>VLOOKUP(C77,'[1]Mar10'!$C$3:$K$128,9,0)</f>
        <v>81337.33999999994</v>
      </c>
      <c r="F77" s="58"/>
      <c r="G77" s="92"/>
      <c r="H77" s="41"/>
      <c r="I77" s="58"/>
      <c r="J77" s="58"/>
      <c r="K77" s="58"/>
      <c r="L77" s="48"/>
      <c r="M77" s="40"/>
    </row>
    <row r="78" spans="1:13" ht="16.5" thickBot="1">
      <c r="A78" s="37">
        <v>3507</v>
      </c>
      <c r="B78" s="37">
        <v>10108</v>
      </c>
      <c r="C78" s="47">
        <v>938380</v>
      </c>
      <c r="D78" s="40" t="s">
        <v>85</v>
      </c>
      <c r="E78" s="45">
        <f>VLOOKUP(C78,'[1]Mar10'!$C$3:$K$128,9,0)</f>
        <v>67113.07000000008</v>
      </c>
      <c r="F78" s="58"/>
      <c r="G78" s="92"/>
      <c r="H78" s="58"/>
      <c r="I78" s="58"/>
      <c r="J78" s="58"/>
      <c r="K78" s="58"/>
      <c r="L78" s="40"/>
      <c r="M78" s="40"/>
    </row>
    <row r="79" spans="1:13" ht="16.5" thickBot="1">
      <c r="A79" s="37">
        <v>3506</v>
      </c>
      <c r="B79" s="37">
        <v>10096</v>
      </c>
      <c r="C79" s="47">
        <v>938375</v>
      </c>
      <c r="D79" s="40" t="s">
        <v>86</v>
      </c>
      <c r="E79" s="45">
        <f>VLOOKUP(C79,'[1]Mar10'!$C$3:$K$128,9,0)</f>
        <v>97920.07000000008</v>
      </c>
      <c r="F79" s="58">
        <f>4028.16-1.64</f>
        <v>4026.52</v>
      </c>
      <c r="G79" s="92">
        <v>-80256.13</v>
      </c>
      <c r="H79" s="58">
        <v>182202.72</v>
      </c>
      <c r="I79" s="58"/>
      <c r="J79" s="58"/>
      <c r="K79" s="58"/>
      <c r="L79" s="40" t="s">
        <v>211</v>
      </c>
      <c r="M79" s="40">
        <v>100687428</v>
      </c>
    </row>
    <row r="80" spans="1:13" ht="16.5" thickBot="1">
      <c r="A80" s="37">
        <v>2052</v>
      </c>
      <c r="B80" s="37">
        <v>10098</v>
      </c>
      <c r="C80" s="47">
        <v>938200</v>
      </c>
      <c r="D80" s="40" t="s">
        <v>87</v>
      </c>
      <c r="E80" s="45">
        <f>VLOOKUP(C80,'[1]Mar10'!$C$3:$K$128,9,0)</f>
        <v>385304.02</v>
      </c>
      <c r="F80" s="58"/>
      <c r="G80" s="92"/>
      <c r="H80" s="58"/>
      <c r="I80" s="58"/>
      <c r="J80" s="58"/>
      <c r="K80" s="58"/>
      <c r="L80" s="40"/>
      <c r="M80" s="40"/>
    </row>
    <row r="81" spans="1:13" ht="16.5" thickBot="1">
      <c r="A81" s="37">
        <v>2070</v>
      </c>
      <c r="B81" s="37">
        <v>10097</v>
      </c>
      <c r="C81" s="47">
        <v>938240</v>
      </c>
      <c r="D81" s="40" t="s">
        <v>88</v>
      </c>
      <c r="E81" s="45">
        <f>VLOOKUP(C81,'[1]Mar10'!$C$3:$K$128,9,0)</f>
        <v>127793.31</v>
      </c>
      <c r="F81" s="58"/>
      <c r="G81" s="92"/>
      <c r="H81" s="58"/>
      <c r="I81" s="58"/>
      <c r="J81" s="58"/>
      <c r="K81" s="58"/>
      <c r="L81" s="40"/>
      <c r="M81" s="40"/>
    </row>
    <row r="82" spans="1:13" ht="16.5" thickBot="1">
      <c r="A82" s="37">
        <v>3316</v>
      </c>
      <c r="B82" s="37">
        <v>10100</v>
      </c>
      <c r="C82" s="47">
        <v>938345</v>
      </c>
      <c r="D82" s="40" t="s">
        <v>89</v>
      </c>
      <c r="E82" s="45">
        <f>VLOOKUP(C82,'[1]Mar10'!$C$3:$K$128,9,0)</f>
        <v>47060.68999999993</v>
      </c>
      <c r="F82" s="58"/>
      <c r="G82" s="92"/>
      <c r="H82" s="58"/>
      <c r="I82" s="58"/>
      <c r="J82" s="58"/>
      <c r="K82" s="58"/>
      <c r="L82" s="61"/>
      <c r="M82" s="40"/>
    </row>
    <row r="83" spans="1:13" ht="16.5" thickBot="1">
      <c r="A83" s="37">
        <v>2055</v>
      </c>
      <c r="B83" s="37">
        <v>10101</v>
      </c>
      <c r="C83" s="47">
        <v>938210</v>
      </c>
      <c r="D83" s="40" t="s">
        <v>90</v>
      </c>
      <c r="E83" s="45">
        <f>VLOOKUP(C83,'[1]Mar10'!$C$3:$K$128,9,0)</f>
        <v>60576.11</v>
      </c>
      <c r="F83" s="58">
        <f>3900.98-6.35</f>
        <v>3894.63</v>
      </c>
      <c r="G83" s="92">
        <v>-72152.56</v>
      </c>
      <c r="H83" s="58">
        <v>136623.3</v>
      </c>
      <c r="I83" s="58"/>
      <c r="J83" s="58"/>
      <c r="K83" s="58"/>
      <c r="L83" s="40" t="s">
        <v>215</v>
      </c>
      <c r="M83" s="40">
        <v>100688460</v>
      </c>
    </row>
    <row r="84" spans="1:13" ht="16.5" thickBot="1">
      <c r="A84" s="37">
        <v>2057</v>
      </c>
      <c r="B84" s="37">
        <v>10103</v>
      </c>
      <c r="C84" s="47">
        <v>938220</v>
      </c>
      <c r="D84" s="40" t="s">
        <v>92</v>
      </c>
      <c r="E84" s="45">
        <f>VLOOKUP(C84,'[1]Mar10'!$C$3:$K$128,9,0)</f>
        <v>47164.1399999998</v>
      </c>
      <c r="F84" s="58"/>
      <c r="G84" s="92"/>
      <c r="H84" s="58"/>
      <c r="I84" s="58"/>
      <c r="J84" s="58"/>
      <c r="K84" s="58"/>
      <c r="L84" s="40"/>
      <c r="M84" s="40"/>
    </row>
    <row r="85" spans="1:13" ht="16.5" thickBot="1">
      <c r="A85" s="37">
        <v>2056</v>
      </c>
      <c r="B85" s="37">
        <v>10102</v>
      </c>
      <c r="C85" s="47">
        <v>938215</v>
      </c>
      <c r="D85" s="40" t="s">
        <v>91</v>
      </c>
      <c r="E85" s="45">
        <f>VLOOKUP(C85,'[1]Mar10'!$C$3:$K$128,9,0)</f>
        <v>189450.3</v>
      </c>
      <c r="F85" s="58"/>
      <c r="G85" s="92"/>
      <c r="H85" s="58"/>
      <c r="I85" s="58"/>
      <c r="J85" s="58"/>
      <c r="K85" s="58"/>
      <c r="L85" s="40"/>
      <c r="M85" s="40"/>
    </row>
    <row r="86" spans="1:13" ht="16.5" thickBot="1">
      <c r="A86" s="37">
        <v>2076</v>
      </c>
      <c r="B86" s="37">
        <v>10124</v>
      </c>
      <c r="C86" s="47">
        <v>938265</v>
      </c>
      <c r="D86" s="40" t="s">
        <v>93</v>
      </c>
      <c r="E86" s="45">
        <f>VLOOKUP(C86,'[1]Mar10'!$C$3:$K$128,9,0)</f>
        <v>230567.94</v>
      </c>
      <c r="F86" s="58"/>
      <c r="G86" s="92"/>
      <c r="H86" s="58"/>
      <c r="I86" s="58"/>
      <c r="J86" s="58"/>
      <c r="K86" s="58"/>
      <c r="L86" s="40"/>
      <c r="M86" s="40"/>
    </row>
    <row r="87" spans="1:13" ht="16.5" thickBot="1">
      <c r="A87" s="37">
        <v>2060</v>
      </c>
      <c r="B87" s="37">
        <v>10105</v>
      </c>
      <c r="C87" s="47">
        <v>938225</v>
      </c>
      <c r="D87" s="40" t="s">
        <v>94</v>
      </c>
      <c r="E87" s="45">
        <f>VLOOKUP(C87,'[1]Mar10'!$C$3:$K$128,9,0)</f>
        <v>326484.07</v>
      </c>
      <c r="F87" s="58"/>
      <c r="G87" s="92"/>
      <c r="H87" s="58"/>
      <c r="I87" s="58"/>
      <c r="J87" s="58"/>
      <c r="K87" s="58"/>
      <c r="L87" s="40"/>
      <c r="M87" s="40"/>
    </row>
    <row r="88" spans="1:13" ht="16.5" thickBot="1">
      <c r="A88" s="37">
        <v>3518</v>
      </c>
      <c r="B88" s="37">
        <v>10123</v>
      </c>
      <c r="C88" s="47">
        <v>938430</v>
      </c>
      <c r="D88" s="40" t="s">
        <v>131</v>
      </c>
      <c r="E88" s="45">
        <f>VLOOKUP(C88,'[1]Mar10'!$C$3:$K$128,9,0)</f>
        <v>220755.19</v>
      </c>
      <c r="F88" s="58"/>
      <c r="G88" s="92"/>
      <c r="H88" s="58"/>
      <c r="I88" s="58"/>
      <c r="J88" s="58"/>
      <c r="K88" s="58"/>
      <c r="L88" s="40"/>
      <c r="M88" s="40"/>
    </row>
    <row r="89" spans="1:14" ht="16.5" thickBot="1">
      <c r="A89" s="37">
        <v>2054</v>
      </c>
      <c r="B89" s="37">
        <v>10109</v>
      </c>
      <c r="C89" s="47">
        <v>938205</v>
      </c>
      <c r="D89" s="40" t="s">
        <v>95</v>
      </c>
      <c r="E89" s="45">
        <f>VLOOKUP(C89,'[1]Mar10'!$C$3:$K$128,9,0)</f>
        <v>155771.47</v>
      </c>
      <c r="F89" s="58"/>
      <c r="G89" s="92"/>
      <c r="H89" s="58"/>
      <c r="I89" s="58"/>
      <c r="J89" s="58"/>
      <c r="K89" s="58"/>
      <c r="L89" s="40"/>
      <c r="M89" s="40"/>
      <c r="N89" s="41"/>
    </row>
    <row r="90" spans="1:13" ht="16.5" thickBot="1">
      <c r="A90" s="37">
        <v>5406</v>
      </c>
      <c r="B90" s="37">
        <v>10136</v>
      </c>
      <c r="C90" s="47">
        <v>938530</v>
      </c>
      <c r="D90" s="40" t="s">
        <v>96</v>
      </c>
      <c r="E90" s="45">
        <f>VLOOKUP(C90,'[1]Mar10'!$C$3:$K$128,9,0)</f>
        <v>103022.78</v>
      </c>
      <c r="F90" s="58"/>
      <c r="G90" s="92"/>
      <c r="H90" s="58"/>
      <c r="I90" s="58"/>
      <c r="J90" s="58"/>
      <c r="K90" s="58"/>
      <c r="L90" s="40"/>
      <c r="M90" s="40"/>
    </row>
    <row r="91" spans="1:13" ht="16.5" thickBot="1">
      <c r="A91" s="37">
        <v>5408</v>
      </c>
      <c r="B91" s="37">
        <v>10137</v>
      </c>
      <c r="C91" s="47">
        <v>938540</v>
      </c>
      <c r="D91" s="40" t="s">
        <v>97</v>
      </c>
      <c r="E91" s="45">
        <f>VLOOKUP(C91,'[1]Mar10'!$C$3:$K$128,9,0)</f>
        <v>633648.68</v>
      </c>
      <c r="F91" s="58"/>
      <c r="G91" s="92"/>
      <c r="H91" s="58"/>
      <c r="I91" s="58"/>
      <c r="J91" s="58"/>
      <c r="K91" s="58"/>
      <c r="L91" s="40"/>
      <c r="M91" s="40"/>
    </row>
    <row r="92" spans="1:13" ht="16.5" thickBot="1">
      <c r="A92" s="37">
        <v>4211</v>
      </c>
      <c r="B92" s="37">
        <v>10151</v>
      </c>
      <c r="C92" s="47">
        <v>938465</v>
      </c>
      <c r="D92" s="40" t="s">
        <v>98</v>
      </c>
      <c r="E92" s="45">
        <f>VLOOKUP(C92,'[1]Mar10'!$C$3:$K$128,9,0)</f>
        <v>491256.21</v>
      </c>
      <c r="F92" s="58">
        <v>11000.05</v>
      </c>
      <c r="G92" s="92">
        <v>-363373.46</v>
      </c>
      <c r="H92" s="58">
        <v>865629.72</v>
      </c>
      <c r="I92" s="58"/>
      <c r="J92" s="58"/>
      <c r="K92" s="58"/>
      <c r="L92" s="40" t="s">
        <v>211</v>
      </c>
      <c r="M92" s="40">
        <v>100687363</v>
      </c>
    </row>
    <row r="93" spans="1:13" ht="16.5" thickBot="1">
      <c r="A93" s="37">
        <v>4215</v>
      </c>
      <c r="B93" s="37">
        <v>10138</v>
      </c>
      <c r="C93" s="47">
        <v>938475</v>
      </c>
      <c r="D93" s="40" t="s">
        <v>99</v>
      </c>
      <c r="E93" s="45">
        <f>VLOOKUP(C93,'[1]Mar10'!$C$3:$K$128,9,0)</f>
        <v>948021.44</v>
      </c>
      <c r="F93" s="58"/>
      <c r="G93" s="92"/>
      <c r="H93" s="58"/>
      <c r="I93" s="58"/>
      <c r="J93" s="58"/>
      <c r="K93" s="58"/>
      <c r="L93" s="40"/>
      <c r="M93" s="40"/>
    </row>
    <row r="94" spans="1:13" ht="16.5" thickBot="1">
      <c r="A94" s="37">
        <v>4210</v>
      </c>
      <c r="B94" s="37">
        <v>10152</v>
      </c>
      <c r="C94" s="47">
        <v>938460</v>
      </c>
      <c r="D94" s="40" t="s">
        <v>100</v>
      </c>
      <c r="E94" s="45">
        <f>VLOOKUP(C94,'[1]Mar10'!$C$3:$K$128,9,0)</f>
        <v>720342.7899999991</v>
      </c>
      <c r="F94" s="58"/>
      <c r="G94" s="92"/>
      <c r="H94" s="58"/>
      <c r="I94" s="58"/>
      <c r="J94" s="58"/>
      <c r="K94" s="58"/>
      <c r="L94" s="40"/>
      <c r="M94" s="40"/>
    </row>
    <row r="95" spans="1:13" ht="16.5" thickBot="1">
      <c r="A95" s="37">
        <v>4212</v>
      </c>
      <c r="B95" s="37">
        <v>10153</v>
      </c>
      <c r="C95" s="47">
        <v>938470</v>
      </c>
      <c r="D95" s="40" t="s">
        <v>101</v>
      </c>
      <c r="E95" s="45">
        <f>VLOOKUP(C95,'[1]Mar10'!$C$3:$K$128,9,0)</f>
        <v>605949.5900000005</v>
      </c>
      <c r="F95" s="58">
        <f>9122.17-78.78</f>
        <v>9043.39</v>
      </c>
      <c r="G95" s="92">
        <v>-87520.17</v>
      </c>
      <c r="H95" s="58">
        <v>702513.15</v>
      </c>
      <c r="I95" s="58"/>
      <c r="J95" s="58"/>
      <c r="K95" s="58"/>
      <c r="L95" s="40" t="s">
        <v>219</v>
      </c>
      <c r="M95" s="40">
        <v>100689962</v>
      </c>
    </row>
    <row r="96" spans="1:13" ht="16.5" thickBot="1">
      <c r="A96" s="37">
        <v>5405</v>
      </c>
      <c r="B96" s="37">
        <v>10145</v>
      </c>
      <c r="C96" s="47">
        <v>938525</v>
      </c>
      <c r="D96" s="40" t="s">
        <v>102</v>
      </c>
      <c r="E96" s="45">
        <f>VLOOKUP(C96,'[1]Mar10'!$C$3:$K$128,9,0)</f>
        <v>281361.12</v>
      </c>
      <c r="F96" s="58"/>
      <c r="G96" s="92"/>
      <c r="H96" s="58"/>
      <c r="I96" s="58"/>
      <c r="J96" s="58"/>
      <c r="K96" s="58"/>
      <c r="L96" s="40"/>
      <c r="M96" s="40"/>
    </row>
    <row r="97" spans="1:13" ht="16.5" thickBot="1">
      <c r="A97" s="37">
        <v>4003</v>
      </c>
      <c r="B97" s="37">
        <v>10139</v>
      </c>
      <c r="C97" s="47">
        <v>938440</v>
      </c>
      <c r="D97" s="40" t="s">
        <v>103</v>
      </c>
      <c r="E97" s="45">
        <f>VLOOKUP(C97,'[1]Mar10'!$C$3:$K$128,9,0)</f>
        <v>27338.170000000075</v>
      </c>
      <c r="F97" s="58">
        <f>2658.07-85.13</f>
        <v>2572.94</v>
      </c>
      <c r="G97" s="92">
        <v>-170716.26</v>
      </c>
      <c r="H97" s="58">
        <v>200627.37</v>
      </c>
      <c r="I97" s="58"/>
      <c r="J97" s="58"/>
      <c r="K97" s="58"/>
      <c r="L97" s="40" t="s">
        <v>213</v>
      </c>
      <c r="M97" s="40">
        <v>100687441</v>
      </c>
    </row>
    <row r="98" spans="1:13" ht="16.5" thickBot="1">
      <c r="A98" s="37">
        <v>5409</v>
      </c>
      <c r="B98" s="37">
        <v>10146</v>
      </c>
      <c r="C98" s="47">
        <v>938545</v>
      </c>
      <c r="D98" s="40" t="s">
        <v>104</v>
      </c>
      <c r="E98" s="45">
        <f>VLOOKUP(C98,'[1]Mar10'!$C$3:$K$128,9,0)</f>
        <v>252383.8</v>
      </c>
      <c r="F98" s="58"/>
      <c r="G98" s="92"/>
      <c r="H98" s="58"/>
      <c r="I98" s="58"/>
      <c r="J98" s="58"/>
      <c r="K98" s="58"/>
      <c r="L98" s="40"/>
      <c r="M98" s="40"/>
    </row>
    <row r="99" spans="1:13" ht="16.5" thickBot="1">
      <c r="A99" s="37">
        <v>5400</v>
      </c>
      <c r="B99" s="37">
        <v>10150</v>
      </c>
      <c r="C99" s="47">
        <v>938500</v>
      </c>
      <c r="D99" s="40" t="s">
        <v>105</v>
      </c>
      <c r="E99" s="45">
        <f>VLOOKUP(C99,'[1]Mar10'!$C$3:$K$128,9,0)</f>
        <v>250142.45</v>
      </c>
      <c r="F99" s="58">
        <v>16372.47</v>
      </c>
      <c r="G99" s="92">
        <v>-239342.95</v>
      </c>
      <c r="H99" s="58">
        <v>505857.87</v>
      </c>
      <c r="I99" s="58"/>
      <c r="J99" s="58"/>
      <c r="K99" s="58"/>
      <c r="L99" s="40" t="s">
        <v>217</v>
      </c>
      <c r="M99" s="40">
        <v>100688478</v>
      </c>
    </row>
    <row r="100" spans="1:13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45">
        <f>VLOOKUP(C100,'[1]Mar10'!$C$3:$K$128,9,0)</f>
        <v>64428.89000000009</v>
      </c>
      <c r="F100" s="58"/>
      <c r="G100" s="92"/>
      <c r="H100" s="58"/>
      <c r="I100" s="58"/>
      <c r="J100" s="58"/>
      <c r="K100" s="58"/>
      <c r="L100" s="40"/>
      <c r="M100" s="40"/>
    </row>
    <row r="101" spans="1:13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45">
        <f>VLOOKUP(C101,'[1]Mar10'!$C$3:$K$128,9,0)</f>
        <v>4938.83</v>
      </c>
      <c r="F101" s="137">
        <v>1097.91</v>
      </c>
      <c r="G101" s="135">
        <v>-93118.07</v>
      </c>
      <c r="H101" s="132">
        <v>99154.81</v>
      </c>
      <c r="I101" s="58"/>
      <c r="J101" s="58"/>
      <c r="K101" s="58"/>
      <c r="L101" s="136" t="s">
        <v>234</v>
      </c>
      <c r="M101" s="136">
        <v>100700560</v>
      </c>
    </row>
    <row r="102" spans="1:13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45">
        <f>VLOOKUP(C102,'[1]Mar10'!$C$3:$K$128,9,0)</f>
        <v>851099.75</v>
      </c>
      <c r="F102" s="58">
        <f>17530.11-31.5</f>
        <v>17498.61</v>
      </c>
      <c r="G102" s="92">
        <v>-165953.14</v>
      </c>
      <c r="H102" s="58">
        <v>1034551.5</v>
      </c>
      <c r="I102" s="58"/>
      <c r="J102" s="58"/>
      <c r="K102" s="58"/>
      <c r="L102" s="40" t="s">
        <v>216</v>
      </c>
      <c r="M102" s="40">
        <v>100688467</v>
      </c>
    </row>
    <row r="103" spans="1:13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45">
        <f>VLOOKUP(C103,'[1]Mar10'!$C$3:$K$128,9,0)</f>
        <v>774154.19</v>
      </c>
      <c r="F103" s="58">
        <v>51134.53</v>
      </c>
      <c r="G103" s="92">
        <v>353244.05</v>
      </c>
      <c r="H103" s="58">
        <v>472044.67</v>
      </c>
      <c r="I103" s="58"/>
      <c r="J103" s="58"/>
      <c r="K103" s="58"/>
      <c r="L103" s="40" t="s">
        <v>218</v>
      </c>
      <c r="M103" s="40">
        <v>100688479</v>
      </c>
    </row>
    <row r="104" spans="1:13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45">
        <f>VLOOKUP(C104,'[1]Mar10'!$C$3:$K$128,9,0)</f>
        <v>176785.7</v>
      </c>
      <c r="F104" s="58"/>
      <c r="G104" s="92"/>
      <c r="H104" s="58"/>
      <c r="I104" s="58"/>
      <c r="J104" s="58"/>
      <c r="K104" s="58"/>
      <c r="L104" s="40"/>
      <c r="M104" s="40"/>
    </row>
    <row r="105" spans="1:13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45">
        <f>VLOOKUP(C105,'[1]Mar10'!$C$3:$K$128,9,0)</f>
        <v>923950.54</v>
      </c>
      <c r="F105" s="58"/>
      <c r="G105" s="92"/>
      <c r="H105" s="58"/>
      <c r="I105" s="58"/>
      <c r="J105" s="58"/>
      <c r="K105" s="58"/>
      <c r="L105" s="40"/>
      <c r="M105" s="40"/>
    </row>
    <row r="106" spans="1:13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45">
        <f>VLOOKUP(C106,'[1]Mar10'!$C$3:$K$128,9,0)</f>
        <v>270914.07</v>
      </c>
      <c r="F106" s="58">
        <f>9834.33-29.36</f>
        <v>9804.97</v>
      </c>
      <c r="G106" s="92">
        <v>-26166.33</v>
      </c>
      <c r="H106" s="58">
        <v>306885.37</v>
      </c>
      <c r="I106" s="58"/>
      <c r="J106" s="58"/>
      <c r="K106" s="58"/>
      <c r="L106" s="40" t="s">
        <v>214</v>
      </c>
      <c r="M106" s="40">
        <v>100688465</v>
      </c>
    </row>
    <row r="107" spans="1:13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45">
        <f>VLOOKUP(C107,'[1]Mar10'!$C$3:$K$128,9,0)</f>
        <v>578839.41</v>
      </c>
      <c r="F107" s="58"/>
      <c r="G107" s="92"/>
      <c r="H107" s="58"/>
      <c r="I107" s="58"/>
      <c r="J107" s="58"/>
      <c r="K107" s="58"/>
      <c r="L107" s="40"/>
      <c r="M107" s="40"/>
    </row>
    <row r="108" spans="1:13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45">
        <f>VLOOKUP(C108,'[1]Mar10'!$C$3:$K$128,9,0)</f>
        <v>76448.53000000012</v>
      </c>
      <c r="F108" s="58">
        <f>5306.6-98.37</f>
        <v>5208.2300000000005</v>
      </c>
      <c r="G108" s="92">
        <v>14033.92</v>
      </c>
      <c r="H108" s="58">
        <v>67622.84</v>
      </c>
      <c r="I108" s="58"/>
      <c r="J108" s="58"/>
      <c r="K108" s="58"/>
      <c r="L108" s="40" t="s">
        <v>214</v>
      </c>
      <c r="M108" s="40">
        <v>100688442</v>
      </c>
    </row>
    <row r="109" spans="1:13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45">
        <f>VLOOKUP(C109,'[1]Mar10'!$C$3:$K$128,9,0)</f>
        <v>808840.31</v>
      </c>
      <c r="F109" s="58">
        <f>9350.31-143.88</f>
        <v>9206.43</v>
      </c>
      <c r="G109" s="92">
        <v>-265138.57</v>
      </c>
      <c r="H109" s="58">
        <v>1083185.31</v>
      </c>
      <c r="I109" s="58"/>
      <c r="J109" s="58"/>
      <c r="K109" s="58"/>
      <c r="L109" s="40" t="s">
        <v>214</v>
      </c>
      <c r="M109" s="40">
        <v>100688416</v>
      </c>
    </row>
    <row r="110" spans="1:13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45">
        <f>VLOOKUP(C110,'[1]Mar10'!$C$3:$K$128,9,0)</f>
        <v>484969.78</v>
      </c>
      <c r="F110" s="58"/>
      <c r="G110" s="92"/>
      <c r="H110" s="58"/>
      <c r="I110" s="58"/>
      <c r="J110" s="58"/>
      <c r="K110" s="58"/>
      <c r="L110" s="40"/>
      <c r="M110" s="40"/>
    </row>
    <row r="111" spans="1:13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45">
        <f>VLOOKUP(C111,'[1]Mar10'!$C$3:$K$128,9,0)</f>
        <v>200765.18</v>
      </c>
      <c r="F111" s="58">
        <v>1700.72</v>
      </c>
      <c r="G111" s="92">
        <v>-133365.65</v>
      </c>
      <c r="H111" s="58">
        <v>335831.55</v>
      </c>
      <c r="I111" s="58"/>
      <c r="J111" s="58"/>
      <c r="K111" s="58"/>
      <c r="L111" s="40" t="s">
        <v>212</v>
      </c>
      <c r="M111" s="40">
        <v>100687440</v>
      </c>
    </row>
    <row r="112" spans="1:13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45">
        <f>VLOOKUP(C112,'[1]Mar10'!$C$3:$K$128,9,0)</f>
        <v>410728.2</v>
      </c>
      <c r="F112" s="58"/>
      <c r="G112" s="92"/>
      <c r="H112" s="58"/>
      <c r="I112" s="58"/>
      <c r="J112" s="58"/>
      <c r="K112" s="58"/>
      <c r="L112" s="40"/>
      <c r="M112" s="40"/>
    </row>
    <row r="113" spans="1:13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45">
        <f>VLOOKUP(C113,'[1]Mar10'!$C$3:$K$128,9,0)</f>
        <v>160856.61</v>
      </c>
      <c r="F113" s="58"/>
      <c r="G113" s="92"/>
      <c r="H113" s="58"/>
      <c r="I113" s="58"/>
      <c r="J113" s="58"/>
      <c r="K113" s="58"/>
      <c r="L113" s="40"/>
      <c r="M113" s="40"/>
    </row>
    <row r="114" spans="1:13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45">
        <f>VLOOKUP(C114,'[1]Mar10'!$C$3:$K$128,9,0)</f>
        <v>190620.59</v>
      </c>
      <c r="F114" s="58"/>
      <c r="G114" s="92"/>
      <c r="H114" s="58"/>
      <c r="I114" s="58"/>
      <c r="J114" s="58"/>
      <c r="K114" s="58"/>
      <c r="L114" s="40"/>
      <c r="M114" s="40"/>
    </row>
    <row r="115" spans="1:13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45">
        <f>VLOOKUP(C115,'[1]Mar10'!$C$3:$K$128,9,0)</f>
        <v>166733.3</v>
      </c>
      <c r="F115" s="58"/>
      <c r="G115" s="92"/>
      <c r="H115" s="83"/>
      <c r="I115" s="58"/>
      <c r="J115" s="58"/>
      <c r="K115" s="58"/>
      <c r="L115" s="40"/>
      <c r="M115" s="40"/>
    </row>
    <row r="116" spans="1:13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45">
        <f>VLOOKUP(C116,'[1]Mar10'!$C$3:$K$128,9,0)</f>
        <v>226651.76</v>
      </c>
      <c r="F116" s="58"/>
      <c r="G116" s="92"/>
      <c r="H116" s="58"/>
      <c r="I116" s="58"/>
      <c r="J116" s="58"/>
      <c r="K116" s="58"/>
      <c r="L116" s="40"/>
      <c r="M116" s="40"/>
    </row>
    <row r="117" spans="1:13" ht="15.75">
      <c r="A117" s="37">
        <v>1003</v>
      </c>
      <c r="B117" s="37">
        <v>10133</v>
      </c>
      <c r="C117" s="47">
        <v>938015</v>
      </c>
      <c r="D117" s="40" t="s">
        <v>135</v>
      </c>
      <c r="E117" s="45">
        <f>VLOOKUP(C117,'[1]Mar10'!$C$3:$K$128,9,0)</f>
        <v>153639.13</v>
      </c>
      <c r="F117" s="58"/>
      <c r="G117" s="92"/>
      <c r="H117" s="58"/>
      <c r="I117" s="58"/>
      <c r="J117" s="58"/>
      <c r="K117" s="58"/>
      <c r="L117" s="40"/>
      <c r="M117" s="40"/>
    </row>
    <row r="118" spans="2:13" ht="15.75">
      <c r="B118" s="38"/>
      <c r="D118" s="42" t="s">
        <v>139</v>
      </c>
      <c r="E118" s="45">
        <f>SUM(E3:E117)</f>
        <v>23829685.609999996</v>
      </c>
      <c r="F118" s="45">
        <f aca="true" t="shared" si="0" ref="F118:K118">SUM(F3:F117)</f>
        <v>191092.43000000002</v>
      </c>
      <c r="G118" s="92">
        <f t="shared" si="0"/>
        <v>-2011090.98</v>
      </c>
      <c r="H118" s="45">
        <f t="shared" si="0"/>
        <v>8501171.370000001</v>
      </c>
      <c r="I118" s="45">
        <f t="shared" si="0"/>
        <v>0</v>
      </c>
      <c r="J118" s="45">
        <f t="shared" si="0"/>
        <v>0</v>
      </c>
      <c r="K118" s="45">
        <f t="shared" si="0"/>
        <v>0</v>
      </c>
      <c r="L118" s="48"/>
      <c r="M118" s="48"/>
    </row>
    <row r="119" spans="4:13" ht="15.75">
      <c r="D119" s="38"/>
      <c r="E119" s="58"/>
      <c r="F119" s="58"/>
      <c r="G119" s="92"/>
      <c r="H119" s="58"/>
      <c r="I119" s="58"/>
      <c r="J119" s="58"/>
      <c r="K119" s="58"/>
      <c r="L119" s="38"/>
      <c r="M119" s="38"/>
    </row>
    <row r="120" spans="3:13" ht="15.75">
      <c r="C120" s="1">
        <f>COUNT(C3:C117)</f>
        <v>115</v>
      </c>
      <c r="D120" s="91">
        <f>COUNT(A3:A117)-COUNTA(M3:M117)</f>
        <v>88</v>
      </c>
      <c r="E120" s="37" t="s">
        <v>175</v>
      </c>
      <c r="G120" s="92"/>
      <c r="L120" s="38"/>
      <c r="M120" s="38"/>
    </row>
    <row r="121" spans="4:13" ht="15.75">
      <c r="D121" s="86">
        <f>C120-D120</f>
        <v>27</v>
      </c>
      <c r="E121" s="38" t="s">
        <v>174</v>
      </c>
      <c r="G121" s="92"/>
      <c r="H121" s="38"/>
      <c r="L121" s="38"/>
      <c r="M121" s="38"/>
    </row>
    <row r="122" spans="4:13" ht="15.75">
      <c r="D122" s="38"/>
      <c r="L122" s="38"/>
      <c r="M122" s="38"/>
    </row>
    <row r="123" spans="4:13" ht="15.75">
      <c r="D123" s="38"/>
      <c r="E123" s="38"/>
      <c r="F123" s="98">
        <f>F101+F49+F30</f>
        <v>5894.030000000001</v>
      </c>
      <c r="L123" s="38"/>
      <c r="M123" s="38"/>
    </row>
    <row r="124" spans="5:13" ht="15.75">
      <c r="E124" s="42"/>
      <c r="L124" s="38"/>
      <c r="M124" s="38"/>
    </row>
    <row r="125" spans="12:13" ht="15.75">
      <c r="L125" s="38"/>
      <c r="M125" s="38"/>
    </row>
    <row r="126" spans="12:13" ht="15.75">
      <c r="L126" s="38"/>
      <c r="M126" s="38"/>
    </row>
    <row r="127" spans="12:13" ht="15.75">
      <c r="L127" s="38"/>
      <c r="M127" s="38"/>
    </row>
    <row r="128" spans="12:13" ht="15.75">
      <c r="L128" s="38"/>
      <c r="M128" s="38"/>
    </row>
    <row r="129" spans="12:13" ht="15.75">
      <c r="L129" s="38"/>
      <c r="M129" s="38"/>
    </row>
    <row r="130" spans="12:13" ht="15.75">
      <c r="L130" s="38"/>
      <c r="M130" s="38"/>
    </row>
    <row r="131" spans="12:13" ht="15.75">
      <c r="L131" s="38"/>
      <c r="M131" s="38"/>
    </row>
    <row r="132" spans="12:13" ht="15.75">
      <c r="L132" s="38"/>
      <c r="M132" s="38"/>
    </row>
    <row r="133" spans="12:13" ht="15.75">
      <c r="L133" s="38"/>
      <c r="M133" s="38"/>
    </row>
    <row r="134" spans="12:13" ht="15.75">
      <c r="L134" s="38"/>
      <c r="M134" s="38"/>
    </row>
    <row r="135" spans="12:13" ht="15.75">
      <c r="L135" s="38"/>
      <c r="M135" s="38"/>
    </row>
    <row r="136" spans="12:13" ht="15.75">
      <c r="L136" s="38"/>
      <c r="M136" s="38"/>
    </row>
    <row r="137" spans="12:13" ht="15.75">
      <c r="L137" s="38"/>
      <c r="M137" s="38"/>
    </row>
    <row r="138" spans="12:13" ht="15.75">
      <c r="L138" s="38"/>
      <c r="M138" s="38"/>
    </row>
    <row r="139" spans="12:13" ht="15.75">
      <c r="L139" s="38"/>
      <c r="M139" s="38"/>
    </row>
    <row r="140" spans="12:13" ht="15.75">
      <c r="L140" s="38"/>
      <c r="M140" s="38"/>
    </row>
    <row r="141" spans="12:13" ht="15.75">
      <c r="L141" s="38"/>
      <c r="M141" s="38"/>
    </row>
    <row r="142" spans="12:13" ht="15.75">
      <c r="L142" s="38"/>
      <c r="M142" s="38"/>
    </row>
    <row r="143" spans="12:13" ht="15.75">
      <c r="L143" s="38"/>
      <c r="M143" s="38"/>
    </row>
    <row r="144" spans="12:13" ht="15.75">
      <c r="L144" s="38"/>
      <c r="M144" s="38"/>
    </row>
    <row r="145" spans="12:13" ht="15.75">
      <c r="L145" s="38"/>
      <c r="M145" s="38"/>
    </row>
    <row r="146" spans="12:13" ht="15.75">
      <c r="L146" s="38"/>
      <c r="M146" s="38"/>
    </row>
    <row r="147" spans="12:13" ht="15.75">
      <c r="L147" s="38"/>
      <c r="M147" s="38"/>
    </row>
    <row r="148" spans="12:13" ht="15.75">
      <c r="L148" s="38"/>
      <c r="M148" s="38"/>
    </row>
    <row r="149" spans="12:13" ht="15.75">
      <c r="L149" s="38"/>
      <c r="M149" s="38"/>
    </row>
    <row r="150" spans="12:13" ht="15.75">
      <c r="L150" s="38"/>
      <c r="M150" s="38"/>
    </row>
    <row r="151" spans="12:13" ht="15.75">
      <c r="L151" s="38"/>
      <c r="M151" s="38"/>
    </row>
    <row r="152" spans="12:13" ht="15.75">
      <c r="L152" s="38"/>
      <c r="M152" s="38"/>
    </row>
    <row r="153" spans="12:13" ht="15.75">
      <c r="L153" s="38"/>
      <c r="M153" s="38"/>
    </row>
    <row r="154" spans="12:13" ht="15.75">
      <c r="L154" s="38"/>
      <c r="M154" s="38"/>
    </row>
    <row r="155" spans="12:13" ht="15.75">
      <c r="L155" s="38"/>
      <c r="M155" s="38"/>
    </row>
    <row r="156" spans="12:13" ht="15.75">
      <c r="L156" s="38"/>
      <c r="M156" s="38"/>
    </row>
    <row r="157" spans="12:13" ht="15.75">
      <c r="L157" s="38"/>
      <c r="M157" s="38"/>
    </row>
    <row r="158" spans="12:13" ht="15.75">
      <c r="L158" s="38"/>
      <c r="M158" s="38"/>
    </row>
    <row r="159" spans="12:13" ht="15.75">
      <c r="L159" s="38"/>
      <c r="M159" s="38"/>
    </row>
    <row r="160" spans="12:13" ht="15.75">
      <c r="L160" s="38"/>
      <c r="M160" s="38"/>
    </row>
    <row r="161" spans="12:13" ht="15.75">
      <c r="L161" s="38"/>
      <c r="M161" s="38"/>
    </row>
    <row r="162" spans="12:13" ht="15.75">
      <c r="L162" s="38"/>
      <c r="M162" s="38"/>
    </row>
    <row r="163" spans="12:13" ht="15.75">
      <c r="L163" s="38"/>
      <c r="M163" s="38"/>
    </row>
    <row r="164" spans="12:13" ht="15.75">
      <c r="L164" s="38"/>
      <c r="M164" s="38"/>
    </row>
    <row r="165" ht="15.75">
      <c r="L165" s="38"/>
    </row>
    <row r="166" ht="15.75">
      <c r="L166" s="38"/>
    </row>
    <row r="167" ht="15.75">
      <c r="L167" s="38"/>
    </row>
    <row r="168" ht="15.75">
      <c r="L168" s="38"/>
    </row>
    <row r="169" ht="15.75">
      <c r="L169" s="38"/>
    </row>
    <row r="170" ht="15.75">
      <c r="L170" s="38"/>
    </row>
    <row r="171" ht="15.75">
      <c r="L171" s="38"/>
    </row>
    <row r="172" ht="15.75">
      <c r="L172" s="38"/>
    </row>
    <row r="173" ht="15.75">
      <c r="L173" s="38"/>
    </row>
    <row r="174" ht="15.75">
      <c r="L174" s="38"/>
    </row>
    <row r="175" ht="15.75">
      <c r="L175" s="38"/>
    </row>
    <row r="176" ht="15.75">
      <c r="L176" s="38"/>
    </row>
    <row r="177" ht="15.75">
      <c r="L177" s="38"/>
    </row>
    <row r="178" ht="15.75">
      <c r="L178" s="38"/>
    </row>
    <row r="179" ht="15.75">
      <c r="L179" s="38"/>
    </row>
  </sheetData>
  <autoFilter ref="A2:M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G49:G121 G3:G47">
    <cfRule type="cellIs" priority="1" dxfId="1" operator="lessThan" stopIfTrue="1">
      <formula>0</formula>
    </cfRule>
  </conditionalFormatting>
  <conditionalFormatting sqref="D3:D117">
    <cfRule type="expression" priority="2" dxfId="2" stopIfTrue="1">
      <formula>M3&lt;1</formula>
    </cfRule>
  </conditionalFormatting>
  <printOptions horizontalCentered="1"/>
  <pageMargins left="0" right="0" top="0" bottom="0" header="0" footer="0"/>
  <pageSetup cellComments="asDisplayed" fitToHeight="3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34"/>
    <pageSetUpPr fitToPage="1"/>
  </sheetPr>
  <dimension ref="A1:N178"/>
  <sheetViews>
    <sheetView zoomScale="75" zoomScaleNormal="75" workbookViewId="0" topLeftCell="A1">
      <pane xSplit="4" ySplit="2" topLeftCell="E8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3.3359375" style="37" bestFit="1" customWidth="1"/>
    <col min="5" max="5" width="12.99609375" style="37" customWidth="1"/>
    <col min="6" max="6" width="13.3359375" style="37" customWidth="1"/>
    <col min="7" max="7" width="15.4453125" style="37" customWidth="1"/>
    <col min="8" max="8" width="16.4453125" style="37" customWidth="1"/>
    <col min="9" max="10" width="8.4453125" style="37" customWidth="1"/>
    <col min="11" max="11" width="15.4453125" style="37" customWidth="1"/>
    <col min="12" max="12" width="13.77734375" style="37" customWidth="1"/>
    <col min="13" max="13" width="18.6640625" style="37" customWidth="1"/>
    <col min="14" max="14" width="10.3359375" style="37" customWidth="1"/>
    <col min="15" max="16384" width="8.88671875" style="37" customWidth="1"/>
  </cols>
  <sheetData>
    <row r="1" spans="1:13" s="59" customFormat="1" ht="15.75">
      <c r="A1" s="56" t="s">
        <v>118</v>
      </c>
      <c r="B1" s="56" t="s">
        <v>120</v>
      </c>
      <c r="C1" s="56" t="s">
        <v>171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5.75">
      <c r="A2" s="57" t="s">
        <v>119</v>
      </c>
      <c r="B2" s="57" t="s">
        <v>137</v>
      </c>
      <c r="C2" s="57" t="s">
        <v>172</v>
      </c>
      <c r="D2" s="57" t="s">
        <v>209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.75">
      <c r="A3" s="37">
        <v>3520</v>
      </c>
      <c r="B3" s="36">
        <v>11094</v>
      </c>
      <c r="C3" s="22">
        <v>938585</v>
      </c>
      <c r="D3" s="58" t="s">
        <v>176</v>
      </c>
      <c r="E3" s="45"/>
      <c r="F3" s="83">
        <f>April10!F3+May10!F3+June10!F3+July10!F3+Aug10!F3+Sept10!F3+Oct10!F3+Nov10!F3+Dec10!F3+Jan11!F3+Feb11!F3+Mar11!F3</f>
        <v>29888.940000000002</v>
      </c>
      <c r="G3" s="92">
        <f>April10!G3+May10!G3+June10!G3+July10!G3+Aug10!G3+Sept10!G3+Oct10!G3+Nov10!G3+Dec10!G3+Jan11!G3+Feb11!G3+Mar11!G3</f>
        <v>-133345.02000000005</v>
      </c>
      <c r="H3" s="83">
        <f>April10!H3+May10!H3+June10!H3+July10!H3+Aug10!H3+Sept10!H3+Oct10!H3+Nov10!H3+Dec10!H3+Jan11!H3+Feb11!H3+Mar11!H3</f>
        <v>1351948.3199999998</v>
      </c>
      <c r="I3" s="83"/>
      <c r="J3" s="83"/>
      <c r="K3" s="83">
        <f>F3-G3</f>
        <v>163233.96000000005</v>
      </c>
      <c r="L3" s="36">
        <v>11094</v>
      </c>
      <c r="M3" s="58"/>
    </row>
    <row r="4" spans="1:13" ht="16.5" thickBot="1">
      <c r="A4" s="37">
        <v>3317</v>
      </c>
      <c r="B4" s="36">
        <v>10042</v>
      </c>
      <c r="C4" s="22">
        <v>938350</v>
      </c>
      <c r="D4" s="58" t="s">
        <v>18</v>
      </c>
      <c r="E4" s="45"/>
      <c r="F4" s="83">
        <f>April10!F4+May10!F4+June10!F4+July10!F4+Aug10!F4+Sept10!F4+Oct10!F4+Nov10!F4+Dec10!F4+Jan11!F4+Feb11!F4+Mar11!F4</f>
        <v>20666.21</v>
      </c>
      <c r="G4" s="92">
        <f>April10!G4+May10!G4+June10!G4+July10!G4+Aug10!G4+Sept10!G4+Oct10!G4+Nov10!G4+Dec10!G4+Jan11!G4+Feb11!G4+Mar11!G4</f>
        <v>-31567.259999999995</v>
      </c>
      <c r="H4" s="83">
        <f>April10!H4+May10!H4+June10!H4+July10!H4+Aug10!H4+Sept10!H4+Oct10!H4+Nov10!H4+Dec10!H4+Jan11!H4+Feb11!H4+Mar11!H4</f>
        <v>1236009.13</v>
      </c>
      <c r="I4" s="83"/>
      <c r="J4" s="83"/>
      <c r="K4" s="83">
        <f aca="true" t="shared" si="0" ref="K4:K68">F4-G4</f>
        <v>52233.469999999994</v>
      </c>
      <c r="L4" s="36">
        <v>10042</v>
      </c>
      <c r="M4" s="40"/>
    </row>
    <row r="5" spans="1:13" ht="16.5" thickBot="1">
      <c r="A5" s="37">
        <v>3300</v>
      </c>
      <c r="B5" s="37">
        <v>10040</v>
      </c>
      <c r="C5" s="47">
        <v>938282</v>
      </c>
      <c r="D5" s="58" t="s">
        <v>17</v>
      </c>
      <c r="E5" s="45"/>
      <c r="F5" s="83">
        <f>April10!F5+May10!F5+June10!F5+July10!F5+Aug10!F5+Sept10!F5+Oct10!F5+Nov10!F5+Dec10!F5+Jan11!F5+Feb11!F5+Mar11!F5</f>
        <v>23030.52</v>
      </c>
      <c r="G5" s="92">
        <f>April10!G5+May10!G5+June10!G5+July10!G5+Aug10!G5+Sept10!G5+Oct10!G5+Nov10!G5+Dec10!G5+Jan11!G5+Feb11!G5+Mar11!G5</f>
        <v>-14644.090000000004</v>
      </c>
      <c r="H5" s="83">
        <f>April10!H5+May10!H5+June10!H5+July10!H5+Aug10!H5+Sept10!H5+Oct10!H5+Nov10!H5+Dec10!H5+Jan11!H5+Feb11!H5+Mar11!H5</f>
        <v>764158.6</v>
      </c>
      <c r="I5" s="83"/>
      <c r="J5" s="83"/>
      <c r="K5" s="83">
        <f t="shared" si="0"/>
        <v>37674.61</v>
      </c>
      <c r="L5" s="37">
        <v>10040</v>
      </c>
      <c r="M5" s="40"/>
    </row>
    <row r="6" spans="1:13" ht="16.5" thickBot="1">
      <c r="A6" s="37">
        <v>3500</v>
      </c>
      <c r="B6" s="37">
        <v>10043</v>
      </c>
      <c r="C6" s="47">
        <v>938355</v>
      </c>
      <c r="D6" s="58" t="s">
        <v>20</v>
      </c>
      <c r="E6" s="45"/>
      <c r="F6" s="83">
        <f>April10!F6+May10!F6+June10!F6+July10!F6+Aug10!F6+Sept10!F6+Oct10!F6+Nov10!F6+Dec10!F6+Jan11!F6+Feb11!F6+Mar11!F6</f>
        <v>4023.74</v>
      </c>
      <c r="G6" s="92">
        <f>April10!G6+May10!G6+June10!G6+July10!G6+Aug10!G6+Sept10!G6+Oct10!G6+Nov10!G6+Dec10!G6+Jan11!G6+Feb11!G6+Mar11!G6</f>
        <v>-53023.060000000005</v>
      </c>
      <c r="H6" s="83">
        <f>April10!H6+May10!H6+June10!H6+July10!H6+Aug10!H6+Sept10!H6+Oct10!H6+Nov10!H6+Dec10!H6+Jan11!H6+Feb11!H6+Mar11!H6</f>
        <v>1238071.64</v>
      </c>
      <c r="I6" s="83"/>
      <c r="J6" s="83"/>
      <c r="K6" s="83">
        <f t="shared" si="0"/>
        <v>57046.8</v>
      </c>
      <c r="L6" s="37">
        <v>10043</v>
      </c>
      <c r="M6" s="40"/>
    </row>
    <row r="7" spans="1:13" ht="16.5" thickBot="1">
      <c r="A7" s="37">
        <v>3514</v>
      </c>
      <c r="B7" s="37">
        <v>10117</v>
      </c>
      <c r="C7" s="47">
        <v>938415</v>
      </c>
      <c r="D7" s="58" t="s">
        <v>19</v>
      </c>
      <c r="E7" s="45"/>
      <c r="F7" s="83">
        <f>April10!F7+May10!F7+June10!F7+July10!F7+Aug10!F7+Sept10!F7+Oct10!F7+Nov10!F7+Dec10!F7+Jan11!F7+Feb11!F7+Mar11!F7</f>
        <v>19320.93</v>
      </c>
      <c r="G7" s="92">
        <f>April10!G7+May10!G7+June10!G7+July10!G7+Aug10!G7+Sept10!G7+Oct10!G7+Nov10!G7+Dec10!G7+Jan11!G7+Feb11!G7+Mar11!G7</f>
        <v>24372.58</v>
      </c>
      <c r="H7" s="83">
        <f>April10!H7+May10!H7+June10!H7+July10!H7+Aug10!H7+Sept10!H7+Oct10!H7+Nov10!H7+Dec10!H7+Jan11!H7+Feb11!H7+Mar11!H7</f>
        <v>703965.7600000001</v>
      </c>
      <c r="I7" s="83"/>
      <c r="J7" s="83"/>
      <c r="K7" s="83">
        <f t="shared" si="0"/>
        <v>-5051.6500000000015</v>
      </c>
      <c r="L7" s="37">
        <v>10117</v>
      </c>
      <c r="M7" s="40"/>
    </row>
    <row r="8" spans="1:13" ht="16.5" thickBot="1">
      <c r="A8" s="37">
        <v>2002</v>
      </c>
      <c r="B8" s="37">
        <v>10044</v>
      </c>
      <c r="C8" s="47">
        <v>938025</v>
      </c>
      <c r="D8" s="58" t="s">
        <v>22</v>
      </c>
      <c r="E8" s="45"/>
      <c r="F8" s="83">
        <f>April10!F8+May10!F8+June10!F8+July10!F8+Aug10!F8+Sept10!F8+Oct10!F8+Nov10!F8+Dec10!F8+Jan11!F8+Feb11!F8+Mar11!F8</f>
        <v>69624.25</v>
      </c>
      <c r="G8" s="92">
        <f>April10!G8+May10!G8+June10!G8+July10!G8+Aug10!G8+Sept10!G8+Oct10!G8+Nov10!G8+Dec10!G8+Jan11!G8+Feb11!G8+Mar11!G8</f>
        <v>4447.950000000004</v>
      </c>
      <c r="H8" s="83">
        <f>April10!H8+May10!H8+June10!H8+July10!H8+Aug10!H8+Sept10!H8+Oct10!H8+Nov10!H8+Dec10!H8+Jan11!H8+Feb11!H8+Mar11!H8</f>
        <v>2267848.32</v>
      </c>
      <c r="I8" s="83"/>
      <c r="J8" s="83"/>
      <c r="K8" s="83">
        <f t="shared" si="0"/>
        <v>65176.299999999996</v>
      </c>
      <c r="L8" s="37">
        <v>10044</v>
      </c>
      <c r="M8" s="40"/>
    </row>
    <row r="9" spans="1:13" ht="16.5" thickBot="1">
      <c r="A9" s="37">
        <v>2079</v>
      </c>
      <c r="B9" s="37">
        <v>10128</v>
      </c>
      <c r="C9" s="47">
        <v>938280</v>
      </c>
      <c r="D9" s="58" t="s">
        <v>124</v>
      </c>
      <c r="E9" s="45"/>
      <c r="F9" s="83">
        <f>April10!F9+May10!F9+June10!F9+July10!F9+Aug10!F9+Sept10!F9+Oct10!F9+Nov10!F9+Dec10!F9+Jan11!F9+Feb11!F9+Mar11!F9</f>
        <v>36780.26</v>
      </c>
      <c r="G9" s="92">
        <f>April10!G9+May10!G9+June10!G9+July10!G9+Aug10!G9+Sept10!G9+Oct10!G9+Nov10!G9+Dec10!G9+Jan11!G9+Feb11!G9+Mar11!G9</f>
        <v>-7859.929999999997</v>
      </c>
      <c r="H9" s="83">
        <f>April10!H9+May10!H9+June10!H9+July10!H9+Aug10!H9+Sept10!H9+Oct10!H9+Nov10!H9+Dec10!H9+Jan11!H9+Feb11!H9+Mar11!H9</f>
        <v>312351.16000000003</v>
      </c>
      <c r="I9" s="83"/>
      <c r="J9" s="83"/>
      <c r="K9" s="83">
        <f t="shared" si="0"/>
        <v>44640.19</v>
      </c>
      <c r="L9" s="37">
        <v>10128</v>
      </c>
      <c r="M9" s="40"/>
    </row>
    <row r="10" spans="1:13" ht="16.5" thickBot="1">
      <c r="A10" s="37">
        <v>2003</v>
      </c>
      <c r="B10" s="37">
        <v>10045</v>
      </c>
      <c r="C10" s="47">
        <v>938030</v>
      </c>
      <c r="D10" s="58" t="s">
        <v>23</v>
      </c>
      <c r="E10" s="45"/>
      <c r="F10" s="83">
        <f>April10!F10+May10!F10+June10!F10+July10!F10+Aug10!F10+Sept10!F10+Oct10!F10+Nov10!F10+Dec10!F10+Jan11!F10+Feb11!F10+Mar11!F10</f>
        <v>36691.560000000005</v>
      </c>
      <c r="G10" s="92">
        <f>April10!G10+May10!G10+June10!G10+July10!G10+Aug10!G10+Sept10!G10+Oct10!G10+Nov10!G10+Dec10!G10+Jan11!G10+Feb11!G10+Mar11!G10</f>
        <v>-175082.01</v>
      </c>
      <c r="H10" s="83">
        <f>April10!H10+May10!H10+June10!H10+July10!H10+Aug10!H10+Sept10!H10+Oct10!H10+Nov10!H10+Dec10!H10+Jan11!H10+Feb11!H10+Mar11!H10</f>
        <v>2204402.81</v>
      </c>
      <c r="I10" s="83"/>
      <c r="J10" s="83"/>
      <c r="K10" s="83">
        <f t="shared" si="0"/>
        <v>211773.57</v>
      </c>
      <c r="L10" s="37">
        <v>10045</v>
      </c>
      <c r="M10" s="40"/>
    </row>
    <row r="11" spans="1:13" ht="16.5" thickBot="1">
      <c r="A11" s="37">
        <v>3511</v>
      </c>
      <c r="B11" s="37">
        <v>10115</v>
      </c>
      <c r="C11" s="47">
        <v>938400</v>
      </c>
      <c r="D11" s="58" t="s">
        <v>24</v>
      </c>
      <c r="E11" s="45"/>
      <c r="F11" s="83">
        <f>April10!F11+May10!F11+June10!F11+July10!F11+Aug10!F11+Sept10!F11+Oct10!F11+Nov10!F11+Dec10!F11+Jan11!F11+Feb11!F11+Mar11!F11</f>
        <v>14322.819999999998</v>
      </c>
      <c r="G11" s="92">
        <f>April10!G11+May10!G11+June10!G11+July10!G11+Aug10!G11+Sept10!G11+Oct10!G11+Nov10!G11+Dec10!G11+Jan11!G11+Feb11!G11+Mar11!G11</f>
        <v>7966.850000000004</v>
      </c>
      <c r="H11" s="83">
        <f>April10!H11+May10!H11+June10!H11+July10!H11+Aug10!H11+Sept10!H11+Oct10!H11+Nov10!H11+Dec10!H11+Jan11!H11+Feb11!H11+Mar11!H11</f>
        <v>941456.41</v>
      </c>
      <c r="I11" s="83"/>
      <c r="J11" s="83"/>
      <c r="K11" s="83">
        <f t="shared" si="0"/>
        <v>6355.969999999994</v>
      </c>
      <c r="L11" s="37">
        <v>10115</v>
      </c>
      <c r="M11" s="40"/>
    </row>
    <row r="12" spans="1:13" ht="16.5" thickBot="1">
      <c r="A12" s="37">
        <v>3519</v>
      </c>
      <c r="B12" s="37">
        <v>10134</v>
      </c>
      <c r="C12" s="47">
        <v>938435</v>
      </c>
      <c r="D12" s="58" t="s">
        <v>130</v>
      </c>
      <c r="E12" s="45"/>
      <c r="F12" s="83">
        <f>April10!F12+May10!F12+June10!F12+July10!F12+Aug10!F12+Sept10!F12+Oct10!F12+Nov10!F12+Dec10!F12+Jan11!F12+Feb11!F12+Mar11!F12</f>
        <v>57643.09</v>
      </c>
      <c r="G12" s="92">
        <f>April10!G12+May10!G12+June10!G12+July10!G12+Aug10!G12+Sept10!G12+Oct10!G12+Nov10!G12+Dec10!G12+Jan11!G12+Feb11!G12+Mar11!G12</f>
        <v>20273.179999999993</v>
      </c>
      <c r="H12" s="83">
        <f>April10!H12+May10!H12+June10!H12+July10!H12+Aug10!H12+Sept10!H12+Oct10!H12+Nov10!H12+Dec10!H12+Jan11!H12+Feb11!H12+Mar11!H12</f>
        <v>2079447.56</v>
      </c>
      <c r="I12" s="83"/>
      <c r="J12" s="83"/>
      <c r="K12" s="83">
        <f t="shared" si="0"/>
        <v>37369.91</v>
      </c>
      <c r="L12" s="37">
        <v>10134</v>
      </c>
      <c r="M12" s="40"/>
    </row>
    <row r="13" spans="1:13" ht="16.5" thickBot="1">
      <c r="A13" s="37">
        <v>2008</v>
      </c>
      <c r="B13" s="37">
        <v>10047</v>
      </c>
      <c r="C13" s="47">
        <v>938040</v>
      </c>
      <c r="D13" s="58" t="s">
        <v>26</v>
      </c>
      <c r="E13" s="45"/>
      <c r="F13" s="83">
        <f>April10!F13+May10!F13+June10!F13+July10!F13+Aug10!F13+Sept10!F13+Oct10!F13+Nov10!F13+Dec10!F13+Jan11!F13+Feb11!F13+Mar11!F13</f>
        <v>31154.38</v>
      </c>
      <c r="G13" s="92">
        <f>April10!G13+May10!G13+June10!G13+July10!G13+Aug10!G13+Sept10!G13+Oct10!G13+Nov10!G13+Dec10!G13+Jan11!G13+Feb11!G13+Mar11!G13</f>
        <v>-18234</v>
      </c>
      <c r="H13" s="83">
        <f>April10!H13+May10!H13+June10!H13+July10!H13+Aug10!H13+Sept10!H13+Oct10!H13+Nov10!H13+Dec10!H13+Jan11!H13+Feb11!H13+Mar11!H13</f>
        <v>1896090.1099999999</v>
      </c>
      <c r="I13" s="83"/>
      <c r="J13" s="83"/>
      <c r="K13" s="83">
        <f t="shared" si="0"/>
        <v>49388.380000000005</v>
      </c>
      <c r="L13" s="37">
        <v>10047</v>
      </c>
      <c r="M13" s="40"/>
    </row>
    <row r="14" spans="1:13" ht="16.5" thickBot="1">
      <c r="A14" s="37">
        <v>2007</v>
      </c>
      <c r="B14" s="37">
        <v>10046</v>
      </c>
      <c r="C14" s="47">
        <v>938035</v>
      </c>
      <c r="D14" s="58" t="s">
        <v>25</v>
      </c>
      <c r="E14" s="45"/>
      <c r="F14" s="83">
        <f>April10!F14+May10!F14+June10!F14+July10!F14+Aug10!F14+Sept10!F14+Oct10!F14+Nov10!F14+Dec10!F14+Jan11!F14+Feb11!F14+Mar11!F14</f>
        <v>44755.81</v>
      </c>
      <c r="G14" s="92">
        <f>April10!G14+May10!G14+June10!G14+July10!G14+Aug10!G14+Sept10!G14+Oct10!G14+Nov10!G14+Dec10!G14+Jan11!G14+Feb11!G14+Mar11!G14</f>
        <v>62462.06999999999</v>
      </c>
      <c r="H14" s="83">
        <f>April10!H14+May10!H14+June10!H14+July10!H14+Aug10!H14+Sept10!H14+Oct10!H14+Nov10!H14+Dec10!H14+Jan11!H14+Feb11!H14+Mar11!H14</f>
        <v>1687687.04</v>
      </c>
      <c r="I14" s="83"/>
      <c r="J14" s="83"/>
      <c r="K14" s="83">
        <f t="shared" si="0"/>
        <v>-17706.259999999995</v>
      </c>
      <c r="L14" s="37">
        <v>10046</v>
      </c>
      <c r="M14" s="40"/>
    </row>
    <row r="15" spans="1:13" ht="16.5" thickBot="1">
      <c r="A15" s="37">
        <v>2009</v>
      </c>
      <c r="B15" s="37">
        <v>10048</v>
      </c>
      <c r="C15" s="47">
        <v>938045</v>
      </c>
      <c r="D15" s="58" t="s">
        <v>27</v>
      </c>
      <c r="E15" s="45"/>
      <c r="F15" s="83">
        <f>April10!F15+May10!F15+June10!F15+July10!F15+Aug10!F15+Sept10!F15+Oct10!F15+Nov10!F15+Dec10!F15+Jan11!F15+Feb11!F15+Mar11!F15</f>
        <v>29694.75</v>
      </c>
      <c r="G15" s="92">
        <f>April10!G15+May10!G15+June10!G15+July10!G15+Aug10!G15+Sept10!G15+Oct10!G15+Nov10!G15+Dec10!G15+Jan11!G15+Feb11!G15+Mar11!G15</f>
        <v>-52239.67999999999</v>
      </c>
      <c r="H15" s="83">
        <f>April10!H15+May10!H15+June10!H15+July10!H15+Aug10!H15+Sept10!H15+Oct10!H15+Nov10!H15+Dec10!H15+Jan11!H15+Feb11!H15+Mar11!H15</f>
        <v>1513526.84</v>
      </c>
      <c r="I15" s="83"/>
      <c r="J15" s="83"/>
      <c r="K15" s="83">
        <f t="shared" si="0"/>
        <v>81934.43</v>
      </c>
      <c r="L15" s="37">
        <v>10048</v>
      </c>
      <c r="M15" s="40"/>
    </row>
    <row r="16" spans="1:13" ht="16.5" thickBot="1">
      <c r="A16" s="37">
        <v>2067</v>
      </c>
      <c r="B16" s="37">
        <v>10118</v>
      </c>
      <c r="C16" s="47">
        <v>938235</v>
      </c>
      <c r="D16" s="58" t="s">
        <v>28</v>
      </c>
      <c r="E16" s="45"/>
      <c r="F16" s="83">
        <f>April10!F16+May10!F16+June10!F16+July10!F16+Aug10!F16+Sept10!F16+Oct10!F16+Nov10!F16+Dec10!F16+Jan11!F16+Feb11!F16+Mar11!F16</f>
        <v>22199.760000000002</v>
      </c>
      <c r="G16" s="92">
        <f>April10!G16+May10!G16+June10!G16+July10!G16+Aug10!G16+Sept10!G16+Oct10!G16+Nov10!G16+Dec10!G16+Jan11!G16+Feb11!G16+Mar11!G16</f>
        <v>8548.980000000001</v>
      </c>
      <c r="H16" s="83">
        <f>April10!H16+May10!H16+June10!H16+July10!H16+Aug10!H16+Sept10!H16+Oct10!H16+Nov10!H16+Dec10!H16+Jan11!H16+Feb11!H16+Mar11!H16</f>
        <v>1615257.7899999998</v>
      </c>
      <c r="I16" s="83"/>
      <c r="J16" s="83"/>
      <c r="K16" s="83">
        <f t="shared" si="0"/>
        <v>13650.78</v>
      </c>
      <c r="L16" s="37">
        <v>10118</v>
      </c>
      <c r="M16" s="40"/>
    </row>
    <row r="17" spans="1:13" ht="16.5" thickBot="1">
      <c r="A17" s="37">
        <v>2010</v>
      </c>
      <c r="B17" s="37">
        <v>10049</v>
      </c>
      <c r="C17" s="47">
        <v>938050</v>
      </c>
      <c r="D17" s="58" t="s">
        <v>29</v>
      </c>
      <c r="E17" s="45"/>
      <c r="F17" s="83">
        <f>April10!F17+May10!F17+June10!F17+July10!F17+Aug10!F17+Sept10!F17+Oct10!F17+Nov10!F17+Dec10!F17+Jan11!F17+Feb11!F17+Mar11!F17</f>
        <v>38816.16</v>
      </c>
      <c r="G17" s="92">
        <f>April10!G17+May10!G17+June10!G17+July10!G17+Aug10!G17+Sept10!G17+Oct10!G17+Nov10!G17+Dec10!G17+Jan11!G17+Feb11!G17+Mar11!G17</f>
        <v>-145342.87</v>
      </c>
      <c r="H17" s="83">
        <f>April10!H17+May10!H17+June10!H17+July10!H17+Aug10!H17+Sept10!H17+Oct10!H17+Nov10!H17+Dec10!H17+Jan11!H17+Feb11!H17+Mar11!H17</f>
        <v>3311627.82</v>
      </c>
      <c r="I17" s="83"/>
      <c r="J17" s="83"/>
      <c r="K17" s="83">
        <f t="shared" si="0"/>
        <v>184159.03</v>
      </c>
      <c r="L17" s="37">
        <v>10049</v>
      </c>
      <c r="M17" s="40"/>
    </row>
    <row r="18" spans="1:13" ht="16.5" thickBot="1">
      <c r="A18" s="37">
        <v>3302</v>
      </c>
      <c r="B18" s="37">
        <v>10050</v>
      </c>
      <c r="C18" s="47">
        <v>938285</v>
      </c>
      <c r="D18" s="58" t="s">
        <v>30</v>
      </c>
      <c r="E18" s="45"/>
      <c r="F18" s="83">
        <f>April10!F18+May10!F18+June10!F18+July10!F18+Aug10!F18+Sept10!F18+Oct10!F18+Nov10!F18+Dec10!F18+Jan11!F18+Feb11!F18+Mar11!F18</f>
        <v>7247.410000000001</v>
      </c>
      <c r="G18" s="92">
        <f>April10!G18+May10!G18+June10!G18+July10!G18+Aug10!G18+Sept10!G18+Oct10!G18+Nov10!G18+Dec10!G18+Jan11!G18+Feb11!G18+Mar11!G18</f>
        <v>-94596.37000000002</v>
      </c>
      <c r="H18" s="83">
        <f>April10!H18+May10!H18+June10!H18+July10!H18+Aug10!H18+Sept10!H18+Oct10!H18+Nov10!H18+Dec10!H18+Jan11!H18+Feb11!H18+Mar11!H18</f>
        <v>1001485.9199999999</v>
      </c>
      <c r="I18" s="83"/>
      <c r="J18" s="83"/>
      <c r="K18" s="83">
        <f t="shared" si="0"/>
        <v>101843.78000000003</v>
      </c>
      <c r="L18" s="37">
        <v>10050</v>
      </c>
      <c r="M18" s="40"/>
    </row>
    <row r="19" spans="1:13" ht="16.5" thickBot="1">
      <c r="A19" s="37">
        <v>2011</v>
      </c>
      <c r="B19" s="37">
        <v>10051</v>
      </c>
      <c r="C19" s="47">
        <v>938055</v>
      </c>
      <c r="D19" s="58" t="s">
        <v>31</v>
      </c>
      <c r="E19" s="45"/>
      <c r="F19" s="83">
        <f>April10!F19+May10!F19+June10!F19+July10!F19+Aug10!F19+Sept10!F19+Oct10!F19+Nov10!F19+Dec10!F19+Jan11!F19+Feb11!F19+Mar11!F19</f>
        <v>28239.81</v>
      </c>
      <c r="G19" s="92">
        <f>April10!G19+May10!G19+June10!G19+July10!G19+Aug10!G19+Sept10!G19+Oct10!G19+Nov10!G19+Dec10!G19+Jan11!G19+Feb11!G19+Mar11!G19</f>
        <v>23381.790000000008</v>
      </c>
      <c r="H19" s="83">
        <f>April10!H19+May10!H19+June10!H19+July10!H19+Aug10!H19+Sept10!H19+Oct10!H19+Nov10!H19+Dec10!H19+Jan11!H19+Feb11!H19+Mar11!H19</f>
        <v>1067985.8399999999</v>
      </c>
      <c r="I19" s="83"/>
      <c r="J19" s="83"/>
      <c r="K19" s="83">
        <f t="shared" si="0"/>
        <v>4858.019999999993</v>
      </c>
      <c r="L19" s="37">
        <v>10051</v>
      </c>
      <c r="M19" s="40"/>
    </row>
    <row r="20" spans="1:13" ht="16.5" thickBot="1">
      <c r="A20" s="37">
        <v>3522</v>
      </c>
      <c r="B20" s="37">
        <v>10953</v>
      </c>
      <c r="C20" s="47">
        <v>938438</v>
      </c>
      <c r="D20" s="58" t="s">
        <v>140</v>
      </c>
      <c r="E20" s="45"/>
      <c r="F20" s="83">
        <f>April10!F20+May10!F20+June10!F20+July10!F20+Aug10!F20+Sept10!F20+Oct10!F20+Nov10!F20+Dec10!F20+Jan11!F20+Feb11!F20+Mar11!F20</f>
        <v>76500.37</v>
      </c>
      <c r="G20" s="92">
        <f>April10!G20+May10!G20+June10!G20+July10!G20+Aug10!G20+Sept10!G20+Oct10!G20+Nov10!G20+Dec10!G20+Jan11!G20+Feb11!G20+Mar11!G20</f>
        <v>170577.13</v>
      </c>
      <c r="H20" s="83">
        <f>April10!H20+May10!H20+June10!H20+July10!H20+Aug10!H20+Sept10!H20+Oct10!H20+Nov10!H20+Dec10!H20+Jan11!H20+Feb11!H20+Mar11!H20</f>
        <v>1281572.0100000002</v>
      </c>
      <c r="I20" s="83"/>
      <c r="J20" s="83"/>
      <c r="K20" s="83">
        <f t="shared" si="0"/>
        <v>-94076.76000000001</v>
      </c>
      <c r="L20" s="37">
        <v>10953</v>
      </c>
      <c r="M20" s="40"/>
    </row>
    <row r="21" spans="1:13" ht="16.5" thickBot="1">
      <c r="A21" s="37">
        <v>2014</v>
      </c>
      <c r="B21" s="37">
        <v>10054</v>
      </c>
      <c r="C21" s="47">
        <v>938070</v>
      </c>
      <c r="D21" s="58" t="s">
        <v>32</v>
      </c>
      <c r="E21" s="45"/>
      <c r="F21" s="83">
        <f>April10!F21+May10!F21+June10!F21+July10!F21+Aug10!F21+Sept10!F21+Oct10!F21+Nov10!F21+Dec10!F21+Jan11!F21+Feb11!F21+Mar11!F21</f>
        <v>34156.45</v>
      </c>
      <c r="G21" s="92">
        <f>April10!G21+May10!G21+June10!G21+July10!G21+Aug10!G21+Sept10!G21+Oct10!G21+Nov10!G21+Dec10!G21+Jan11!G21+Feb11!G21+Mar11!G21</f>
        <v>-187868.57</v>
      </c>
      <c r="H21" s="83">
        <f>April10!H21+May10!H21+June10!H21+July10!H21+Aug10!H21+Sept10!H21+Oct10!H21+Nov10!H21+Dec10!H21+Jan11!H21+Feb11!H21+Mar11!H21</f>
        <v>3844656.64</v>
      </c>
      <c r="I21" s="83"/>
      <c r="J21" s="83"/>
      <c r="K21" s="83">
        <f t="shared" si="0"/>
        <v>222025.02000000002</v>
      </c>
      <c r="L21" s="37">
        <v>10054</v>
      </c>
      <c r="M21" s="40"/>
    </row>
    <row r="22" spans="1:13" ht="16.5" thickBot="1">
      <c r="A22" s="37">
        <v>2015</v>
      </c>
      <c r="B22" s="37">
        <v>10055</v>
      </c>
      <c r="C22" s="47">
        <v>938075</v>
      </c>
      <c r="D22" s="58" t="s">
        <v>33</v>
      </c>
      <c r="E22" s="45"/>
      <c r="F22" s="83">
        <f>April10!F22+May10!F22+June10!F22+July10!F22+Aug10!F22+Sept10!F22+Oct10!F22+Nov10!F22+Dec10!F22+Jan11!F22+Feb11!F22+Mar11!F22</f>
        <v>46297.84</v>
      </c>
      <c r="G22" s="92">
        <f>April10!G22+May10!G22+June10!G22+July10!G22+Aug10!G22+Sept10!G22+Oct10!G22+Nov10!G22+Dec10!G22+Jan11!G22+Feb11!G22+Mar11!G22</f>
        <v>-77388.45999999999</v>
      </c>
      <c r="H22" s="83">
        <f>April10!H22+May10!H22+June10!H22+July10!H22+Aug10!H22+Sept10!H22+Oct10!H22+Nov10!H22+Dec10!H22+Jan11!H22+Feb11!H22+Mar11!H22</f>
        <v>2757543.46</v>
      </c>
      <c r="I22" s="83"/>
      <c r="J22" s="83"/>
      <c r="K22" s="83">
        <f t="shared" si="0"/>
        <v>123686.29999999999</v>
      </c>
      <c r="L22" s="37">
        <v>10055</v>
      </c>
      <c r="M22" s="40"/>
    </row>
    <row r="23" spans="1:13" ht="16.5" thickBot="1">
      <c r="A23" s="37">
        <v>2016</v>
      </c>
      <c r="B23" s="37">
        <v>10056</v>
      </c>
      <c r="C23" s="47">
        <v>938080</v>
      </c>
      <c r="D23" s="58" t="s">
        <v>34</v>
      </c>
      <c r="E23" s="45"/>
      <c r="F23" s="83">
        <f>April10!F23+May10!F23+June10!F23+July10!F23+Aug10!F23+Sept10!F23+Oct10!F23+Nov10!F23+Dec10!F23+Jan11!F23+Feb11!F23+Mar11!F23</f>
        <v>40590.72</v>
      </c>
      <c r="G23" s="92">
        <f>April10!G23+May10!G23+June10!G23+July10!G23+Aug10!G23+Sept10!G23+Oct10!G23+Nov10!G23+Dec10!G23+Jan11!G23+Feb11!G23+Mar11!G23</f>
        <v>112175.02</v>
      </c>
      <c r="H23" s="83">
        <f>April10!H23+May10!H23+June10!H23+July10!H23+Aug10!H23+Sept10!H23+Oct10!H23+Nov10!H23+Dec10!H23+Jan11!H23+Feb11!H23+Mar11!H23</f>
        <v>979762.85</v>
      </c>
      <c r="I23" s="83"/>
      <c r="J23" s="83"/>
      <c r="K23" s="83">
        <f t="shared" si="0"/>
        <v>-71584.3</v>
      </c>
      <c r="L23" s="37">
        <v>10056</v>
      </c>
      <c r="M23" s="40"/>
    </row>
    <row r="24" spans="1:13" ht="16.5" thickBot="1">
      <c r="A24" s="37">
        <v>2017</v>
      </c>
      <c r="B24" s="37">
        <v>10057</v>
      </c>
      <c r="C24" s="47">
        <v>938085</v>
      </c>
      <c r="D24" s="58" t="s">
        <v>35</v>
      </c>
      <c r="E24" s="45"/>
      <c r="F24" s="83">
        <f>April10!F24+May10!F24+June10!F24+July10!F24+Aug10!F24+Sept10!F24+Oct10!F24+Nov10!F24+Dec10!F24+Jan11!F24+Feb11!F24+Mar11!F24</f>
        <v>27478.249999999996</v>
      </c>
      <c r="G24" s="92">
        <f>April10!G24+May10!G24+June10!G24+July10!G24+Aug10!G24+Sept10!G24+Oct10!G24+Nov10!G24+Dec10!G24+Jan11!G24+Feb11!G24+Mar11!G24</f>
        <v>-49398.47</v>
      </c>
      <c r="H24" s="83">
        <f>April10!H24+May10!H24+June10!H24+July10!H24+Aug10!H24+Sept10!H24+Oct10!H24+Nov10!H24+Dec10!H24+Jan11!H24+Feb11!H24+Mar11!H24</f>
        <v>1175377.14</v>
      </c>
      <c r="I24" s="83"/>
      <c r="J24" s="83"/>
      <c r="K24" s="83">
        <f t="shared" si="0"/>
        <v>76876.72</v>
      </c>
      <c r="L24" s="37">
        <v>10057</v>
      </c>
      <c r="M24" s="40"/>
    </row>
    <row r="25" spans="1:13" ht="16.5" thickBot="1">
      <c r="A25" s="37">
        <v>2073</v>
      </c>
      <c r="B25" s="37">
        <v>10083</v>
      </c>
      <c r="C25" s="47">
        <v>938255</v>
      </c>
      <c r="D25" s="58" t="s">
        <v>36</v>
      </c>
      <c r="E25" s="45"/>
      <c r="F25" s="83">
        <f>April10!F25+May10!F25+June10!F25+July10!F25+Aug10!F25+Sept10!F25+Oct10!F25+Nov10!F25+Dec10!F25+Jan11!F25+Feb11!F25+Mar11!F25</f>
        <v>56185.960000000014</v>
      </c>
      <c r="G25" s="92">
        <f>April10!G25+May10!G25+June10!G25+July10!G25+Aug10!G25+Sept10!G25+Oct10!G25+Nov10!G25+Dec10!G25+Jan11!G25+Feb11!G25+Mar11!G25</f>
        <v>-213978.85000000003</v>
      </c>
      <c r="H25" s="83">
        <f>April10!H25+May10!H25+June10!H25+July10!H25+Aug10!H25+Sept10!H25+Oct10!H25+Nov10!H25+Dec10!H25+Jan11!H25+Feb11!H25+Mar11!H25</f>
        <v>2605377.6</v>
      </c>
      <c r="I25" s="83"/>
      <c r="J25" s="83"/>
      <c r="K25" s="83">
        <f t="shared" si="0"/>
        <v>270164.81000000006</v>
      </c>
      <c r="L25" s="37">
        <v>10083</v>
      </c>
      <c r="M25" s="40"/>
    </row>
    <row r="26" spans="1:13" ht="16.5" thickBot="1">
      <c r="A26" s="37">
        <v>2019</v>
      </c>
      <c r="B26" s="37">
        <v>10059</v>
      </c>
      <c r="C26" s="47">
        <v>938095</v>
      </c>
      <c r="D26" s="58" t="s">
        <v>38</v>
      </c>
      <c r="E26" s="45"/>
      <c r="F26" s="83">
        <f>April10!F26+May10!F26+June10!F26+July10!F26+Aug10!F26+Sept10!F26+Oct10!F26+Nov10!F26+Dec10!F26+Jan11!F26+Feb11!F26+Mar11!F26</f>
        <v>68848.67</v>
      </c>
      <c r="G26" s="92">
        <f>April10!G26+May10!G26+June10!G26+July10!G26+Aug10!G26+Sept10!G26+Oct10!G26+Nov10!G26+Dec10!G26+Jan11!G26+Feb11!G26+Mar11!G26</f>
        <v>81920.45000000001</v>
      </c>
      <c r="H26" s="83">
        <f>April10!H26+May10!H26+June10!H26+July10!H26+Aug10!H26+Sept10!H26+Oct10!H26+Nov10!H26+Dec10!H26+Jan11!H26+Feb11!H26+Mar11!H26</f>
        <v>1349879.64</v>
      </c>
      <c r="I26" s="83"/>
      <c r="J26" s="83"/>
      <c r="K26" s="83">
        <f t="shared" si="0"/>
        <v>-13071.780000000013</v>
      </c>
      <c r="L26" s="37">
        <v>10059</v>
      </c>
      <c r="M26" s="40"/>
    </row>
    <row r="27" spans="1:13" ht="16.5" thickBot="1">
      <c r="A27" s="37">
        <v>2018</v>
      </c>
      <c r="B27" s="37">
        <v>10058</v>
      </c>
      <c r="C27" s="47">
        <v>938090</v>
      </c>
      <c r="D27" s="58" t="s">
        <v>37</v>
      </c>
      <c r="E27" s="45"/>
      <c r="F27" s="83">
        <f>April10!F27+May10!F27+June10!F27+July10!F27+Aug10!F27+Sept10!F27+Oct10!F27+Nov10!F27+Dec10!F27+Jan11!F27+Feb11!F27+Mar11!F27</f>
        <v>38267.57000000001</v>
      </c>
      <c r="G27" s="92">
        <f>April10!G27+May10!G27+June10!G27+July10!G27+Aug10!G27+Sept10!G27+Oct10!G27+Nov10!G27+Dec10!G27+Jan11!G27+Feb11!G27+Mar11!G27</f>
        <v>94638.14000000001</v>
      </c>
      <c r="H27" s="83">
        <f>April10!H27+May10!H27+June10!H27+July10!H27+Aug10!H27+Sept10!H27+Oct10!H27+Nov10!H27+Dec10!H27+Jan11!H27+Feb11!H27+Mar11!H27</f>
        <v>1972485.7999999998</v>
      </c>
      <c r="I27" s="83"/>
      <c r="J27" s="83"/>
      <c r="K27" s="83">
        <f t="shared" si="0"/>
        <v>-56370.57000000001</v>
      </c>
      <c r="L27" s="37">
        <v>10058</v>
      </c>
      <c r="M27" s="40"/>
    </row>
    <row r="28" spans="1:13" ht="16.5" thickBot="1">
      <c r="A28" s="37">
        <v>2021</v>
      </c>
      <c r="B28" s="37">
        <v>10061</v>
      </c>
      <c r="C28" s="47">
        <v>938100</v>
      </c>
      <c r="D28" s="58" t="s">
        <v>40</v>
      </c>
      <c r="E28" s="45"/>
      <c r="F28" s="83">
        <f>April10!F28+May10!F28+June10!F28+July10!F28+Aug10!F28+Sept10!F28+Oct10!F28+Nov10!F28+Dec10!F28+Jan11!F28+Feb11!F28+Mar11!F28</f>
        <v>34295.67</v>
      </c>
      <c r="G28" s="92">
        <f>April10!G28+May10!G28+June10!G28+July10!G28+Aug10!G28+Sept10!G28+Oct10!G28+Nov10!G28+Dec10!G28+Jan11!G28+Feb11!G28+Mar11!G28</f>
        <v>-47765.06000000001</v>
      </c>
      <c r="H28" s="83">
        <f>April10!H28+May10!H28+June10!H28+July10!H28+Aug10!H28+Sept10!H28+Oct10!H28+Nov10!H28+Dec10!H28+Jan11!H28+Feb11!H28+Mar11!H28</f>
        <v>1566980.44</v>
      </c>
      <c r="I28" s="83"/>
      <c r="J28" s="83"/>
      <c r="K28" s="83">
        <f t="shared" si="0"/>
        <v>82060.73000000001</v>
      </c>
      <c r="L28" s="37">
        <v>10061</v>
      </c>
      <c r="M28" s="40"/>
    </row>
    <row r="29" spans="1:13" ht="16.5" thickBot="1">
      <c r="A29" s="37">
        <v>5200</v>
      </c>
      <c r="B29" s="37">
        <v>10060</v>
      </c>
      <c r="C29" s="47">
        <v>938490</v>
      </c>
      <c r="D29" s="58" t="s">
        <v>39</v>
      </c>
      <c r="E29" s="45"/>
      <c r="F29" s="83">
        <f>April10!F29+May10!F29+June10!F29+July10!F29+Aug10!F29+Sept10!F29+Oct10!F29+Nov10!F29+Dec10!F29+Jan11!F29+Feb11!F29+Mar11!F29</f>
        <v>71587.86000000002</v>
      </c>
      <c r="G29" s="92">
        <f>April10!G29+May10!G29+June10!G29+July10!G29+Aug10!G29+Sept10!G29+Oct10!G29+Nov10!G29+Dec10!G29+Jan11!G29+Feb11!G29+Mar11!G29</f>
        <v>89759.27000000002</v>
      </c>
      <c r="H29" s="83">
        <f>April10!H29+May10!H29+June10!H29+July10!H29+Aug10!H29+Sept10!H29+Oct10!H29+Nov10!H29+Dec10!H29+Jan11!H29+Feb11!H29+Mar11!H29</f>
        <v>625287.22</v>
      </c>
      <c r="I29" s="83"/>
      <c r="J29" s="83"/>
      <c r="K29" s="83">
        <f t="shared" si="0"/>
        <v>-18171.410000000003</v>
      </c>
      <c r="L29" s="37">
        <v>10060</v>
      </c>
      <c r="M29" s="40"/>
    </row>
    <row r="30" spans="1:13" ht="16.5" thickBot="1">
      <c r="A30" s="37">
        <v>2023</v>
      </c>
      <c r="B30" s="37">
        <v>10063</v>
      </c>
      <c r="C30" s="47">
        <v>938110</v>
      </c>
      <c r="D30" s="58" t="s">
        <v>42</v>
      </c>
      <c r="E30" s="45"/>
      <c r="F30" s="83">
        <f>April10!F30+May10!F30+June10!F30+July10!F30+Aug10!F30+Sept10!F30+Oct10!F30+Nov10!F30+Dec10!F30+Jan11!F30+Feb11!F30+Mar11!F30</f>
        <v>36281.78</v>
      </c>
      <c r="G30" s="92">
        <f>April10!G30+May10!G30+June10!G30+July10!G30+Aug10!G30+Sept10!G30+Oct10!G30+Nov10!G30+Dec10!G30+Jan11!G30+Feb11!G30+Mar11!G30</f>
        <v>-106340.96</v>
      </c>
      <c r="H30" s="83">
        <f>April10!H30+May10!H30+June10!H30+July10!H30+Aug10!H30+Sept10!H30+Oct10!H30+Nov10!H30+Dec10!H30+Jan11!H30+Feb11!H30+Mar11!H30</f>
        <v>2549280.93</v>
      </c>
      <c r="I30" s="83"/>
      <c r="J30" s="83"/>
      <c r="K30" s="83">
        <f t="shared" si="0"/>
        <v>142622.74</v>
      </c>
      <c r="L30" s="37">
        <v>10063</v>
      </c>
      <c r="M30" s="40"/>
    </row>
    <row r="31" spans="1:13" ht="16.5" thickBot="1">
      <c r="A31" s="37">
        <v>2022</v>
      </c>
      <c r="B31" s="37">
        <v>10062</v>
      </c>
      <c r="C31" s="47">
        <v>938105</v>
      </c>
      <c r="D31" s="58" t="s">
        <v>41</v>
      </c>
      <c r="E31" s="45"/>
      <c r="F31" s="83">
        <f>April10!F31+May10!F31+June10!F31+July10!F31+Aug10!F31+Sept10!F31+Oct10!F31+Nov10!F31+Dec10!F31+Jan11!F31+Feb11!F31+Mar11!F31</f>
        <v>32385.67</v>
      </c>
      <c r="G31" s="92">
        <f>April10!G31+May10!G31+June10!G31+July10!G31+Aug10!G31+Sept10!G31+Oct10!G31+Nov10!G31+Dec10!G31+Jan11!G31+Feb11!G31+Mar11!G31</f>
        <v>-4286.969999999983</v>
      </c>
      <c r="H31" s="83">
        <f>April10!H31+May10!H31+June10!H31+July10!H31+Aug10!H31+Sept10!H31+Oct10!H31+Nov10!H31+Dec10!H31+Jan11!H31+Feb11!H31+Mar11!H31</f>
        <v>1925464.32</v>
      </c>
      <c r="I31" s="83"/>
      <c r="J31" s="83"/>
      <c r="K31" s="83">
        <f t="shared" si="0"/>
        <v>36672.639999999985</v>
      </c>
      <c r="L31" s="37">
        <v>10062</v>
      </c>
      <c r="M31" s="40"/>
    </row>
    <row r="32" spans="1:13" ht="16.5" thickBot="1">
      <c r="A32" s="37">
        <v>3524</v>
      </c>
      <c r="B32" s="37">
        <v>11278</v>
      </c>
      <c r="C32" s="47">
        <v>938590</v>
      </c>
      <c r="D32" s="58" t="s">
        <v>396</v>
      </c>
      <c r="E32" s="39"/>
      <c r="F32" s="83">
        <f>April10!F32+May10!F32+June10!F32+July10!F32+Aug10!F32+Sept10!F32+Oct10!F32+Nov10!F32+Dec10!F32+Jan11!F32+Feb11!F32+Mar11!F32</f>
        <v>986.8</v>
      </c>
      <c r="G32" s="92">
        <f>April10!G32+May10!G32+June10!G32+July10!G32+Aug10!G32+Sept10!G32+Oct10!G32+Nov10!G32+Dec10!G32+Jan11!G32+Feb11!G32+Mar11!G32</f>
        <v>-20018.36</v>
      </c>
      <c r="H32" s="83">
        <f>April10!H32+May10!H32+June10!H32+July10!H32+Aug10!H32+Sept10!H32+Oct10!H32+Nov10!H32+Dec10!H32+Jan11!H32+Feb11!H32+Mar11!H32</f>
        <v>21005.16</v>
      </c>
      <c r="I32" s="83"/>
      <c r="J32" s="83"/>
      <c r="K32" s="83">
        <f>F32-G32</f>
        <v>21005.16</v>
      </c>
      <c r="L32" s="37">
        <v>11278</v>
      </c>
      <c r="M32" s="40"/>
    </row>
    <row r="33" spans="1:13" ht="16.5" thickBot="1">
      <c r="A33" s="37">
        <v>2024</v>
      </c>
      <c r="B33" s="37">
        <v>10064</v>
      </c>
      <c r="C33" s="47">
        <v>938115</v>
      </c>
      <c r="D33" s="58" t="s">
        <v>43</v>
      </c>
      <c r="E33" s="45"/>
      <c r="F33" s="83">
        <f>April10!F33+May10!F33+June10!F33+July10!F33+Aug10!F33+Sept10!F33+Oct10!F33+Nov10!F33+Dec10!F33+Jan11!F33+Feb11!F33+Mar11!F33</f>
        <v>24602.989999999998</v>
      </c>
      <c r="G33" s="92">
        <f>April10!G33+May10!G33+June10!G33+July10!G33+Aug10!G33+Sept10!G33+Oct10!G33+Nov10!G33+Dec10!G33+Jan11!G33+Feb11!G33+Mar11!G33</f>
        <v>-24836.590000000004</v>
      </c>
      <c r="H33" s="83">
        <f>April10!H33+May10!H33+June10!H33+July10!H33+Aug10!H33+Sept10!H33+Oct10!H33+Nov10!H33+Dec10!H33+Jan11!H33+Feb11!H33+Mar11!H33</f>
        <v>2435143.3599999994</v>
      </c>
      <c r="I33" s="83"/>
      <c r="J33" s="83"/>
      <c r="K33" s="83">
        <f t="shared" si="0"/>
        <v>49439.58</v>
      </c>
      <c r="L33" s="37">
        <v>10064</v>
      </c>
      <c r="M33" s="40"/>
    </row>
    <row r="34" spans="1:13" ht="16.5" thickBot="1">
      <c r="A34" s="37">
        <v>2025</v>
      </c>
      <c r="B34" s="37">
        <v>10065</v>
      </c>
      <c r="C34" s="47">
        <v>938120</v>
      </c>
      <c r="D34" s="58" t="s">
        <v>44</v>
      </c>
      <c r="E34" s="45"/>
      <c r="F34" s="83">
        <f>April10!F34+May10!F34+June10!F34+July10!F34+Aug10!F34+Sept10!F34+Oct10!F34+Nov10!F34+Dec10!F34+Jan11!F34+Feb11!F34+Mar11!F34</f>
        <v>24735.98</v>
      </c>
      <c r="G34" s="92">
        <f>April10!G34+May10!G34+June10!G34+July10!G34+Aug10!G34+Sept10!G34+Oct10!G34+Nov10!G34+Dec10!G34+Jan11!G34+Feb11!G34+Mar11!G34</f>
        <v>-60463.05</v>
      </c>
      <c r="H34" s="83">
        <f>April10!H34+May10!H34+June10!H34+July10!H34+Aug10!H34+Sept10!H34+Oct10!H34+Nov10!H34+Dec10!H34+Jan11!H34+Feb11!H34+Mar11!H34</f>
        <v>1731174.7799999998</v>
      </c>
      <c r="I34" s="83"/>
      <c r="J34" s="83"/>
      <c r="K34" s="83">
        <f t="shared" si="0"/>
        <v>85199.03</v>
      </c>
      <c r="L34" s="37">
        <v>10065</v>
      </c>
      <c r="M34" s="40"/>
    </row>
    <row r="35" spans="1:13" ht="16.5" thickBot="1">
      <c r="A35" s="37">
        <v>2026</v>
      </c>
      <c r="B35" s="37">
        <v>10066</v>
      </c>
      <c r="C35" s="47">
        <v>938125</v>
      </c>
      <c r="D35" s="58" t="s">
        <v>45</v>
      </c>
      <c r="E35" s="45"/>
      <c r="F35" s="83">
        <f>April10!F35+May10!F35+June10!F35+July10!F35+Aug10!F35+Sept10!F35+Oct10!F35+Nov10!F35+Dec10!F35+Jan11!F35+Feb11!F35+Mar11!F35</f>
        <v>55637.619999999995</v>
      </c>
      <c r="G35" s="92">
        <f>April10!G35+May10!G35+June10!G35+July10!G35+Aug10!G35+Sept10!G35+Oct10!G35+Nov10!G35+Dec10!G35+Jan11!G35+Feb11!G35+Mar11!G35</f>
        <v>-13061.540000000026</v>
      </c>
      <c r="H35" s="83">
        <f>April10!H35+May10!H35+June10!H35+July10!H35+Aug10!H35+Sept10!H35+Oct10!H35+Nov10!H35+Dec10!H35+Jan11!H35+Feb11!H35+Mar11!H35</f>
        <v>2650893.34</v>
      </c>
      <c r="I35" s="83"/>
      <c r="J35" s="83"/>
      <c r="K35" s="83">
        <f t="shared" si="0"/>
        <v>68699.16000000002</v>
      </c>
      <c r="L35" s="37">
        <v>10066</v>
      </c>
      <c r="M35" s="40"/>
    </row>
    <row r="36" spans="1:13" ht="16.5" thickBot="1">
      <c r="A36" s="37">
        <v>2028</v>
      </c>
      <c r="B36" s="37">
        <v>10068</v>
      </c>
      <c r="C36" s="47">
        <v>938135</v>
      </c>
      <c r="D36" s="58" t="s">
        <v>47</v>
      </c>
      <c r="E36" s="45"/>
      <c r="F36" s="83">
        <f>April10!F36+May10!F36+June10!F36+July10!F36+Aug10!F36+Sept10!F36+Oct10!F36+Nov10!F36+Dec10!F36+Jan11!F36+Feb11!F36+Mar11!F36</f>
        <v>43062.21000000001</v>
      </c>
      <c r="G36" s="92">
        <f>April10!G36+May10!G36+June10!G36+July10!G36+Aug10!G36+Sept10!G36+Oct10!G36+Nov10!G36+Dec10!G36+Jan11!G36+Feb11!G36+Mar11!G36</f>
        <v>114702.01</v>
      </c>
      <c r="H36" s="83">
        <f>April10!H36+May10!H36+June10!H36+July10!H36+Aug10!H36+Sept10!H36+Oct10!H36+Nov10!H36+Dec10!H36+Jan11!H36+Feb11!H36+Mar11!H36</f>
        <v>970859.1</v>
      </c>
      <c r="I36" s="83"/>
      <c r="J36" s="83"/>
      <c r="K36" s="83">
        <f t="shared" si="0"/>
        <v>-71639.79999999999</v>
      </c>
      <c r="L36" s="37">
        <v>10068</v>
      </c>
      <c r="M36" s="40"/>
    </row>
    <row r="37" spans="1:13" ht="16.5" thickBot="1">
      <c r="A37" s="37">
        <v>2027</v>
      </c>
      <c r="B37" s="37">
        <v>10067</v>
      </c>
      <c r="C37" s="47">
        <v>938130</v>
      </c>
      <c r="D37" s="58" t="s">
        <v>46</v>
      </c>
      <c r="E37" s="45"/>
      <c r="F37" s="83">
        <f>April10!F37+May10!F37+June10!F37+July10!F37+Aug10!F37+Sept10!F37+Oct10!F37+Nov10!F37+Dec10!F37+Jan11!F37+Feb11!F37+Mar11!F37</f>
        <v>55750.28999999999</v>
      </c>
      <c r="G37" s="92">
        <f>April10!G37+May10!G37+June10!G37+July10!G37+Aug10!G37+Sept10!G37+Oct10!G37+Nov10!G37+Dec10!G37+Jan11!G37+Feb11!G37+Mar11!G37</f>
        <v>-46305.62000000001</v>
      </c>
      <c r="H37" s="83">
        <f>April10!H37+May10!H37+June10!H37+July10!H37+Aug10!H37+Sept10!H37+Oct10!H37+Nov10!H37+Dec10!H37+Jan11!H37+Feb11!H37+Mar11!H37</f>
        <v>1570560.4000000001</v>
      </c>
      <c r="I37" s="83"/>
      <c r="J37" s="83"/>
      <c r="K37" s="83">
        <f t="shared" si="0"/>
        <v>102055.91</v>
      </c>
      <c r="L37" s="37">
        <v>10067</v>
      </c>
      <c r="M37" s="40"/>
    </row>
    <row r="38" spans="1:13" ht="16.5" thickBot="1">
      <c r="A38" s="37">
        <v>2029</v>
      </c>
      <c r="B38" s="37">
        <v>10069</v>
      </c>
      <c r="C38" s="47">
        <v>938140</v>
      </c>
      <c r="D38" s="58" t="s">
        <v>48</v>
      </c>
      <c r="E38" s="45"/>
      <c r="F38" s="83">
        <f>April10!F38+May10!F38+June10!F38+July10!F38+Aug10!F38+Sept10!F38+Oct10!F38+Nov10!F38+Dec10!F38+Jan11!F38+Feb11!F38+Mar11!F38</f>
        <v>62739.31999999999</v>
      </c>
      <c r="G38" s="92">
        <f>April10!G38+May10!G38+June10!G38+July10!G38+Aug10!G38+Sept10!G38+Oct10!G38+Nov10!G38+Dec10!G38+Jan11!G38+Feb11!G38+Mar11!G38</f>
        <v>30918.02999999994</v>
      </c>
      <c r="H38" s="83">
        <f>April10!H38+May10!H38+June10!H38+July10!H38+Aug10!H38+Sept10!H38+Oct10!H38+Nov10!H38+Dec10!H38+Jan11!H38+Feb11!H38+Mar11!H38</f>
        <v>2231458.66</v>
      </c>
      <c r="I38" s="83"/>
      <c r="J38" s="83"/>
      <c r="K38" s="83">
        <f t="shared" si="0"/>
        <v>31821.29000000005</v>
      </c>
      <c r="L38" s="37">
        <v>10069</v>
      </c>
      <c r="M38" s="40"/>
    </row>
    <row r="39" spans="1:13" ht="16.5" thickBot="1">
      <c r="A39" s="37">
        <v>2030</v>
      </c>
      <c r="B39" s="37">
        <v>10070</v>
      </c>
      <c r="C39" s="47">
        <v>938145</v>
      </c>
      <c r="D39" s="58" t="s">
        <v>50</v>
      </c>
      <c r="E39" s="45"/>
      <c r="F39" s="83">
        <f>April10!F39+May10!F39+June10!F39+July10!F39+Aug10!F39+Sept10!F39+Oct10!F39+Nov10!F39+Dec10!F39+Jan11!F39+Feb11!F39+Mar11!F39</f>
        <v>3722.06</v>
      </c>
      <c r="G39" s="92">
        <f>April10!G39+May10!G39+June10!G39+July10!G39+Aug10!G39+Sept10!G39+Oct10!G39+Nov10!G39+Dec10!G39+Jan11!G39+Feb11!G39+Mar11!G39</f>
        <v>-48433.09</v>
      </c>
      <c r="H39" s="83">
        <f>April10!H39+May10!H39+June10!H39+July10!H39+Aug10!H39+Sept10!H39+Oct10!H39+Nov10!H39+Dec10!H39+Jan11!H39+Feb11!H39+Mar11!H39</f>
        <v>998776.24</v>
      </c>
      <c r="I39" s="83"/>
      <c r="J39" s="83"/>
      <c r="K39" s="83">
        <f t="shared" si="0"/>
        <v>52155.149999999994</v>
      </c>
      <c r="L39" s="37">
        <v>10070</v>
      </c>
      <c r="M39" s="40"/>
    </row>
    <row r="40" spans="1:13" ht="16.5" thickBot="1">
      <c r="A40" s="37">
        <v>3516</v>
      </c>
      <c r="B40" s="37">
        <v>10121</v>
      </c>
      <c r="C40" s="47">
        <v>938425</v>
      </c>
      <c r="D40" s="58" t="s">
        <v>51</v>
      </c>
      <c r="E40" s="45"/>
      <c r="F40" s="83">
        <f>April10!F40+May10!F40+June10!F40+July10!F40+Aug10!F40+Sept10!F40+Oct10!F40+Nov10!F40+Dec10!F40+Jan11!F40+Feb11!F40+Mar11!F40</f>
        <v>20442.99</v>
      </c>
      <c r="G40" s="92">
        <f>April10!G40+May10!G40+June10!G40+July10!G40+Aug10!G40+Sept10!G40+Oct10!G40+Nov10!G40+Dec10!G40+Jan11!G40+Feb11!G40+Mar11!G40</f>
        <v>6282.540000000003</v>
      </c>
      <c r="H40" s="83">
        <f>April10!H40+May10!H40+June10!H40+July10!H40+Aug10!H40+Sept10!H40+Oct10!H40+Nov10!H40+Dec10!H40+Jan11!H40+Feb11!H40+Mar11!H40</f>
        <v>91543.87999999999</v>
      </c>
      <c r="I40" s="83"/>
      <c r="J40" s="83"/>
      <c r="K40" s="83">
        <f t="shared" si="0"/>
        <v>14160.449999999999</v>
      </c>
      <c r="L40" s="37">
        <v>10121</v>
      </c>
      <c r="M40" s="40"/>
    </row>
    <row r="41" spans="1:13" ht="16.5" thickBot="1">
      <c r="A41" s="37">
        <v>2031</v>
      </c>
      <c r="B41" s="37">
        <v>10071</v>
      </c>
      <c r="C41" s="47">
        <v>938150</v>
      </c>
      <c r="D41" s="58" t="s">
        <v>52</v>
      </c>
      <c r="E41" s="45"/>
      <c r="F41" s="83">
        <f>April10!F41+May10!F41+June10!F41+July10!F41+Aug10!F41+Sept10!F41+Oct10!F41+Nov10!F41+Dec10!F41+Jan11!F41+Feb11!F41+Mar11!F41</f>
        <v>37571.270000000004</v>
      </c>
      <c r="G41" s="92">
        <f>April10!G41+May10!G41+June10!G41+July10!G41+Aug10!G41+Sept10!G41+Oct10!G41+Nov10!G41+Dec10!G41+Jan11!G41+Feb11!G41+Mar11!G41</f>
        <v>20379.480000000003</v>
      </c>
      <c r="H41" s="83">
        <f>April10!H41+May10!H41+June10!H41+July10!H41+Aug10!H41+Sept10!H41+Oct10!H41+Nov10!H41+Dec10!H41+Jan11!H41+Feb11!H41+Mar11!H41</f>
        <v>911435.1200000001</v>
      </c>
      <c r="I41" s="83"/>
      <c r="J41" s="83"/>
      <c r="K41" s="83">
        <f t="shared" si="0"/>
        <v>17191.79</v>
      </c>
      <c r="L41" s="37">
        <v>10071</v>
      </c>
      <c r="M41" s="40"/>
    </row>
    <row r="42" spans="1:13" ht="16.5" thickBot="1">
      <c r="A42" s="37">
        <v>2032</v>
      </c>
      <c r="B42" s="37">
        <v>10072</v>
      </c>
      <c r="C42" s="47">
        <v>938155</v>
      </c>
      <c r="D42" s="58" t="s">
        <v>53</v>
      </c>
      <c r="E42" s="45"/>
      <c r="F42" s="83">
        <f>April10!F42+May10!F42+June10!F42+July10!F42+Aug10!F42+Sept10!F42+Oct10!F42+Nov10!F42+Dec10!F42+Jan11!F42+Feb11!F42+Mar11!F42</f>
        <v>51543.67999999999</v>
      </c>
      <c r="G42" s="92">
        <f>April10!G42+May10!G42+June10!G42+July10!G42+Aug10!G42+Sept10!G42+Oct10!G42+Nov10!G42+Dec10!G42+Jan11!G42+Feb11!G42+Mar11!G42</f>
        <v>-13411.87999999999</v>
      </c>
      <c r="H42" s="83">
        <f>April10!H42+May10!H42+June10!H42+July10!H42+Aug10!H42+Sept10!H42+Oct10!H42+Nov10!H42+Dec10!H42+Jan11!H42+Feb11!H42+Mar11!H42</f>
        <v>1016827.1300000001</v>
      </c>
      <c r="I42" s="83"/>
      <c r="J42" s="83"/>
      <c r="K42" s="83">
        <f t="shared" si="0"/>
        <v>64955.55999999998</v>
      </c>
      <c r="L42" s="37">
        <v>10072</v>
      </c>
      <c r="M42" s="40"/>
    </row>
    <row r="43" spans="1:13" ht="16.5" thickBot="1">
      <c r="A43" s="37">
        <v>3304</v>
      </c>
      <c r="B43" s="37">
        <v>10073</v>
      </c>
      <c r="C43" s="47">
        <v>938290</v>
      </c>
      <c r="D43" s="58" t="s">
        <v>54</v>
      </c>
      <c r="E43" s="45"/>
      <c r="F43" s="83">
        <f>April10!F43+May10!F43+June10!F43+July10!F43+Aug10!F43+Sept10!F43+Oct10!F43+Nov10!F43+Dec10!F43+Jan11!F43+Feb11!F43+Mar11!F43</f>
        <v>23359.12</v>
      </c>
      <c r="G43" s="92">
        <f>April10!G43+May10!G43+June10!G43+July10!G43+Aug10!G43+Sept10!G43+Oct10!G43+Nov10!G43+Dec10!G43+Jan11!G43+Feb11!G43+Mar11!G43</f>
        <v>-59587.17999999999</v>
      </c>
      <c r="H43" s="83">
        <f>April10!H43+May10!H43+June10!H43+July10!H43+Aug10!H43+Sept10!H43+Oct10!H43+Nov10!H43+Dec10!H43+Jan11!H43+Feb11!H43+Mar11!H43</f>
        <v>881666.0100000001</v>
      </c>
      <c r="I43" s="83"/>
      <c r="J43" s="83"/>
      <c r="K43" s="83">
        <f t="shared" si="0"/>
        <v>82946.29999999999</v>
      </c>
      <c r="L43" s="37">
        <v>10073</v>
      </c>
      <c r="M43" s="40"/>
    </row>
    <row r="44" spans="1:13" ht="16.5" thickBot="1">
      <c r="A44" s="37">
        <v>2074</v>
      </c>
      <c r="B44" s="37">
        <v>10122</v>
      </c>
      <c r="C44" s="47">
        <v>938260</v>
      </c>
      <c r="D44" s="58" t="s">
        <v>55</v>
      </c>
      <c r="E44" s="45"/>
      <c r="F44" s="83">
        <f>April10!F44+May10!F44+June10!F44+July10!F44+Aug10!F44+Sept10!F44+Oct10!F44+Nov10!F44+Dec10!F44+Jan11!F44+Feb11!F44+Mar11!F44</f>
        <v>68018.52</v>
      </c>
      <c r="G44" s="92">
        <f>April10!G44+May10!G44+June10!G44+July10!G44+Aug10!G44+Sept10!G44+Oct10!G44+Nov10!G44+Dec10!G44+Jan11!G44+Feb11!G44+Mar11!G44</f>
        <v>-54999.73</v>
      </c>
      <c r="H44" s="83">
        <f>April10!H44+May10!H44+June10!H44+July10!H44+Aug10!H44+Sept10!H44+Oct10!H44+Nov10!H44+Dec10!H44+Jan11!H44+Feb11!H44+Mar11!H44</f>
        <v>3037688.75</v>
      </c>
      <c r="I44" s="83"/>
      <c r="J44" s="83"/>
      <c r="K44" s="83">
        <f t="shared" si="0"/>
        <v>123018.25</v>
      </c>
      <c r="L44" s="37">
        <v>10122</v>
      </c>
      <c r="M44" s="40"/>
    </row>
    <row r="45" spans="1:13" ht="16.5" thickBot="1">
      <c r="A45" s="37">
        <v>3515</v>
      </c>
      <c r="B45" s="37">
        <v>10106</v>
      </c>
      <c r="C45" s="47">
        <v>938420</v>
      </c>
      <c r="D45" s="58" t="s">
        <v>56</v>
      </c>
      <c r="E45" s="45"/>
      <c r="F45" s="83">
        <f>April10!F45+May10!F45+June10!F45+July10!F45+Aug10!F45+Sept10!F45+Oct10!F45+Nov10!F45+Dec10!F45+Jan11!F45+Feb11!F45+Mar11!F45</f>
        <v>18611.72</v>
      </c>
      <c r="G45" s="92">
        <f>April10!G45+May10!G45+June10!G45+July10!G45+Aug10!G45+Sept10!G45+Oct10!G45+Nov10!G45+Dec10!G45+Jan11!G45+Feb11!G45+Mar11!G45</f>
        <v>-26973.73000000001</v>
      </c>
      <c r="H45" s="83">
        <f>April10!H45+May10!H45+June10!H45+July10!H45+Aug10!H45+Sept10!H45+Oct10!H45+Nov10!H45+Dec10!H45+Jan11!H45+Feb11!H45+Mar11!H45</f>
        <v>375498.12999999995</v>
      </c>
      <c r="I45" s="83"/>
      <c r="J45" s="83"/>
      <c r="K45" s="83">
        <f t="shared" si="0"/>
        <v>45585.45000000001</v>
      </c>
      <c r="L45" s="37">
        <v>10106</v>
      </c>
      <c r="M45" s="40"/>
    </row>
    <row r="46" spans="1:13" ht="16.5" thickBot="1">
      <c r="A46" s="37">
        <v>2036</v>
      </c>
      <c r="B46" s="37">
        <v>10074</v>
      </c>
      <c r="C46" s="47">
        <v>938160</v>
      </c>
      <c r="D46" s="58" t="s">
        <v>57</v>
      </c>
      <c r="E46" s="45"/>
      <c r="F46" s="83">
        <f>April10!F46+May10!F46+June10!F46+July10!F46+Aug10!F46+Sept10!F46+Oct10!F46+Nov10!F46+Dec10!F46+Jan11!F46+Feb11!F46+Mar11!F46</f>
        <v>48719.62</v>
      </c>
      <c r="G46" s="92">
        <f>April10!G46+May10!G46+June10!G46+July10!G46+Aug10!G46+Sept10!G46+Oct10!G46+Nov10!G46+Dec10!G46+Jan11!G46+Feb11!G46+Mar11!G46</f>
        <v>188453.16999999998</v>
      </c>
      <c r="H46" s="83">
        <f>April10!H46+May10!H46+June10!H46+July10!H46+Aug10!H46+Sept10!H46+Oct10!H46+Nov10!H46+Dec10!H46+Jan11!H46+Feb11!H46+Mar11!H46</f>
        <v>2132209.9299999997</v>
      </c>
      <c r="I46" s="83"/>
      <c r="J46" s="83"/>
      <c r="K46" s="83">
        <f t="shared" si="0"/>
        <v>-139733.55</v>
      </c>
      <c r="L46" s="37">
        <v>10074</v>
      </c>
      <c r="M46" s="40"/>
    </row>
    <row r="47" spans="1:14" ht="16.5" thickBot="1">
      <c r="A47" s="37">
        <v>2037</v>
      </c>
      <c r="B47" s="37">
        <v>10075</v>
      </c>
      <c r="C47" s="47">
        <v>938165</v>
      </c>
      <c r="D47" s="58" t="s">
        <v>58</v>
      </c>
      <c r="E47" s="45"/>
      <c r="F47" s="83">
        <f>April10!F47+May10!F47+June10!F47+July10!F47+Aug10!F47+Sept10!F47+Oct10!F47+Nov10!F47+Dec10!F47+Jan11!F47+Feb11!F47+Mar11!F47</f>
        <v>29037.14</v>
      </c>
      <c r="G47" s="92">
        <f>April10!G47+May10!G47+June10!G47+July10!G47+Aug10!G47+Sept10!G47+Oct10!G47+Nov10!G47+Dec10!G47+Jan11!G47+Feb11!G47+Mar11!G47</f>
        <v>-37665.920000000006</v>
      </c>
      <c r="H47" s="83">
        <f>April10!H47+May10!H47+June10!H47+July10!H47+Aug10!H47+Sept10!H47+Oct10!H47+Nov10!H47+Dec10!H47+Jan11!H47+Feb11!H47+Mar11!H47</f>
        <v>1747066.46</v>
      </c>
      <c r="I47" s="83"/>
      <c r="J47" s="83"/>
      <c r="K47" s="83">
        <f t="shared" si="0"/>
        <v>66703.06</v>
      </c>
      <c r="L47" s="37">
        <v>10075</v>
      </c>
      <c r="M47" s="40"/>
      <c r="N47" s="58"/>
    </row>
    <row r="48" spans="1:13" ht="16.5" thickBot="1">
      <c r="A48" s="37">
        <v>3523</v>
      </c>
      <c r="B48" s="37">
        <v>11093</v>
      </c>
      <c r="C48" s="47">
        <v>938580</v>
      </c>
      <c r="D48" s="58" t="s">
        <v>177</v>
      </c>
      <c r="E48" s="45"/>
      <c r="F48" s="83">
        <f>April10!F48+May10!F48+June10!F48+July10!F48+Aug10!F48+Sept10!F48+Oct10!F48+Nov10!F48+Dec10!F48+Jan11!F48+Feb11!F48+Mar11!F48</f>
        <v>43008.490000000005</v>
      </c>
      <c r="G48" s="92">
        <f>April10!G48+May10!G48+June10!G48+July10!G48+Aug10!G48+Sept10!G48+Oct10!G48+Nov10!G48+Dec10!G48+Jan11!G48+Feb11!G48+Mar11!G48</f>
        <v>-25199.409999999974</v>
      </c>
      <c r="H48" s="83">
        <f>April10!H48+May10!H48+June10!H48+July10!H48+Aug10!H48+Sept10!H48+Oct10!H48+Nov10!H48+Dec10!H48+Jan11!H48+Feb11!H48+Mar11!H48</f>
        <v>2077545.63</v>
      </c>
      <c r="I48" s="83"/>
      <c r="J48" s="83"/>
      <c r="K48" s="83">
        <f t="shared" si="0"/>
        <v>68207.89999999998</v>
      </c>
      <c r="L48" s="37">
        <v>11093</v>
      </c>
      <c r="M48" s="40"/>
    </row>
    <row r="49" spans="1:13" ht="16.5" thickBot="1">
      <c r="A49" s="37">
        <v>5948</v>
      </c>
      <c r="B49" s="37">
        <v>10125</v>
      </c>
      <c r="C49" s="47">
        <v>938550</v>
      </c>
      <c r="D49" s="58" t="s">
        <v>59</v>
      </c>
      <c r="E49" s="45"/>
      <c r="F49" s="83">
        <f>April10!F49+May10!F49+June10!F49+July10!F49+Aug10!F49+Sept10!F49+Oct10!F49+Nov10!F49+Dec10!F49+Jan11!F49+Feb11!F49+Mar11!F49</f>
        <v>22289.070000000003</v>
      </c>
      <c r="G49" s="92">
        <f>April10!G49+May10!G49+June10!G49+July10!G49+Aug10!G49+Sept10!G49+Oct10!G49+Nov10!G49+Dec10!G49+Jan11!G49+Feb11!G49+Mar11!G49</f>
        <v>22344.889999999992</v>
      </c>
      <c r="H49" s="83">
        <f>April10!H49+May10!H49+June10!H49+July10!H49+Aug10!H49+Sept10!H49+Oct10!H49+Nov10!H49+Dec10!H49+Jan11!H49+Feb11!H49+Mar11!H49</f>
        <v>899584.75</v>
      </c>
      <c r="I49" s="83"/>
      <c r="J49" s="83"/>
      <c r="K49" s="83">
        <f t="shared" si="0"/>
        <v>-55.819999999988795</v>
      </c>
      <c r="L49" s="37">
        <v>10125</v>
      </c>
      <c r="M49" s="40"/>
    </row>
    <row r="50" spans="1:13" ht="16.5" thickBot="1">
      <c r="A50" s="37">
        <v>5949</v>
      </c>
      <c r="B50" s="37">
        <v>10126</v>
      </c>
      <c r="C50" s="47">
        <v>938555</v>
      </c>
      <c r="D50" s="58" t="s">
        <v>61</v>
      </c>
      <c r="E50" s="45"/>
      <c r="F50" s="83">
        <f>April10!F50+May10!F50+June10!F50+July10!F50+Aug10!F50+Sept10!F50+Oct10!F50+Nov10!F50+Dec10!F50+Jan11!F50+Feb11!F50+Mar11!F50</f>
        <v>15992.049999999997</v>
      </c>
      <c r="G50" s="92">
        <f>April10!G50+May10!G50+June10!G50+July10!G50+Aug10!G50+Sept10!G50+Oct10!G50+Nov10!G50+Dec10!G50+Jan11!G50+Feb11!G50+Mar11!G50</f>
        <v>-30823.260000000002</v>
      </c>
      <c r="H50" s="83">
        <f>April10!H50+May10!H50+June10!H50+July10!H50+Aug10!H50+Sept10!H50+Oct10!H50+Nov10!H50+Dec10!H50+Jan11!H50+Feb11!H50+Mar11!H50</f>
        <v>253383.78999999998</v>
      </c>
      <c r="I50" s="83"/>
      <c r="J50" s="83"/>
      <c r="K50" s="83">
        <f t="shared" si="0"/>
        <v>46815.31</v>
      </c>
      <c r="L50" s="37">
        <v>10126</v>
      </c>
      <c r="M50" s="40"/>
    </row>
    <row r="51" spans="1:13" ht="16.5" thickBot="1">
      <c r="A51" s="37">
        <v>3513</v>
      </c>
      <c r="B51" s="37">
        <v>10114</v>
      </c>
      <c r="C51" s="47">
        <v>938410</v>
      </c>
      <c r="D51" s="58" t="s">
        <v>60</v>
      </c>
      <c r="E51" s="45"/>
      <c r="F51" s="83">
        <f>April10!F51+May10!F51+June10!F51+July10!F51+Aug10!F51+Sept10!F51+Oct10!F51+Nov10!F51+Dec10!F51+Jan11!F51+Feb11!F51+Mar11!F51</f>
        <v>22519.800000000003</v>
      </c>
      <c r="G51" s="92">
        <f>April10!G51+May10!G51+June10!G51+July10!G51+Aug10!G51+Sept10!G51+Oct10!G51+Nov10!G51+Dec10!G51+Jan11!G51+Feb11!G51+Mar11!G51</f>
        <v>-9844.789999999994</v>
      </c>
      <c r="H51" s="83">
        <f>April10!H51+May10!H51+June10!H51+July10!H51+Aug10!H51+Sept10!H51+Oct10!H51+Nov10!H51+Dec10!H51+Jan11!H51+Feb11!H51+Mar11!H51</f>
        <v>1074978.81</v>
      </c>
      <c r="I51" s="83"/>
      <c r="J51" s="83"/>
      <c r="K51" s="83">
        <f t="shared" si="0"/>
        <v>32364.589999999997</v>
      </c>
      <c r="L51" s="37">
        <v>10114</v>
      </c>
      <c r="M51" s="40"/>
    </row>
    <row r="52" spans="1:13" ht="16.5" thickBot="1">
      <c r="A52" s="37">
        <v>3305</v>
      </c>
      <c r="B52" s="37">
        <v>10078</v>
      </c>
      <c r="C52" s="47">
        <v>938295</v>
      </c>
      <c r="D52" s="58" t="s">
        <v>62</v>
      </c>
      <c r="E52" s="45"/>
      <c r="F52" s="83">
        <f>April10!F52+May10!F52+June10!F52+July10!F52+Aug10!F52+Sept10!F52+Oct10!F52+Nov10!F52+Dec10!F52+Jan11!F52+Feb11!F52+Mar11!F52</f>
        <v>8956.300000000001</v>
      </c>
      <c r="G52" s="92">
        <f>April10!G52+May10!G52+June10!G52+July10!G52+Aug10!G52+Sept10!G52+Oct10!G52+Nov10!G52+Dec10!G52+Jan11!G52+Feb11!G52+Mar11!G52</f>
        <v>-35608.47</v>
      </c>
      <c r="H52" s="83">
        <f>April10!H52+May10!H52+June10!H52+July10!H52+Aug10!H52+Sept10!H52+Oct10!H52+Nov10!H52+Dec10!H52+Jan11!H52+Feb11!H52+Mar11!H52</f>
        <v>527321.4299999999</v>
      </c>
      <c r="I52" s="83"/>
      <c r="J52" s="83"/>
      <c r="K52" s="83">
        <f t="shared" si="0"/>
        <v>44564.770000000004</v>
      </c>
      <c r="L52" s="37">
        <v>10078</v>
      </c>
      <c r="M52" s="40"/>
    </row>
    <row r="53" spans="1:13" ht="16.5" thickBot="1">
      <c r="A53" s="37">
        <v>2042</v>
      </c>
      <c r="B53" s="37">
        <v>10079</v>
      </c>
      <c r="C53" s="47">
        <v>938180</v>
      </c>
      <c r="D53" s="58" t="s">
        <v>63</v>
      </c>
      <c r="E53" s="45"/>
      <c r="F53" s="83">
        <f>April10!F53+May10!F53+June10!F53+July10!F53+Aug10!F53+Sept10!F53+Oct10!F53+Nov10!F53+Dec10!F53+Jan11!F53+Feb11!F53+Mar11!F53</f>
        <v>22433.21</v>
      </c>
      <c r="G53" s="92">
        <f>April10!G53+May10!G53+June10!G53+July10!G53+Aug10!G53+Sept10!G53+Oct10!G53+Nov10!G53+Dec10!G53+Jan11!G53+Feb11!G53+Mar11!G53</f>
        <v>-4567.820000000014</v>
      </c>
      <c r="H53" s="83">
        <f>April10!H53+May10!H53+June10!H53+July10!H53+Aug10!H53+Sept10!H53+Oct10!H53+Nov10!H53+Dec10!H53+Jan11!H53+Feb11!H53+Mar11!H53</f>
        <v>1379135.3</v>
      </c>
      <c r="I53" s="83"/>
      <c r="J53" s="83"/>
      <c r="K53" s="83">
        <f t="shared" si="0"/>
        <v>27001.030000000013</v>
      </c>
      <c r="L53" s="37">
        <v>10079</v>
      </c>
      <c r="M53" s="40"/>
    </row>
    <row r="54" spans="1:13" ht="16.5" thickBot="1">
      <c r="A54" s="37">
        <v>2044</v>
      </c>
      <c r="B54" s="37">
        <v>10081</v>
      </c>
      <c r="C54" s="47">
        <v>938190</v>
      </c>
      <c r="D54" s="58" t="s">
        <v>65</v>
      </c>
      <c r="E54" s="45"/>
      <c r="F54" s="83">
        <f>April10!F54+May10!F54+June10!F54+July10!F54+Aug10!F54+Sept10!F54+Oct10!F54+Nov10!F54+Dec10!F54+Jan11!F54+Feb11!F54+Mar11!F54</f>
        <v>35124.869999999995</v>
      </c>
      <c r="G54" s="92">
        <f>April10!G54+May10!G54+June10!G54+July10!G54+Aug10!G54+Sept10!G54+Oct10!G54+Nov10!G54+Dec10!G54+Jan11!G54+Feb11!G54+Mar11!G54</f>
        <v>58839.23999999999</v>
      </c>
      <c r="H54" s="83">
        <f>April10!H54+May10!H54+June10!H54+July10!H54+Aug10!H54+Sept10!H54+Oct10!H54+Nov10!H54+Dec10!H54+Jan11!H54+Feb11!H54+Mar11!H54</f>
        <v>1226327.4899999998</v>
      </c>
      <c r="I54" s="83"/>
      <c r="J54" s="83"/>
      <c r="K54" s="83">
        <f t="shared" si="0"/>
        <v>-23714.369999999995</v>
      </c>
      <c r="L54" s="37">
        <v>10081</v>
      </c>
      <c r="M54" s="48"/>
    </row>
    <row r="55" spans="1:13" ht="16.5" thickBot="1">
      <c r="A55" s="37">
        <v>2043</v>
      </c>
      <c r="B55" s="37">
        <v>10080</v>
      </c>
      <c r="C55" s="47">
        <v>938185</v>
      </c>
      <c r="D55" s="58" t="s">
        <v>64</v>
      </c>
      <c r="E55" s="45"/>
      <c r="F55" s="83">
        <f>April10!F55+May10!F55+June10!F55+July10!F55+Aug10!F55+Sept10!F55+Oct10!F55+Nov10!F55+Dec10!F55+Jan11!F55+Feb11!F55+Mar11!F55</f>
        <v>71156.37</v>
      </c>
      <c r="G55" s="92">
        <f>April10!G55+May10!G55+June10!G55+July10!G55+Aug10!G55+Sept10!G55+Oct10!G55+Nov10!G55+Dec10!G55+Jan11!G55+Feb11!G55+Mar11!G55</f>
        <v>61635.28000000001</v>
      </c>
      <c r="H55" s="83">
        <f>April10!H55+May10!H55+June10!H55+July10!H55+Aug10!H55+Sept10!H55+Oct10!H55+Nov10!H55+Dec10!H55+Jan11!H55+Feb11!H55+Mar11!H55</f>
        <v>1482421.8499999999</v>
      </c>
      <c r="I55" s="83"/>
      <c r="J55" s="83"/>
      <c r="K55" s="83">
        <f t="shared" si="0"/>
        <v>9521.089999999982</v>
      </c>
      <c r="L55" s="37">
        <v>10080</v>
      </c>
      <c r="M55" s="40"/>
    </row>
    <row r="56" spans="1:13" ht="16.5" thickBot="1">
      <c r="A56" s="37">
        <v>2045</v>
      </c>
      <c r="B56" s="37">
        <v>10082</v>
      </c>
      <c r="C56" s="47">
        <v>938195</v>
      </c>
      <c r="D56" s="58" t="s">
        <v>66</v>
      </c>
      <c r="E56" s="45"/>
      <c r="F56" s="83">
        <f>April10!F56+May10!F56+June10!F56+July10!F56+Aug10!F56+Sept10!F56+Oct10!F56+Nov10!F56+Dec10!F56+Jan11!F56+Feb11!F56+Mar11!F56</f>
        <v>21975.17</v>
      </c>
      <c r="G56" s="92">
        <f>April10!G56+May10!G56+June10!G56+July10!G56+Aug10!G56+Sept10!G56+Oct10!G56+Nov10!G56+Dec10!G56+Jan11!G56+Feb11!G56+Mar11!G56</f>
        <v>-56536.77999999999</v>
      </c>
      <c r="H56" s="83">
        <f>April10!H56+May10!H56+June10!H56+July10!H56+Aug10!H56+Sept10!H56+Oct10!H56+Nov10!H56+Dec10!H56+Jan11!H56+Feb11!H56+Mar11!H56</f>
        <v>1825823.7299999997</v>
      </c>
      <c r="I56" s="83"/>
      <c r="J56" s="83"/>
      <c r="K56" s="83">
        <f t="shared" si="0"/>
        <v>78511.94999999998</v>
      </c>
      <c r="L56" s="37">
        <v>10082</v>
      </c>
      <c r="M56" s="40"/>
    </row>
    <row r="57" spans="1:13" ht="16.5" thickBot="1">
      <c r="A57" s="37">
        <v>2077</v>
      </c>
      <c r="B57" s="37">
        <v>10127</v>
      </c>
      <c r="C57" s="47">
        <v>938270</v>
      </c>
      <c r="D57" s="58" t="s">
        <v>49</v>
      </c>
      <c r="E57" s="45"/>
      <c r="F57" s="83">
        <f>April10!F57+May10!F57+June10!F57+July10!F57+Aug10!F57+Sept10!F57+Oct10!F57+Nov10!F57+Dec10!F57+Jan11!F57+Feb11!F57+Mar11!F57</f>
        <v>66242.41</v>
      </c>
      <c r="G57" s="92">
        <f>April10!G57+May10!G57+June10!G57+July10!G57+Aug10!G57+Sept10!G57+Oct10!G57+Nov10!G57+Dec10!G57+Jan11!G57+Feb11!G57+Mar11!G57</f>
        <v>52205.48000000001</v>
      </c>
      <c r="H57" s="83">
        <f>April10!H57+May10!H57+June10!H57+July10!H57+Aug10!H57+Sept10!H57+Oct10!H57+Nov10!H57+Dec10!H57+Jan11!H57+Feb11!H57+Mar11!H57</f>
        <v>1516855.9900000002</v>
      </c>
      <c r="I57" s="83"/>
      <c r="J57" s="83"/>
      <c r="K57" s="83">
        <f t="shared" si="0"/>
        <v>14036.929999999993</v>
      </c>
      <c r="L57" s="37">
        <v>10127</v>
      </c>
      <c r="M57" s="40"/>
    </row>
    <row r="58" spans="1:13" ht="16.5" thickBot="1">
      <c r="A58" s="37">
        <v>5201</v>
      </c>
      <c r="B58" s="37">
        <v>10084</v>
      </c>
      <c r="C58" s="47">
        <v>938495</v>
      </c>
      <c r="D58" s="58" t="s">
        <v>68</v>
      </c>
      <c r="E58" s="45"/>
      <c r="F58" s="83">
        <f>April10!F58+May10!F58+June10!F58+July10!F58+Aug10!F58+Sept10!F58+Oct10!F58+Nov10!F58+Dec10!F58+Jan11!F58+Feb11!F58+Mar11!F58</f>
        <v>50027.09</v>
      </c>
      <c r="G58" s="92">
        <f>April10!G58+May10!G58+June10!G58+July10!G58+Aug10!G58+Sept10!G58+Oct10!G58+Nov10!G58+Dec10!G58+Jan11!G58+Feb11!G58+Mar11!G58</f>
        <v>-58803.85000000002</v>
      </c>
      <c r="H58" s="83">
        <f>April10!H58+May10!H58+June10!H58+July10!H58+Aug10!H58+Sept10!H58+Oct10!H58+Nov10!H58+Dec10!H58+Jan11!H58+Feb11!H58+Mar11!H58</f>
        <v>1832320.94</v>
      </c>
      <c r="I58" s="83"/>
      <c r="J58" s="83"/>
      <c r="K58" s="83">
        <f t="shared" si="0"/>
        <v>108830.94000000002</v>
      </c>
      <c r="L58" s="37">
        <v>10084</v>
      </c>
      <c r="M58" s="40"/>
    </row>
    <row r="59" spans="1:13" ht="16.5" thickBot="1">
      <c r="A59" s="37">
        <v>3501</v>
      </c>
      <c r="B59" s="37">
        <v>10085</v>
      </c>
      <c r="C59" s="47">
        <v>938360</v>
      </c>
      <c r="D59" s="58" t="s">
        <v>67</v>
      </c>
      <c r="E59" s="45"/>
      <c r="F59" s="83">
        <f>April10!F59+May10!F59+June10!F59+July10!F59+Aug10!F59+Sept10!F59+Oct10!F59+Nov10!F59+Dec10!F59+Jan11!F59+Feb11!F59+Mar11!F59</f>
        <v>13921.88</v>
      </c>
      <c r="G59" s="92">
        <f>April10!G59+May10!G59+June10!G59+July10!G59+Aug10!G59+Sept10!G59+Oct10!G59+Nov10!G59+Dec10!G59+Jan11!G59+Feb11!G59+Mar11!G59</f>
        <v>-73916</v>
      </c>
      <c r="H59" s="83">
        <f>April10!H59+May10!H59+June10!H59+July10!H59+Aug10!H59+Sept10!H59+Oct10!H59+Nov10!H59+Dec10!H59+Jan11!H59+Feb11!H59+Mar11!H59</f>
        <v>1196216.08</v>
      </c>
      <c r="I59" s="83"/>
      <c r="J59" s="83"/>
      <c r="K59" s="83">
        <f t="shared" si="0"/>
        <v>87837.88</v>
      </c>
      <c r="L59" s="37">
        <v>10085</v>
      </c>
      <c r="M59" s="40"/>
    </row>
    <row r="60" spans="1:13" ht="16.5" thickBot="1">
      <c r="A60" s="37">
        <v>2078</v>
      </c>
      <c r="B60" s="37">
        <v>10129</v>
      </c>
      <c r="C60" s="47">
        <v>938275</v>
      </c>
      <c r="D60" s="58" t="s">
        <v>123</v>
      </c>
      <c r="E60" s="45"/>
      <c r="F60" s="83">
        <f>April10!F60+May10!F60+June10!F60+July10!F60+Aug10!F60+Sept10!F60+Oct10!F60+Nov10!F60+Dec10!F60+Jan11!F60+Feb11!F60+Mar11!F60</f>
        <v>19509.96</v>
      </c>
      <c r="G60" s="92">
        <f>April10!G60+May10!G60+June10!G60+July10!G60+Aug10!G60+Sept10!G60+Oct10!G60+Nov10!G60+Dec10!G60+Jan11!G60+Feb11!G60+Mar11!G60</f>
        <v>23091.689999999995</v>
      </c>
      <c r="H60" s="83">
        <f>April10!H60+May10!H60+June10!H60+July10!H60+Aug10!H60+Sept10!H60+Oct10!H60+Nov10!H60+Dec10!H60+Jan11!H60+Feb11!H60+Mar11!H60</f>
        <v>84691.22</v>
      </c>
      <c r="I60" s="83"/>
      <c r="J60" s="83"/>
      <c r="K60" s="83">
        <f t="shared" si="0"/>
        <v>-3581.729999999996</v>
      </c>
      <c r="L60" s="37">
        <v>10129</v>
      </c>
      <c r="M60" s="40"/>
    </row>
    <row r="61" spans="1:13" ht="16.5" thickBot="1">
      <c r="A61" s="37">
        <v>2000</v>
      </c>
      <c r="B61" s="37">
        <v>10120</v>
      </c>
      <c r="C61" s="47">
        <v>938020</v>
      </c>
      <c r="D61" s="58" t="s">
        <v>69</v>
      </c>
      <c r="E61" s="45"/>
      <c r="F61" s="83">
        <f>April10!F61+May10!F61+June10!F61+July10!F61+Aug10!F61+Sept10!F61+Oct10!F61+Nov10!F61+Dec10!F61+Jan11!F61+Feb11!F61+Mar11!F61</f>
        <v>73183.23</v>
      </c>
      <c r="G61" s="92">
        <f>April10!G61+May10!G61+June10!G61+July10!G61+Aug10!G61+Sept10!G61+Oct10!G61+Nov10!G61+Dec10!G61+Jan11!G61+Feb11!G61+Mar11!G61</f>
        <v>64944.219999999994</v>
      </c>
      <c r="H61" s="83">
        <f>April10!H61+May10!H61+June10!H61+July10!H61+Aug10!H61+Sept10!H61+Oct10!H61+Nov10!H61+Dec10!H61+Jan11!H61+Feb11!H61+Mar11!H61</f>
        <v>503762.25000000006</v>
      </c>
      <c r="I61" s="83"/>
      <c r="J61" s="83"/>
      <c r="K61" s="83">
        <f t="shared" si="0"/>
        <v>8239.010000000002</v>
      </c>
      <c r="L61" s="37">
        <v>10120</v>
      </c>
      <c r="M61" s="40"/>
    </row>
    <row r="62" spans="1:13" ht="16.5" thickBot="1">
      <c r="A62" s="37">
        <v>2071</v>
      </c>
      <c r="B62" s="37">
        <v>10119</v>
      </c>
      <c r="C62" s="47">
        <v>938245</v>
      </c>
      <c r="D62" s="58" t="s">
        <v>71</v>
      </c>
      <c r="E62" s="45"/>
      <c r="F62" s="83">
        <f>April10!F62+May10!F62+June10!F62+July10!F62+Aug10!F62+Sept10!F62+Oct10!F62+Nov10!F62+Dec10!F62+Jan11!F62+Feb11!F62+Mar11!F62</f>
        <v>37029.04</v>
      </c>
      <c r="G62" s="92">
        <f>April10!G62+May10!G62+June10!G62+July10!G62+Aug10!G62+Sept10!G62+Oct10!G62+Nov10!G62+Dec10!G62+Jan11!G62+Feb11!G62+Mar11!G62</f>
        <v>2978.0300000000134</v>
      </c>
      <c r="H62" s="83">
        <f>April10!H62+May10!H62+June10!H62+July10!H62+Aug10!H62+Sept10!H62+Oct10!H62+Nov10!H62+Dec10!H62+Jan11!H62+Feb11!H62+Mar11!H62</f>
        <v>808832.3600000001</v>
      </c>
      <c r="I62" s="83"/>
      <c r="J62" s="83"/>
      <c r="K62" s="83">
        <f t="shared" si="0"/>
        <v>34051.00999999999</v>
      </c>
      <c r="L62" s="37">
        <v>10119</v>
      </c>
      <c r="M62" s="40"/>
    </row>
    <row r="63" spans="1:13" ht="16.5" thickBot="1">
      <c r="A63" s="37">
        <v>2072</v>
      </c>
      <c r="B63" s="37">
        <v>10086</v>
      </c>
      <c r="C63" s="47">
        <v>938250</v>
      </c>
      <c r="D63" s="58" t="s">
        <v>70</v>
      </c>
      <c r="E63" s="45"/>
      <c r="F63" s="83">
        <f>April10!F63+May10!F63+June10!F63+July10!F63+Aug10!F63+Sept10!F63+Oct10!F63+Nov10!F63+Dec10!F63+Jan11!F63+Feb11!F63+Mar11!F63</f>
        <v>24466.93</v>
      </c>
      <c r="G63" s="92">
        <f>April10!G63+May10!G63+June10!G63+July10!G63+Aug10!G63+Sept10!G63+Oct10!G63+Nov10!G63+Dec10!G63+Jan11!G63+Feb11!G63+Mar11!G63</f>
        <v>-124052.88</v>
      </c>
      <c r="H63" s="83">
        <f>April10!H63+May10!H63+June10!H63+July10!H63+Aug10!H63+Sept10!H63+Oct10!H63+Nov10!H63+Dec10!H63+Jan11!H63+Feb11!H63+Mar11!H63</f>
        <v>1948662.4699999997</v>
      </c>
      <c r="I63" s="83"/>
      <c r="J63" s="83"/>
      <c r="K63" s="83">
        <f t="shared" si="0"/>
        <v>148519.81</v>
      </c>
      <c r="L63" s="37">
        <v>10086</v>
      </c>
      <c r="M63" s="40"/>
    </row>
    <row r="64" spans="1:13" ht="16.5" thickBot="1">
      <c r="A64" s="37">
        <v>3512</v>
      </c>
      <c r="B64" s="37">
        <v>10112</v>
      </c>
      <c r="C64" s="47">
        <v>938405</v>
      </c>
      <c r="D64" s="58" t="s">
        <v>72</v>
      </c>
      <c r="E64" s="45"/>
      <c r="F64" s="83">
        <f>April10!F64+May10!F64+June10!F64+July10!F64+Aug10!F64+Sept10!F64+Oct10!F64+Nov10!F64+Dec10!F64+Jan11!F64+Feb11!F64+Mar11!F64</f>
        <v>22259.479999999996</v>
      </c>
      <c r="G64" s="92">
        <f>April10!G64+May10!G64+June10!G64+July10!G64+Aug10!G64+Sept10!G64+Oct10!G64+Nov10!G64+Dec10!G64+Jan11!G64+Feb11!G64+Mar11!G64</f>
        <v>-136288.37</v>
      </c>
      <c r="H64" s="83">
        <f>April10!H64+May10!H64+June10!H64+July10!H64+Aug10!H64+Sept10!H64+Oct10!H64+Nov10!H64+Dec10!H64+Jan11!H64+Feb11!H64+Mar11!H64</f>
        <v>1927410.72</v>
      </c>
      <c r="I64" s="83"/>
      <c r="J64" s="83"/>
      <c r="K64" s="83">
        <f t="shared" si="0"/>
        <v>158547.84999999998</v>
      </c>
      <c r="L64" s="37">
        <v>10112</v>
      </c>
      <c r="M64" s="40"/>
    </row>
    <row r="65" spans="1:13" ht="16.5" thickBot="1">
      <c r="A65" s="37">
        <v>3510</v>
      </c>
      <c r="B65" s="37">
        <v>10110</v>
      </c>
      <c r="C65" s="47">
        <v>938395</v>
      </c>
      <c r="D65" s="58" t="s">
        <v>73</v>
      </c>
      <c r="E65" s="45"/>
      <c r="F65" s="83">
        <f>April10!F65+May10!F65+June10!F65+July10!F65+Aug10!F65+Sept10!F65+Oct10!F65+Nov10!F65+Dec10!F65+Jan11!F65+Feb11!F65+Mar11!F65</f>
        <v>24130.960000000003</v>
      </c>
      <c r="G65" s="92">
        <f>April10!G65+May10!G65+June10!G65+July10!G65+Aug10!G65+Sept10!G65+Oct10!G65+Nov10!G65+Dec10!G65+Jan11!G65+Feb11!G65+Mar11!G65</f>
        <v>-117018.61</v>
      </c>
      <c r="H65" s="83">
        <f>April10!H65+May10!H65+June10!H65+July10!H65+Aug10!H65+Sept10!H65+Oct10!H65+Nov10!H65+Dec10!H65+Jan11!H65+Feb11!H65+Mar11!H65</f>
        <v>1633375.91</v>
      </c>
      <c r="I65" s="83"/>
      <c r="J65" s="83"/>
      <c r="K65" s="83">
        <f t="shared" si="0"/>
        <v>141149.57</v>
      </c>
      <c r="L65" s="37">
        <v>10110</v>
      </c>
      <c r="M65" s="40"/>
    </row>
    <row r="66" spans="1:13" ht="16.5" thickBot="1">
      <c r="A66" s="37">
        <v>3502</v>
      </c>
      <c r="B66" s="37">
        <v>10087</v>
      </c>
      <c r="C66" s="47">
        <v>938365</v>
      </c>
      <c r="D66" s="58" t="s">
        <v>74</v>
      </c>
      <c r="E66" s="45"/>
      <c r="F66" s="83">
        <f>April10!F66+May10!F66+June10!F66+July10!F66+Aug10!F66+Sept10!F66+Oct10!F66+Nov10!F66+Dec10!F66+Jan11!F66+Feb11!F66+Mar11!F66</f>
        <v>13045.859999999999</v>
      </c>
      <c r="G66" s="92">
        <f>April10!G66+May10!G66+June10!G66+July10!G66+Aug10!G66+Sept10!G66+Oct10!G66+Nov10!G66+Dec10!G66+Jan11!G66+Feb11!G66+Mar11!G66</f>
        <v>-91323.11000000002</v>
      </c>
      <c r="H66" s="83">
        <f>April10!H66+May10!H66+June10!H66+July10!H66+Aug10!H66+Sept10!H66+Oct10!H66+Nov10!H66+Dec10!H66+Jan11!H66+Feb11!H66+Mar11!H66</f>
        <v>1607601.8</v>
      </c>
      <c r="I66" s="83"/>
      <c r="J66" s="83"/>
      <c r="K66" s="83">
        <f t="shared" si="0"/>
        <v>104368.97000000002</v>
      </c>
      <c r="L66" s="37">
        <v>10087</v>
      </c>
      <c r="M66" s="40"/>
    </row>
    <row r="67" spans="1:13" ht="16.5" thickBot="1">
      <c r="A67" s="37">
        <v>3315</v>
      </c>
      <c r="B67" s="37">
        <v>10099</v>
      </c>
      <c r="C67" s="47">
        <v>938340</v>
      </c>
      <c r="D67" s="58" t="s">
        <v>75</v>
      </c>
      <c r="E67" s="45"/>
      <c r="F67" s="83">
        <f>April10!F67+May10!F67+June10!F67+July10!F67+Aug10!F67+Sept10!F67+Oct10!F67+Nov10!F67+Dec10!F67+Jan11!F67+Feb11!F67+Mar11!F67</f>
        <v>25620.41</v>
      </c>
      <c r="G67" s="92">
        <f>April10!G67+May10!G67+June10!G67+July10!G67+Aug10!G67+Sept10!G67+Oct10!G67+Nov10!G67+Dec10!G67+Jan11!G67+Feb11!G67+Mar11!G67</f>
        <v>-33081.76000000001</v>
      </c>
      <c r="H67" s="83">
        <f>April10!H67+May10!H67+June10!H67+July10!H67+Aug10!H67+Sept10!H67+Oct10!H67+Nov10!H67+Dec10!H67+Jan11!H67+Feb11!H67+Mar11!H67</f>
        <v>455878.1699999999</v>
      </c>
      <c r="I67" s="83"/>
      <c r="J67" s="83"/>
      <c r="K67" s="83">
        <f t="shared" si="0"/>
        <v>58702.17000000001</v>
      </c>
      <c r="L67" s="37">
        <v>10099</v>
      </c>
      <c r="M67" s="40"/>
    </row>
    <row r="68" spans="1:13" ht="16.5" thickBot="1">
      <c r="A68" s="37">
        <v>3504</v>
      </c>
      <c r="B68" s="37">
        <v>10088</v>
      </c>
      <c r="C68" s="47">
        <v>938370</v>
      </c>
      <c r="D68" s="58" t="s">
        <v>76</v>
      </c>
      <c r="E68" s="45"/>
      <c r="F68" s="83">
        <f>April10!F68+May10!F68+June10!F68+July10!F68+Aug10!F68+Sept10!F68+Oct10!F68+Nov10!F68+Dec10!F68+Jan11!F68+Feb11!F68+Mar11!F68</f>
        <v>22186.449999999997</v>
      </c>
      <c r="G68" s="92">
        <f>April10!G68+May10!G68+June10!G68+July10!G68+Aug10!G68+Sept10!G68+Oct10!G68+Nov10!G68+Dec10!G68+Jan11!G68+Feb11!G68+Mar11!G68</f>
        <v>-110945.08999999997</v>
      </c>
      <c r="H68" s="83">
        <f>April10!H68+May10!H68+June10!H68+July10!H68+Aug10!H68+Sept10!H68+Oct10!H68+Nov10!H68+Dec10!H68+Jan11!H68+Feb11!H68+Mar11!H68</f>
        <v>1422692.51</v>
      </c>
      <c r="I68" s="83"/>
      <c r="J68" s="83"/>
      <c r="K68" s="83">
        <f t="shared" si="0"/>
        <v>133131.53999999998</v>
      </c>
      <c r="L68" s="37">
        <v>10088</v>
      </c>
      <c r="M68" s="40"/>
    </row>
    <row r="69" spans="1:13" ht="16.5" thickBot="1">
      <c r="A69" s="37">
        <v>3307</v>
      </c>
      <c r="B69" s="37">
        <v>10089</v>
      </c>
      <c r="C69" s="47">
        <v>938300</v>
      </c>
      <c r="D69" s="58" t="s">
        <v>77</v>
      </c>
      <c r="E69" s="45"/>
      <c r="F69" s="83">
        <f>April10!F69+May10!F69+June10!F69+July10!F69+Aug10!F69+Sept10!F69+Oct10!F69+Nov10!F69+Dec10!F69+Jan11!F69+Feb11!F69+Mar11!F69</f>
        <v>18258.149999999998</v>
      </c>
      <c r="G69" s="92">
        <f>April10!G69+May10!G69+June10!G69+July10!G69+Aug10!G69+Sept10!G69+Oct10!G69+Nov10!G69+Dec10!G69+Jan11!G69+Feb11!G69+Mar11!G69</f>
        <v>-70236.96999999999</v>
      </c>
      <c r="H69" s="83">
        <f>April10!H69+May10!H69+June10!H69+July10!H69+Aug10!H69+Sept10!H69+Oct10!H69+Nov10!H69+Dec10!H69+Jan11!H69+Feb11!H69+Mar11!H69</f>
        <v>1089191.83</v>
      </c>
      <c r="I69" s="83"/>
      <c r="J69" s="83"/>
      <c r="K69" s="83">
        <f aca="true" t="shared" si="1" ref="K69:K117">F69-G69</f>
        <v>88495.11999999998</v>
      </c>
      <c r="L69" s="37">
        <v>10089</v>
      </c>
      <c r="M69" s="40"/>
    </row>
    <row r="70" spans="1:13" ht="16.5" thickBot="1">
      <c r="A70" s="37">
        <v>3309</v>
      </c>
      <c r="B70" s="37">
        <v>10116</v>
      </c>
      <c r="C70" s="47">
        <v>938310</v>
      </c>
      <c r="D70" s="58" t="s">
        <v>78</v>
      </c>
      <c r="E70" s="45"/>
      <c r="F70" s="83">
        <f>April10!F70+May10!F70+June10!F70+July10!F70+Aug10!F70+Sept10!F70+Oct10!F70+Nov10!F70+Dec10!F70+Jan11!F70+Feb11!F70+Mar11!F70</f>
        <v>9986.94</v>
      </c>
      <c r="G70" s="92">
        <f>April10!G70+May10!G70+June10!G70+July10!G70+Aug10!G70+Sept10!G70+Oct10!G70+Nov10!G70+Dec10!G70+Jan11!G70+Feb11!G70+Mar11!G70</f>
        <v>-13609.899999999998</v>
      </c>
      <c r="H70" s="83">
        <f>April10!H70+May10!H70+June10!H70+July10!H70+Aug10!H70+Sept10!H70+Oct10!H70+Nov10!H70+Dec10!H70+Jan11!H70+Feb11!H70+Mar11!H70</f>
        <v>1467759.7900000003</v>
      </c>
      <c r="I70" s="83"/>
      <c r="J70" s="83"/>
      <c r="K70" s="83">
        <f t="shared" si="1"/>
        <v>23596.839999999997</v>
      </c>
      <c r="L70" s="37">
        <v>10116</v>
      </c>
      <c r="M70" s="40"/>
    </row>
    <row r="71" spans="1:13" ht="16.5" thickBot="1">
      <c r="A71" s="37">
        <v>3508</v>
      </c>
      <c r="B71" s="37">
        <v>10111</v>
      </c>
      <c r="C71" s="47">
        <v>938385</v>
      </c>
      <c r="D71" s="58" t="s">
        <v>80</v>
      </c>
      <c r="E71" s="45"/>
      <c r="F71" s="83">
        <f>April10!F71+May10!F71+June10!F71+July10!F71+Aug10!F71+Sept10!F71+Oct10!F71+Nov10!F71+Dec10!F71+Jan11!F71+Feb11!F71+Mar11!F71</f>
        <v>15534.520000000002</v>
      </c>
      <c r="G71" s="92">
        <f>April10!G71+May10!G71+June10!G71+July10!G71+Aug10!G71+Sept10!G71+Oct10!G71+Nov10!G71+Dec10!G71+Jan11!G71+Feb11!G71+Mar11!G71</f>
        <v>9928.490000000007</v>
      </c>
      <c r="H71" s="83">
        <f>April10!H71+May10!H71+June10!H71+July10!H71+Aug10!H71+Sept10!H71+Oct10!H71+Nov10!H71+Dec10!H71+Jan11!H71+Feb11!H71+Mar11!H71</f>
        <v>428822.1500000001</v>
      </c>
      <c r="I71" s="83"/>
      <c r="J71" s="83"/>
      <c r="K71" s="83">
        <f t="shared" si="1"/>
        <v>5606.029999999995</v>
      </c>
      <c r="L71" s="37">
        <v>10111</v>
      </c>
      <c r="M71" s="40"/>
    </row>
    <row r="72" spans="1:13" ht="16.5" thickBot="1">
      <c r="A72" s="37">
        <v>3509</v>
      </c>
      <c r="B72" s="37">
        <v>10107</v>
      </c>
      <c r="C72" s="47">
        <v>938390</v>
      </c>
      <c r="D72" s="58" t="s">
        <v>79</v>
      </c>
      <c r="E72" s="45"/>
      <c r="F72" s="83">
        <f>April10!F72+May10!F72+June10!F72+July10!F72+Aug10!F72+Sept10!F72+Oct10!F72+Nov10!F72+Dec10!F72+Jan11!F72+Feb11!F72+Mar11!F72</f>
        <v>14257.329999999998</v>
      </c>
      <c r="G72" s="92">
        <f>April10!G72+May10!G72+June10!G72+July10!G72+Aug10!G72+Sept10!G72+Oct10!G72+Nov10!G72+Dec10!G72+Jan11!G72+Feb11!G72+Mar11!G72</f>
        <v>-73650.30999999998</v>
      </c>
      <c r="H72" s="83">
        <f>April10!H72+May10!H72+June10!H72+July10!H72+Aug10!H72+Sept10!H72+Oct10!H72+Nov10!H72+Dec10!H72+Jan11!H72+Feb11!H72+Mar11!H72</f>
        <v>950658.8300000001</v>
      </c>
      <c r="I72" s="83"/>
      <c r="J72" s="83"/>
      <c r="K72" s="83">
        <f t="shared" si="1"/>
        <v>87907.63999999998</v>
      </c>
      <c r="L72" s="37">
        <v>10107</v>
      </c>
      <c r="M72" s="40"/>
    </row>
    <row r="73" spans="1:13" ht="16.5" thickBot="1">
      <c r="A73" s="37">
        <v>3312</v>
      </c>
      <c r="B73" s="37">
        <v>10093</v>
      </c>
      <c r="C73" s="47">
        <v>938325</v>
      </c>
      <c r="D73" s="58" t="s">
        <v>82</v>
      </c>
      <c r="E73" s="45"/>
      <c r="F73" s="83">
        <f>April10!F73+May10!F73+June10!F73+July10!F73+Aug10!F73+Sept10!F73+Oct10!F73+Nov10!F73+Dec10!F73+Jan11!F73+Feb11!F73+Mar11!F73</f>
        <v>13201.509999999998</v>
      </c>
      <c r="G73" s="92">
        <f>April10!G73+May10!G73+June10!G73+July10!G73+Aug10!G73+Sept10!G73+Oct10!G73+Nov10!G73+Dec10!G73+Jan11!G73+Feb11!G73+Mar11!G73</f>
        <v>-62090.4</v>
      </c>
      <c r="H73" s="83">
        <f>April10!H73+May10!H73+June10!H73+July10!H73+Aug10!H73+Sept10!H73+Oct10!H73+Nov10!H73+Dec10!H73+Jan11!H73+Feb11!H73+Mar11!H73</f>
        <v>1025056.04</v>
      </c>
      <c r="I73" s="83"/>
      <c r="J73" s="83"/>
      <c r="K73" s="83">
        <f t="shared" si="1"/>
        <v>75291.91</v>
      </c>
      <c r="L73" s="37">
        <v>10093</v>
      </c>
      <c r="M73" s="40"/>
    </row>
    <row r="74" spans="1:13" ht="16.5" thickBot="1">
      <c r="A74" s="37">
        <v>3311</v>
      </c>
      <c r="B74" s="37">
        <v>10092</v>
      </c>
      <c r="C74" s="47">
        <v>938320</v>
      </c>
      <c r="D74" s="58" t="s">
        <v>81</v>
      </c>
      <c r="E74" s="45"/>
      <c r="F74" s="83">
        <f>April10!F74+May10!F74+June10!F74+July10!F74+Aug10!F74+Sept10!F74+Oct10!F74+Nov10!F74+Dec10!F74+Jan11!F74+Feb11!F74+Mar11!F74</f>
        <v>26432.2</v>
      </c>
      <c r="G74" s="92">
        <f>April10!G74+May10!G74+June10!G74+July10!G74+Aug10!G74+Sept10!G74+Oct10!G74+Nov10!G74+Dec10!G74+Jan11!G74+Feb11!G74+Mar11!G74</f>
        <v>-109274.48999999999</v>
      </c>
      <c r="H74" s="83">
        <f>April10!H74+May10!H74+June10!H74+July10!H74+Aug10!H74+Sept10!H74+Oct10!H74+Nov10!H74+Dec10!H74+Jan11!H74+Feb11!H74+Mar11!H74</f>
        <v>1586735.6700000002</v>
      </c>
      <c r="I74" s="83"/>
      <c r="J74" s="83"/>
      <c r="K74" s="83">
        <f t="shared" si="1"/>
        <v>135706.69</v>
      </c>
      <c r="L74" s="37">
        <v>10092</v>
      </c>
      <c r="M74" s="40"/>
    </row>
    <row r="75" spans="1:13" ht="16.5" thickBot="1">
      <c r="A75" s="37">
        <v>3521</v>
      </c>
      <c r="B75" s="37">
        <v>10698</v>
      </c>
      <c r="C75" s="47">
        <v>938437</v>
      </c>
      <c r="D75" s="58" t="s">
        <v>136</v>
      </c>
      <c r="E75" s="45"/>
      <c r="F75" s="83">
        <f>April10!F75+May10!F75+June10!F75+July10!F75+Aug10!F75+Sept10!F75+Oct10!F75+Nov10!F75+Dec10!F75+Jan11!F75+Feb11!F75+Mar11!F75</f>
        <v>46396.57</v>
      </c>
      <c r="G75" s="92">
        <f>April10!G75+May10!G75+June10!G75+July10!G75+Aug10!G75+Sept10!G75+Oct10!G75+Nov10!G75+Dec10!G75+Jan11!G75+Feb11!G75+Mar11!G75</f>
        <v>-41948.53999999999</v>
      </c>
      <c r="H75" s="83">
        <f>April10!H75+May10!H75+June10!H75+July10!H75+Aug10!H75+Sept10!H75+Oct10!H75+Nov10!H75+Dec10!H75+Jan11!H75+Feb11!H75+Mar11!H75</f>
        <v>1495752.54</v>
      </c>
      <c r="I75" s="83"/>
      <c r="J75" s="83"/>
      <c r="K75" s="83">
        <f t="shared" si="1"/>
        <v>88345.10999999999</v>
      </c>
      <c r="L75" s="37">
        <v>10698</v>
      </c>
      <c r="M75" s="40"/>
    </row>
    <row r="76" spans="1:13" ht="16.5" thickBot="1">
      <c r="A76" s="37">
        <v>3313</v>
      </c>
      <c r="B76" s="37">
        <v>10094</v>
      </c>
      <c r="C76" s="47">
        <v>938330</v>
      </c>
      <c r="D76" s="58" t="s">
        <v>83</v>
      </c>
      <c r="E76" s="45"/>
      <c r="F76" s="83">
        <f>April10!F76+May10!F76+June10!F76+July10!F76+Aug10!F76+Sept10!F76+Oct10!F76+Nov10!F76+Dec10!F76+Jan11!F76+Feb11!F76+Mar11!F76</f>
        <v>18139.120000000003</v>
      </c>
      <c r="G76" s="92">
        <f>April10!G76+May10!G76+June10!G76+July10!G76+Aug10!G76+Sept10!G76+Oct10!G76+Nov10!G76+Dec10!G76+Jan11!G76+Feb11!G76+Mar11!G76</f>
        <v>-16805.770000000004</v>
      </c>
      <c r="H76" s="83">
        <f>April10!H76+May10!H76+June10!H76+July10!H76+Aug10!H76+Sept10!H76+Oct10!H76+Nov10!H76+Dec10!H76+Jan11!H76+Feb11!H76+Mar11!H76</f>
        <v>1019621.0400000002</v>
      </c>
      <c r="I76" s="83"/>
      <c r="J76" s="83"/>
      <c r="K76" s="83">
        <f t="shared" si="1"/>
        <v>34944.89000000001</v>
      </c>
      <c r="L76" s="37">
        <v>10094</v>
      </c>
      <c r="M76" s="40"/>
    </row>
    <row r="77" spans="1:13" ht="16.5" thickBot="1">
      <c r="A77" s="37">
        <v>3314</v>
      </c>
      <c r="B77" s="37">
        <v>10095</v>
      </c>
      <c r="C77" s="47">
        <v>938335</v>
      </c>
      <c r="D77" s="58" t="s">
        <v>84</v>
      </c>
      <c r="E77" s="45"/>
      <c r="F77" s="83">
        <f>April10!F77+May10!F77+June10!F77+July10!F77+Aug10!F77+Sept10!F77+Oct10!F77+Nov10!F77+Dec10!F77+Jan11!F77+Feb11!F77+Mar11!F77</f>
        <v>16156.259999999998</v>
      </c>
      <c r="G77" s="92">
        <f>April10!G77+May10!G77+June10!G77+July10!G77+Aug10!G77+Sept10!G77+Oct10!G77+Nov10!G77+Dec10!G77+Jan11!G77+Feb11!G77+Mar11!G77</f>
        <v>-13167.320000000012</v>
      </c>
      <c r="H77" s="83">
        <f>April10!H77+May10!H77+June10!H77+July10!H77+Aug10!H77+Sept10!H77+Oct10!H77+Nov10!H77+Dec10!H77+Jan11!H77+Feb11!H77+Mar11!H77</f>
        <v>1173821.39</v>
      </c>
      <c r="I77" s="83"/>
      <c r="J77" s="83"/>
      <c r="K77" s="83">
        <f t="shared" si="1"/>
        <v>29323.58000000001</v>
      </c>
      <c r="L77" s="37">
        <v>10095</v>
      </c>
      <c r="M77" s="40"/>
    </row>
    <row r="78" spans="1:13" ht="16.5" thickBot="1">
      <c r="A78" s="37">
        <v>3507</v>
      </c>
      <c r="B78" s="37">
        <v>10108</v>
      </c>
      <c r="C78" s="47">
        <v>938380</v>
      </c>
      <c r="D78" s="58" t="s">
        <v>85</v>
      </c>
      <c r="E78" s="45"/>
      <c r="F78" s="83">
        <f>April10!F78+May10!F78+June10!F78+July10!F78+Aug10!F78+Sept10!F78+Oct10!F78+Nov10!F78+Dec10!F78+Jan11!F78+Feb11!F78+Mar11!F78</f>
        <v>16992.84</v>
      </c>
      <c r="G78" s="92">
        <f>April10!G78+May10!G78+June10!G78+July10!G78+Aug10!G78+Sept10!G78+Oct10!G78+Nov10!G78+Dec10!G78+Jan11!G78+Feb11!G78+Mar11!G78</f>
        <v>22815.4</v>
      </c>
      <c r="H78" s="83">
        <f>April10!H78+May10!H78+June10!H78+July10!H78+Aug10!H78+Sept10!H78+Oct10!H78+Nov10!H78+Dec10!H78+Jan11!H78+Feb11!H78+Mar11!H78</f>
        <v>778052.75</v>
      </c>
      <c r="I78" s="83"/>
      <c r="J78" s="83"/>
      <c r="K78" s="83">
        <f t="shared" si="1"/>
        <v>-5822.560000000001</v>
      </c>
      <c r="L78" s="37">
        <v>10108</v>
      </c>
      <c r="M78" s="40"/>
    </row>
    <row r="79" spans="1:13" ht="16.5" thickBot="1">
      <c r="A79" s="37">
        <v>3506</v>
      </c>
      <c r="B79" s="37">
        <v>10096</v>
      </c>
      <c r="C79" s="47">
        <v>938375</v>
      </c>
      <c r="D79" s="58" t="s">
        <v>86</v>
      </c>
      <c r="E79" s="45"/>
      <c r="F79" s="83">
        <f>April10!F79+May10!F79+June10!F79+July10!F79+Aug10!F79+Sept10!F79+Oct10!F79+Nov10!F79+Dec10!F79+Jan11!F79+Feb11!F79+Mar11!F79</f>
        <v>28524.55</v>
      </c>
      <c r="G79" s="92">
        <f>April10!G79+May10!G79+June10!G79+July10!G79+Aug10!G79+Sept10!G79+Oct10!G79+Nov10!G79+Dec10!G79+Jan11!G79+Feb11!G79+Mar11!G79</f>
        <v>60016.31999999999</v>
      </c>
      <c r="H79" s="83">
        <f>April10!H79+May10!H79+June10!H79+July10!H79+Aug10!H79+Sept10!H79+Oct10!H79+Nov10!H79+Dec10!H79+Jan11!H79+Feb11!H79+Mar11!H79</f>
        <v>1255166.08</v>
      </c>
      <c r="I79" s="83"/>
      <c r="J79" s="83"/>
      <c r="K79" s="83">
        <f t="shared" si="1"/>
        <v>-31491.769999999993</v>
      </c>
      <c r="L79" s="37">
        <v>10096</v>
      </c>
      <c r="M79" s="40"/>
    </row>
    <row r="80" spans="1:13" ht="16.5" thickBot="1">
      <c r="A80" s="37">
        <v>2052</v>
      </c>
      <c r="B80" s="37">
        <v>10098</v>
      </c>
      <c r="C80" s="47">
        <v>938200</v>
      </c>
      <c r="D80" s="58" t="s">
        <v>87</v>
      </c>
      <c r="E80" s="45"/>
      <c r="F80" s="83">
        <f>April10!F80+May10!F80+June10!F80+July10!F80+Aug10!F80+Sept10!F80+Oct10!F80+Nov10!F80+Dec10!F80+Jan11!F80+Feb11!F80+Mar11!F80</f>
        <v>39205.61</v>
      </c>
      <c r="G80" s="92">
        <f>April10!G80+May10!G80+June10!G80+July10!G80+Aug10!G80+Sept10!G80+Oct10!G80+Nov10!G80+Dec10!G80+Jan11!G80+Feb11!G80+Mar11!G80</f>
        <v>-192677</v>
      </c>
      <c r="H80" s="83">
        <f>April10!H80+May10!H80+June10!H80+July10!H80+Aug10!H80+Sept10!H80+Oct10!H80+Nov10!H80+Dec10!H80+Jan11!H80+Feb11!H80+Mar11!H80</f>
        <v>2332349.08</v>
      </c>
      <c r="I80" s="83"/>
      <c r="J80" s="83"/>
      <c r="K80" s="83">
        <f t="shared" si="1"/>
        <v>231882.61</v>
      </c>
      <c r="L80" s="37">
        <v>10098</v>
      </c>
      <c r="M80" s="40"/>
    </row>
    <row r="81" spans="1:13" ht="16.5" thickBot="1">
      <c r="A81" s="37">
        <v>2070</v>
      </c>
      <c r="B81" s="37">
        <v>10097</v>
      </c>
      <c r="C81" s="47">
        <v>938240</v>
      </c>
      <c r="D81" s="58" t="s">
        <v>88</v>
      </c>
      <c r="E81" s="45"/>
      <c r="F81" s="83">
        <f>April10!F81+May10!F81+June10!F81+July10!F81+Aug10!F81+Sept10!F81+Oct10!F81+Nov10!F81+Dec10!F81+Jan11!F81+Feb11!F81+Mar11!F81</f>
        <v>17907.51</v>
      </c>
      <c r="G81" s="92">
        <f>April10!G81+May10!G81+June10!G81+July10!G81+Aug10!G81+Sept10!G81+Oct10!G81+Nov10!G81+Dec10!G81+Jan11!G81+Feb11!G81+Mar11!G81</f>
        <v>-16956.219999999998</v>
      </c>
      <c r="H81" s="83">
        <f>April10!H81+May10!H81+June10!H81+July10!H81+Aug10!H81+Sept10!H81+Oct10!H81+Nov10!H81+Dec10!H81+Jan11!H81+Feb11!H81+Mar11!H81</f>
        <v>1140631.16</v>
      </c>
      <c r="I81" s="83"/>
      <c r="J81" s="83"/>
      <c r="K81" s="83">
        <f t="shared" si="1"/>
        <v>34863.729999999996</v>
      </c>
      <c r="L81" s="37">
        <v>10097</v>
      </c>
      <c r="M81" s="40"/>
    </row>
    <row r="82" spans="1:13" ht="16.5" thickBot="1">
      <c r="A82" s="37">
        <v>3316</v>
      </c>
      <c r="B82" s="37">
        <v>10100</v>
      </c>
      <c r="C82" s="47">
        <v>938345</v>
      </c>
      <c r="D82" s="58" t="s">
        <v>89</v>
      </c>
      <c r="E82" s="45"/>
      <c r="F82" s="83">
        <f>April10!F82+May10!F82+June10!F82+July10!F82+Aug10!F82+Sept10!F82+Oct10!F82+Nov10!F82+Dec10!F82+Jan11!F82+Feb11!F82+Mar11!F82</f>
        <v>12523.95</v>
      </c>
      <c r="G82" s="92">
        <f>April10!G82+May10!G82+June10!G82+July10!G82+Aug10!G82+Sept10!G82+Oct10!G82+Nov10!G82+Dec10!G82+Jan11!G82+Feb11!G82+Mar11!G82</f>
        <v>-329.6099999999974</v>
      </c>
      <c r="H82" s="83">
        <f>April10!H82+May10!H82+June10!H82+July10!H82+Aug10!H82+Sept10!H82+Oct10!H82+Nov10!H82+Dec10!H82+Jan11!H82+Feb11!H82+Mar11!H82</f>
        <v>588742.5</v>
      </c>
      <c r="I82" s="83"/>
      <c r="J82" s="83"/>
      <c r="K82" s="83">
        <f t="shared" si="1"/>
        <v>12853.559999999998</v>
      </c>
      <c r="L82" s="37">
        <v>10100</v>
      </c>
      <c r="M82" s="40"/>
    </row>
    <row r="83" spans="1:13" ht="16.5" thickBot="1">
      <c r="A83" s="37">
        <v>2055</v>
      </c>
      <c r="B83" s="37">
        <v>10101</v>
      </c>
      <c r="C83" s="47">
        <v>938210</v>
      </c>
      <c r="D83" s="58" t="s">
        <v>90</v>
      </c>
      <c r="E83" s="45"/>
      <c r="F83" s="83">
        <f>April10!F83+May10!F83+June10!F83+July10!F83+Aug10!F83+Sept10!F83+Oct10!F83+Nov10!F83+Dec10!F83+Jan11!F83+Feb11!F83+Mar11!F83</f>
        <v>28090.829999999994</v>
      </c>
      <c r="G83" s="92">
        <f>April10!G83+May10!G83+June10!G83+July10!G83+Aug10!G83+Sept10!G83+Oct10!G83+Nov10!G83+Dec10!G83+Jan11!G83+Feb11!G83+Mar11!G83</f>
        <v>-22800.27999999999</v>
      </c>
      <c r="H83" s="83">
        <f>April10!H83+May10!H83+June10!H83+July10!H83+Aug10!H83+Sept10!H83+Oct10!H83+Nov10!H83+Dec10!H83+Jan11!H83+Feb11!H83+Mar11!H83</f>
        <v>914168.46</v>
      </c>
      <c r="I83" s="83"/>
      <c r="J83" s="83"/>
      <c r="K83" s="83">
        <f t="shared" si="1"/>
        <v>50891.109999999986</v>
      </c>
      <c r="L83" s="37">
        <v>10101</v>
      </c>
      <c r="M83" s="40"/>
    </row>
    <row r="84" spans="1:13" ht="16.5" thickBot="1">
      <c r="A84" s="37">
        <v>2057</v>
      </c>
      <c r="B84" s="37">
        <v>10103</v>
      </c>
      <c r="C84" s="47">
        <v>938220</v>
      </c>
      <c r="D84" s="58" t="s">
        <v>92</v>
      </c>
      <c r="E84" s="45"/>
      <c r="F84" s="83">
        <f>April10!F84+May10!F84+June10!F84+July10!F84+Aug10!F84+Sept10!F84+Oct10!F84+Nov10!F84+Dec10!F84+Jan11!F84+Feb11!F84+Mar11!F84</f>
        <v>59029.69</v>
      </c>
      <c r="G84" s="92">
        <f>April10!G84+May10!G84+June10!G84+July10!G84+Aug10!G84+Sept10!G84+Oct10!G84+Nov10!G84+Dec10!G84+Jan11!G84+Feb11!G84+Mar11!G84</f>
        <v>27642.31999999999</v>
      </c>
      <c r="H84" s="83">
        <f>April10!H84+May10!H84+June10!H84+July10!H84+Aug10!H84+Sept10!H84+Oct10!H84+Nov10!H84+Dec10!H84+Jan11!H84+Feb11!H84+Mar11!H84</f>
        <v>1134092.8900000001</v>
      </c>
      <c r="I84" s="83"/>
      <c r="J84" s="83"/>
      <c r="K84" s="83">
        <f t="shared" si="1"/>
        <v>31387.370000000014</v>
      </c>
      <c r="L84" s="37">
        <v>10103</v>
      </c>
      <c r="M84" s="40"/>
    </row>
    <row r="85" spans="1:13" ht="16.5" thickBot="1">
      <c r="A85" s="37">
        <v>2056</v>
      </c>
      <c r="B85" s="37">
        <v>10102</v>
      </c>
      <c r="C85" s="47">
        <v>938215</v>
      </c>
      <c r="D85" s="58" t="s">
        <v>91</v>
      </c>
      <c r="E85" s="45"/>
      <c r="F85" s="83">
        <f>April10!F85+May10!F85+June10!F85+July10!F85+Aug10!F85+Sept10!F85+Oct10!F85+Nov10!F85+Dec10!F85+Jan11!F85+Feb11!F85+Mar11!F85</f>
        <v>11229.01</v>
      </c>
      <c r="G85" s="92">
        <f>April10!G85+May10!G85+June10!G85+July10!G85+Aug10!G85+Sept10!G85+Oct10!G85+Nov10!G85+Dec10!G85+Jan11!G85+Feb11!G85+Mar11!G85</f>
        <v>-145375.97</v>
      </c>
      <c r="H85" s="83">
        <f>April10!H85+May10!H85+June10!H85+July10!H85+Aug10!H85+Sept10!H85+Oct10!H85+Nov10!H85+Dec10!H85+Jan11!H85+Feb11!H85+Mar11!H85</f>
        <v>1250264.15</v>
      </c>
      <c r="I85" s="83"/>
      <c r="J85" s="83"/>
      <c r="K85" s="83">
        <f t="shared" si="1"/>
        <v>156604.98</v>
      </c>
      <c r="L85" s="37">
        <v>10102</v>
      </c>
      <c r="M85" s="40"/>
    </row>
    <row r="86" spans="1:13" ht="16.5" thickBot="1">
      <c r="A86" s="37">
        <v>2076</v>
      </c>
      <c r="B86" s="37">
        <v>10124</v>
      </c>
      <c r="C86" s="47">
        <v>938265</v>
      </c>
      <c r="D86" s="58" t="s">
        <v>93</v>
      </c>
      <c r="E86" s="45"/>
      <c r="F86" s="83">
        <f>April10!F86+May10!F86+June10!F86+July10!F86+Aug10!F86+Sept10!F86+Oct10!F86+Nov10!F86+Dec10!F86+Jan11!F86+Feb11!F86+Mar11!F86</f>
        <v>46321.94</v>
      </c>
      <c r="G86" s="92">
        <f>April10!G86+May10!G86+June10!G86+July10!G86+Aug10!G86+Sept10!G86+Oct10!G86+Nov10!G86+Dec10!G86+Jan11!G86+Feb11!G86+Mar11!G86</f>
        <v>-97667.84</v>
      </c>
      <c r="H86" s="83">
        <f>April10!H86+May10!H86+June10!H86+July10!H86+Aug10!H86+Sept10!H86+Oct10!H86+Nov10!H86+Dec10!H86+Jan11!H86+Feb11!H86+Mar11!H86</f>
        <v>2507918.46</v>
      </c>
      <c r="I86" s="83"/>
      <c r="J86" s="83"/>
      <c r="K86" s="83">
        <f t="shared" si="1"/>
        <v>143989.78</v>
      </c>
      <c r="L86" s="37">
        <v>10124</v>
      </c>
      <c r="M86" s="40"/>
    </row>
    <row r="87" spans="1:13" ht="16.5" thickBot="1">
      <c r="A87" s="37">
        <v>2060</v>
      </c>
      <c r="B87" s="37">
        <v>10105</v>
      </c>
      <c r="C87" s="47">
        <v>938225</v>
      </c>
      <c r="D87" s="58" t="s">
        <v>94</v>
      </c>
      <c r="E87" s="45"/>
      <c r="F87" s="83">
        <f>April10!F87+May10!F87+June10!F87+July10!F87+Aug10!F87+Sept10!F87+Oct10!F87+Nov10!F87+Dec10!F87+Jan11!F87+Feb11!F87+Mar11!F87</f>
        <v>38706.29999999999</v>
      </c>
      <c r="G87" s="92">
        <f>April10!G87+May10!G87+June10!G87+July10!G87+Aug10!G87+Sept10!G87+Oct10!G87+Nov10!G87+Dec10!G87+Jan11!G87+Feb11!G87+Mar11!G87</f>
        <v>-53349.26999999999</v>
      </c>
      <c r="H87" s="83">
        <f>April10!H87+May10!H87+June10!H87+July10!H87+Aug10!H87+Sept10!H87+Oct10!H87+Nov10!H87+Dec10!H87+Jan11!H87+Feb11!H87+Mar11!H87</f>
        <v>3362592.3800000004</v>
      </c>
      <c r="I87" s="83"/>
      <c r="J87" s="83"/>
      <c r="K87" s="83">
        <f t="shared" si="1"/>
        <v>92055.56999999998</v>
      </c>
      <c r="L87" s="37">
        <v>10105</v>
      </c>
      <c r="M87" s="40"/>
    </row>
    <row r="88" spans="1:13" ht="16.5" thickBot="1">
      <c r="A88" s="37">
        <v>3518</v>
      </c>
      <c r="B88" s="37">
        <v>10123</v>
      </c>
      <c r="C88" s="47">
        <v>938430</v>
      </c>
      <c r="D88" s="58" t="s">
        <v>131</v>
      </c>
      <c r="E88" s="45"/>
      <c r="F88" s="83">
        <f>April10!F88+May10!F88+June10!F88+July10!F88+Aug10!F88+Sept10!F88+Oct10!F88+Nov10!F88+Dec10!F88+Jan11!F88+Feb11!F88+Mar11!F88</f>
        <v>44624.92999999999</v>
      </c>
      <c r="G88" s="92">
        <f>April10!G88+May10!G88+June10!G88+July10!G88+Aug10!G88+Sept10!G88+Oct10!G88+Nov10!G88+Dec10!G88+Jan11!G88+Feb11!G88+Mar11!G88</f>
        <v>75911.85999999997</v>
      </c>
      <c r="H88" s="83">
        <f>April10!H88+May10!H88+June10!H88+July10!H88+Aug10!H88+Sept10!H88+Oct10!H88+Nov10!H88+Dec10!H88+Jan11!H88+Feb11!H88+Mar11!H88</f>
        <v>1915917.1800000002</v>
      </c>
      <c r="I88" s="83"/>
      <c r="J88" s="83"/>
      <c r="K88" s="83">
        <f t="shared" si="1"/>
        <v>-31286.92999999998</v>
      </c>
      <c r="L88" s="37">
        <v>10123</v>
      </c>
      <c r="M88" s="40"/>
    </row>
    <row r="89" spans="1:14" ht="16.5" thickBot="1">
      <c r="A89" s="37">
        <v>2054</v>
      </c>
      <c r="B89" s="37">
        <v>10109</v>
      </c>
      <c r="C89" s="47">
        <v>938205</v>
      </c>
      <c r="D89" s="58" t="s">
        <v>95</v>
      </c>
      <c r="E89" s="45"/>
      <c r="F89" s="83">
        <f>April10!F89+May10!F89+June10!F89+July10!F89+Aug10!F89+Sept10!F89+Oct10!F89+Nov10!F89+Dec10!F89+Jan11!F89+Feb11!F89+Mar11!F89</f>
        <v>20627.59</v>
      </c>
      <c r="G89" s="92">
        <f>April10!G89+May10!G89+June10!G89+July10!G89+Aug10!G89+Sept10!G89+Oct10!G89+Nov10!G89+Dec10!G89+Jan11!G89+Feb11!G89+Mar11!G89</f>
        <v>-31972.07</v>
      </c>
      <c r="H89" s="83">
        <f>April10!H89+May10!H89+June10!H89+July10!H89+Aug10!H89+Sept10!H89+Oct10!H89+Nov10!H89+Dec10!H89+Jan11!H89+Feb11!H89+Mar11!H89</f>
        <v>1587815.7399999998</v>
      </c>
      <c r="I89" s="83"/>
      <c r="J89" s="83"/>
      <c r="K89" s="83">
        <f t="shared" si="1"/>
        <v>52599.66</v>
      </c>
      <c r="L89" s="37">
        <v>10109</v>
      </c>
      <c r="M89" s="40"/>
      <c r="N89" s="41"/>
    </row>
    <row r="90" spans="1:13" ht="16.5" thickBot="1">
      <c r="A90" s="37">
        <v>5406</v>
      </c>
      <c r="B90" s="37">
        <v>10136</v>
      </c>
      <c r="C90" s="47">
        <v>938530</v>
      </c>
      <c r="D90" s="58" t="s">
        <v>96</v>
      </c>
      <c r="E90" s="45"/>
      <c r="F90" s="83">
        <f>April10!F90+May10!F90+June10!F90+July10!F90+Aug10!F90+Sept10!F90+Oct10!F90+Nov10!F90+Dec10!F90+Jan11!F90+Feb11!F90+Mar11!F90</f>
        <v>108795.58</v>
      </c>
      <c r="G90" s="92">
        <f>April10!G90+May10!G90+June10!G90+July10!G90+Aug10!G90+Sept10!G90+Oct10!G90+Nov10!G90+Dec10!G90+Jan11!G90+Feb11!G90+Mar11!G90</f>
        <v>-74078.64000000001</v>
      </c>
      <c r="H90" s="83">
        <f>April10!H90+May10!H90+June10!H90+July10!H90+Aug10!H90+Sept10!H90+Oct10!H90+Nov10!H90+Dec10!H90+Jan11!H90+Feb11!H90+Mar11!H90</f>
        <v>1742217.6300000001</v>
      </c>
      <c r="I90" s="83"/>
      <c r="J90" s="83"/>
      <c r="K90" s="83">
        <f t="shared" si="1"/>
        <v>182874.22000000003</v>
      </c>
      <c r="L90" s="37">
        <v>10136</v>
      </c>
      <c r="M90" s="40"/>
    </row>
    <row r="91" spans="1:13" ht="16.5" thickBot="1">
      <c r="A91" s="37">
        <v>5408</v>
      </c>
      <c r="B91" s="37">
        <v>10137</v>
      </c>
      <c r="C91" s="47">
        <v>938540</v>
      </c>
      <c r="D91" s="58" t="s">
        <v>97</v>
      </c>
      <c r="E91" s="45"/>
      <c r="F91" s="83">
        <f>April10!F91+May10!F91+June10!F91+July10!F91+Aug10!F91+Sept10!F91+Oct10!F91+Nov10!F91+Dec10!F91+Jan11!F91+Feb11!F91+Mar11!F91</f>
        <v>83463</v>
      </c>
      <c r="G91" s="92">
        <f>April10!G91+May10!G91+June10!G91+July10!G91+Aug10!G91+Sept10!G91+Oct10!G91+Nov10!G91+Dec10!G91+Jan11!G91+Feb11!G91+Mar11!G91</f>
        <v>480983.63999999996</v>
      </c>
      <c r="H91" s="83">
        <f>April10!H91+May10!H91+June10!H91+July10!H91+Aug10!H91+Sept10!H91+Oct10!H91+Nov10!H91+Dec10!H91+Jan11!H91+Feb11!H91+Mar11!H91</f>
        <v>1925443.55</v>
      </c>
      <c r="I91" s="83"/>
      <c r="J91" s="83"/>
      <c r="K91" s="83">
        <f t="shared" si="1"/>
        <v>-397520.63999999996</v>
      </c>
      <c r="L91" s="37">
        <v>10137</v>
      </c>
      <c r="M91" s="40"/>
    </row>
    <row r="92" spans="1:13" ht="16.5" thickBot="1">
      <c r="A92" s="37">
        <v>4211</v>
      </c>
      <c r="B92" s="37">
        <v>10151</v>
      </c>
      <c r="C92" s="47">
        <v>938465</v>
      </c>
      <c r="D92" s="58" t="s">
        <v>98</v>
      </c>
      <c r="E92" s="45"/>
      <c r="F92" s="83">
        <f>April10!F92+May10!F92+June10!F92+July10!F92+Aug10!F92+Sept10!F92+Oct10!F92+Nov10!F92+Dec10!F92+Jan11!F92+Feb11!F92+Mar11!F92</f>
        <v>139870.72999999998</v>
      </c>
      <c r="G92" s="92">
        <f>April10!G92+May10!G92+June10!G92+July10!G92+Aug10!G92+Sept10!G92+Oct10!G92+Nov10!G92+Dec10!G92+Jan11!G92+Feb11!G92+Mar11!G92</f>
        <v>95950.59999999999</v>
      </c>
      <c r="H92" s="83">
        <f>April10!H92+May10!H92+June10!H92+July10!H92+Aug10!H92+Sept10!H92+Oct10!H92+Nov10!H92+Dec10!H92+Jan11!H92+Feb11!H92+Mar11!H92</f>
        <v>4365365.22</v>
      </c>
      <c r="I92" s="83"/>
      <c r="J92" s="83"/>
      <c r="K92" s="83">
        <f t="shared" si="1"/>
        <v>43920.12999999999</v>
      </c>
      <c r="L92" s="37">
        <v>10151</v>
      </c>
      <c r="M92" s="40"/>
    </row>
    <row r="93" spans="1:13" ht="16.5" thickBot="1">
      <c r="A93" s="37">
        <v>4215</v>
      </c>
      <c r="B93" s="37">
        <v>10138</v>
      </c>
      <c r="C93" s="47">
        <v>938475</v>
      </c>
      <c r="D93" s="58" t="s">
        <v>99</v>
      </c>
      <c r="E93" s="45"/>
      <c r="F93" s="83">
        <f>April10!F93+May10!F93+June10!F93+July10!F93+Aug10!F93+Sept10!F93+Oct10!F93+Nov10!F93+Dec10!F93+Jan11!F93+Feb11!F93+Mar11!F93</f>
        <v>105579.67</v>
      </c>
      <c r="G93" s="92">
        <f>April10!G93+May10!G93+June10!G93+July10!G93+Aug10!G93+Sept10!G93+Oct10!G93+Nov10!G93+Dec10!G93+Jan11!G93+Feb11!G93+Mar11!G93</f>
        <v>12044.080000000078</v>
      </c>
      <c r="H93" s="83">
        <f>April10!H93+May10!H93+June10!H93+July10!H93+Aug10!H93+Sept10!H93+Oct10!H93+Nov10!H93+Dec10!H93+Jan11!H93+Feb11!H93+Mar11!H93</f>
        <v>4464033.62</v>
      </c>
      <c r="I93" s="83"/>
      <c r="J93" s="83"/>
      <c r="K93" s="83">
        <f t="shared" si="1"/>
        <v>93535.58999999992</v>
      </c>
      <c r="L93" s="37">
        <v>10138</v>
      </c>
      <c r="M93" s="40"/>
    </row>
    <row r="94" spans="1:13" ht="16.5" thickBot="1">
      <c r="A94" s="37">
        <v>4210</v>
      </c>
      <c r="B94" s="37">
        <v>10152</v>
      </c>
      <c r="C94" s="47">
        <v>938460</v>
      </c>
      <c r="D94" s="58" t="s">
        <v>100</v>
      </c>
      <c r="E94" s="45"/>
      <c r="F94" s="83">
        <f>April10!F94+May10!F94+June10!F94+July10!F94+Aug10!F94+Sept10!F94+Oct10!F94+Nov10!F94+Dec10!F94+Jan11!F94+Feb11!F94+Mar11!F94</f>
        <v>149991.44000000003</v>
      </c>
      <c r="G94" s="92">
        <f>April10!G94+May10!G94+June10!G94+July10!G94+Aug10!G94+Sept10!G94+Oct10!G94+Nov10!G94+Dec10!G94+Jan11!G94+Feb11!G94+Mar11!G94</f>
        <v>79565.34</v>
      </c>
      <c r="H94" s="83">
        <f>April10!H94+May10!H94+June10!H94+July10!H94+Aug10!H94+Sept10!H94+Oct10!H94+Nov10!H94+Dec10!H94+Jan11!H94+Feb11!H94+Mar11!H94</f>
        <v>7671409.419999999</v>
      </c>
      <c r="I94" s="83"/>
      <c r="J94" s="83"/>
      <c r="K94" s="83">
        <f t="shared" si="1"/>
        <v>70426.10000000003</v>
      </c>
      <c r="L94" s="37">
        <v>10152</v>
      </c>
      <c r="M94" s="40"/>
    </row>
    <row r="95" spans="1:13" ht="16.5" thickBot="1">
      <c r="A95" s="37">
        <v>4212</v>
      </c>
      <c r="B95" s="37">
        <v>10153</v>
      </c>
      <c r="C95" s="47">
        <v>938470</v>
      </c>
      <c r="D95" s="58" t="s">
        <v>101</v>
      </c>
      <c r="E95" s="45"/>
      <c r="F95" s="83">
        <f>April10!F95+May10!F95+June10!F95+July10!F95+Aug10!F95+Sept10!F95+Oct10!F95+Nov10!F95+Dec10!F95+Jan11!F95+Feb11!F95+Mar11!F95</f>
        <v>152286.26</v>
      </c>
      <c r="G95" s="92">
        <f>April10!G95+May10!G95+June10!G95+July10!G95+Aug10!G95+Sept10!G95+Oct10!G95+Nov10!G95+Dec10!G95+Jan11!G95+Feb11!G95+Mar11!G95</f>
        <v>321812.18</v>
      </c>
      <c r="H95" s="83">
        <f>April10!H95+May10!H95+June10!H95+July10!H95+Aug10!H95+Sept10!H95+Oct10!H95+Nov10!H95+Dec10!H95+Jan11!H95+Feb11!H95+Mar11!H95</f>
        <v>6788944.14</v>
      </c>
      <c r="I95" s="83"/>
      <c r="J95" s="83"/>
      <c r="K95" s="83">
        <f t="shared" si="1"/>
        <v>-169525.91999999998</v>
      </c>
      <c r="L95" s="37">
        <v>10153</v>
      </c>
      <c r="M95" s="40"/>
    </row>
    <row r="96" spans="1:13" ht="16.5" thickBot="1">
      <c r="A96" s="37">
        <v>5405</v>
      </c>
      <c r="B96" s="37">
        <v>10145</v>
      </c>
      <c r="C96" s="47">
        <v>938525</v>
      </c>
      <c r="D96" s="58" t="s">
        <v>102</v>
      </c>
      <c r="E96" s="45"/>
      <c r="F96" s="83">
        <f>April10!F96+May10!F96+June10!F96+July10!F96+Aug10!F96+Sept10!F96+Oct10!F96+Nov10!F96+Dec10!F96+Jan11!F96+Feb11!F96+Mar11!F96</f>
        <v>185665.12</v>
      </c>
      <c r="G96" s="92">
        <f>April10!G96+May10!G96+June10!G96+July10!G96+Aug10!G96+Sept10!G96+Oct10!G96+Nov10!G96+Dec10!G96+Jan11!G96+Feb11!G96+Mar11!G96</f>
        <v>-145973.61999999982</v>
      </c>
      <c r="H96" s="83">
        <f>April10!H96+May10!H96+June10!H96+July10!H96+Aug10!H96+Sept10!H96+Oct10!H96+Nov10!H96+Dec10!H96+Jan11!H96+Feb11!H96+Mar11!H96</f>
        <v>9332514.209999999</v>
      </c>
      <c r="I96" s="83"/>
      <c r="J96" s="83"/>
      <c r="K96" s="83">
        <f t="shared" si="1"/>
        <v>331638.7399999998</v>
      </c>
      <c r="L96" s="37">
        <v>10145</v>
      </c>
      <c r="M96" s="40"/>
    </row>
    <row r="97" spans="1:13" ht="16.5" thickBot="1">
      <c r="A97" s="37">
        <v>4003</v>
      </c>
      <c r="B97" s="37">
        <v>10139</v>
      </c>
      <c r="C97" s="47">
        <v>938440</v>
      </c>
      <c r="D97" s="58" t="s">
        <v>103</v>
      </c>
      <c r="E97" s="45"/>
      <c r="F97" s="83">
        <f>April10!F97+May10!F97+June10!F97+July10!F97+Aug10!F97+Sept10!F97+Oct10!F97+Nov10!F97+Dec10!F97+Jan11!F97+Feb11!F97+Mar11!F97</f>
        <v>170034.58000000002</v>
      </c>
      <c r="G97" s="92">
        <f>April10!G97+May10!G97+June10!G97+July10!G97+Aug10!G97+Sept10!G97+Oct10!G97+Nov10!G97+Dec10!G97+Jan11!G97+Feb11!G97+Mar11!G97</f>
        <v>19045.510000000024</v>
      </c>
      <c r="H97" s="83">
        <f>April10!H97+May10!H97+June10!H97+July10!H97+Aug10!H97+Sept10!H97+Oct10!H97+Nov10!H97+Dec10!H97+Jan11!H97+Feb11!H97+Mar11!H97</f>
        <v>1964782.5599999998</v>
      </c>
      <c r="I97" s="83"/>
      <c r="J97" s="83"/>
      <c r="K97" s="83">
        <f t="shared" si="1"/>
        <v>150989.07</v>
      </c>
      <c r="L97" s="37">
        <v>10139</v>
      </c>
      <c r="M97" s="40"/>
    </row>
    <row r="98" spans="1:13" ht="16.5" thickBot="1">
      <c r="A98" s="37">
        <v>5409</v>
      </c>
      <c r="B98" s="37">
        <v>10146</v>
      </c>
      <c r="C98" s="47">
        <v>938545</v>
      </c>
      <c r="D98" s="58" t="s">
        <v>104</v>
      </c>
      <c r="E98" s="45"/>
      <c r="F98" s="83">
        <f>April10!F98+May10!F98+June10!F98+July10!F98+Aug10!F98+Sept10!F98+Oct10!F98+Nov10!F98+Dec10!F98+Jan11!F98+Feb11!F98+Mar11!F98</f>
        <v>121500.49000000002</v>
      </c>
      <c r="G98" s="92">
        <f>April10!G98+May10!G98+June10!G98+July10!G98+Aug10!G98+Sept10!G98+Oct10!G98+Nov10!G98+Dec10!G98+Jan11!G98+Feb11!G98+Mar11!G98</f>
        <v>17344.15000000001</v>
      </c>
      <c r="H98" s="83">
        <f>April10!H98+May10!H98+June10!H98+July10!H98+Aug10!H98+Sept10!H98+Oct10!H98+Nov10!H98+Dec10!H98+Jan11!H98+Feb11!H98+Mar11!H98</f>
        <v>379366.64</v>
      </c>
      <c r="I98" s="83"/>
      <c r="J98" s="83"/>
      <c r="K98" s="83">
        <f t="shared" si="1"/>
        <v>104156.34000000001</v>
      </c>
      <c r="L98" s="37">
        <v>10146</v>
      </c>
      <c r="M98" s="40"/>
    </row>
    <row r="99" spans="1:13" ht="16.5" thickBot="1">
      <c r="A99" s="37">
        <v>5400</v>
      </c>
      <c r="B99" s="37">
        <v>10150</v>
      </c>
      <c r="C99" s="47">
        <v>938500</v>
      </c>
      <c r="D99" s="58" t="s">
        <v>105</v>
      </c>
      <c r="E99" s="45"/>
      <c r="F99" s="83">
        <f>April10!F99+May10!F99+June10!F99+July10!F99+Aug10!F99+Sept10!F99+Oct10!F99+Nov10!F99+Dec10!F99+Jan11!F99+Feb11!F99+Mar11!F99</f>
        <v>132697.69999999998</v>
      </c>
      <c r="G99" s="92">
        <f>April10!G99+May10!G99+June10!G99+July10!G99+Aug10!G99+Sept10!G99+Oct10!G99+Nov10!G99+Dec10!G99+Jan11!G99+Feb11!G99+Mar11!G99</f>
        <v>-272016.4600000001</v>
      </c>
      <c r="H99" s="83">
        <f>April10!H99+May10!H99+June10!H99+July10!H99+Aug10!H99+Sept10!H99+Oct10!H99+Nov10!H99+Dec10!H99+Jan11!H99+Feb11!H99+Mar11!H99</f>
        <v>5250387.390000001</v>
      </c>
      <c r="I99" s="83"/>
      <c r="J99" s="83"/>
      <c r="K99" s="83">
        <f t="shared" si="1"/>
        <v>404714.16000000003</v>
      </c>
      <c r="L99" s="37">
        <v>10150</v>
      </c>
      <c r="M99" s="40"/>
    </row>
    <row r="100" spans="1:13" ht="16.5" thickBot="1">
      <c r="A100" s="37">
        <v>4752</v>
      </c>
      <c r="B100" s="37">
        <v>10147</v>
      </c>
      <c r="C100" s="47">
        <v>938485</v>
      </c>
      <c r="D100" s="58" t="s">
        <v>106</v>
      </c>
      <c r="E100" s="45"/>
      <c r="F100" s="83">
        <f>April10!F100+May10!F100+June10!F100+July10!F100+Aug10!F100+Sept10!F100+Oct10!F100+Nov10!F100+Dec10!F100+Jan11!F100+Feb11!F100+Mar11!F100</f>
        <v>88265.41</v>
      </c>
      <c r="G100" s="92">
        <f>April10!G100+May10!G100+June10!G100+July10!G100+Aug10!G100+Sept10!G100+Oct10!G100+Nov10!G100+Dec10!G100+Jan11!G100+Feb11!G100+Mar11!G100</f>
        <v>-70805.38</v>
      </c>
      <c r="H100" s="83">
        <f>April10!H100+May10!H100+June10!H100+July10!H100+Aug10!H100+Sept10!H100+Oct10!H100+Nov10!H100+Dec10!H100+Jan11!H100+Feb11!H100+Mar11!H100</f>
        <v>1567266.4200000002</v>
      </c>
      <c r="I100" s="83"/>
      <c r="J100" s="83"/>
      <c r="K100" s="83">
        <f t="shared" si="1"/>
        <v>159070.79</v>
      </c>
      <c r="L100" s="37">
        <v>10147</v>
      </c>
      <c r="M100" s="40"/>
    </row>
    <row r="101" spans="1:13" ht="16.5" thickBot="1">
      <c r="A101" s="37">
        <v>5427</v>
      </c>
      <c r="B101" s="37">
        <v>11174</v>
      </c>
      <c r="C101" s="47">
        <v>938548</v>
      </c>
      <c r="D101" s="58" t="s">
        <v>193</v>
      </c>
      <c r="E101" s="45"/>
      <c r="F101" s="83">
        <f>April10!F101+May10!F101+June10!F101+July10!F101+Aug10!F101+Sept10!F101+Oct10!F101+Nov10!F101+Dec10!F101+Jan11!F101+Feb11!F101+Mar11!F101</f>
        <v>39556.53999999999</v>
      </c>
      <c r="G101" s="92">
        <f>April10!G101+May10!G101+June10!G101+July10!G101+Aug10!G101+Sept10!G101+Oct10!G101+Nov10!G101+Dec10!G101+Jan11!G101+Feb11!G101+Mar11!G101</f>
        <v>-693406.17</v>
      </c>
      <c r="H101" s="83">
        <f>April10!H101+May10!H101+June10!H101+July10!H101+Aug10!H101+Sept10!H101+Oct10!H101+Nov10!H101+Dec10!H101+Jan11!H101+Feb11!H101+Mar11!H101</f>
        <v>3056456.72</v>
      </c>
      <c r="I101" s="83"/>
      <c r="J101" s="83"/>
      <c r="K101" s="83">
        <f t="shared" si="1"/>
        <v>732962.7100000001</v>
      </c>
      <c r="L101" s="37">
        <v>11174</v>
      </c>
      <c r="M101" s="40"/>
    </row>
    <row r="102" spans="1:13" ht="16.5" thickBot="1">
      <c r="A102" s="37">
        <v>5402</v>
      </c>
      <c r="B102" s="37">
        <v>10140</v>
      </c>
      <c r="C102" s="47">
        <v>938510</v>
      </c>
      <c r="D102" s="58" t="s">
        <v>107</v>
      </c>
      <c r="E102" s="45"/>
      <c r="F102" s="83">
        <f>April10!F102+May10!F102+June10!F102+July10!F102+Aug10!F102+Sept10!F102+Oct10!F102+Nov10!F102+Dec10!F102+Jan11!F102+Feb11!F102+Mar11!F102</f>
        <v>291651.25</v>
      </c>
      <c r="G102" s="92">
        <f>April10!G102+May10!G102+June10!G102+July10!G102+Aug10!G102+Sept10!G102+Oct10!G102+Nov10!G102+Dec10!G102+Jan11!G102+Feb11!G102+Mar11!G102</f>
        <v>182256.25</v>
      </c>
      <c r="H102" s="83">
        <f>April10!H102+May10!H102+June10!H102+July10!H102+Aug10!H102+Sept10!H102+Oct10!H102+Nov10!H102+Dec10!H102+Jan11!H102+Feb11!H102+Mar11!H102</f>
        <v>10216363.25</v>
      </c>
      <c r="I102" s="83"/>
      <c r="J102" s="83"/>
      <c r="K102" s="83">
        <f t="shared" si="1"/>
        <v>109395</v>
      </c>
      <c r="L102" s="37">
        <v>10140</v>
      </c>
      <c r="M102" s="40"/>
    </row>
    <row r="103" spans="1:13" ht="16.5" thickBot="1">
      <c r="A103" s="37">
        <v>4208</v>
      </c>
      <c r="B103" s="37">
        <v>10154</v>
      </c>
      <c r="C103" s="47">
        <v>938455</v>
      </c>
      <c r="D103" s="58" t="s">
        <v>109</v>
      </c>
      <c r="E103" s="45"/>
      <c r="F103" s="83">
        <f>April10!F103+May10!F103+June10!F103+July10!F103+Aug10!F103+Sept10!F103+Oct10!F103+Nov10!F103+Dec10!F103+Jan11!F103+Feb11!F103+Mar11!F103</f>
        <v>217378.71000000002</v>
      </c>
      <c r="G103" s="92">
        <f>April10!G103+May10!G103+June10!G103+July10!G103+Aug10!G103+Sept10!G103+Oct10!G103+Nov10!G103+Dec10!G103+Jan11!G103+Feb11!G103+Mar11!G103</f>
        <v>743550.1300000001</v>
      </c>
      <c r="H103" s="83">
        <f>April10!H103+May10!H103+June10!H103+July10!H103+Aug10!H103+Sept10!H103+Oct10!H103+Nov10!H103+Dec10!H103+Jan11!H103+Feb11!H103+Mar11!H103</f>
        <v>4725302.859999999</v>
      </c>
      <c r="I103" s="83"/>
      <c r="J103" s="83"/>
      <c r="K103" s="83">
        <f t="shared" si="1"/>
        <v>-526171.4200000002</v>
      </c>
      <c r="L103" s="37">
        <v>10154</v>
      </c>
      <c r="M103" s="40"/>
    </row>
    <row r="104" spans="1:13" ht="16.5" thickBot="1">
      <c r="A104" s="37">
        <v>5401</v>
      </c>
      <c r="B104" s="37">
        <v>10149</v>
      </c>
      <c r="C104" s="47">
        <v>938505</v>
      </c>
      <c r="D104" s="58" t="s">
        <v>108</v>
      </c>
      <c r="E104" s="45"/>
      <c r="F104" s="83">
        <f>April10!F104+May10!F104+June10!F104+July10!F104+Aug10!F104+Sept10!F104+Oct10!F104+Nov10!F104+Dec10!F104+Jan11!F104+Feb11!F104+Mar11!F104</f>
        <v>100419.94000000002</v>
      </c>
      <c r="G104" s="92">
        <f>April10!G104+May10!G104+June10!G104+July10!G104+Aug10!G104+Sept10!G104+Oct10!G104+Nov10!G104+Dec10!G104+Jan11!G104+Feb11!G104+Mar11!G104</f>
        <v>277205.64</v>
      </c>
      <c r="H104" s="83">
        <f>April10!H104+May10!H104+June10!H104+July10!H104+Aug10!H104+Sept10!H104+Oct10!H104+Nov10!H104+Dec10!H104+Jan11!H104+Feb11!H104+Mar11!H104</f>
        <v>1401423.2400000002</v>
      </c>
      <c r="I104" s="83"/>
      <c r="J104" s="83"/>
      <c r="K104" s="83">
        <f t="shared" si="1"/>
        <v>-176785.7</v>
      </c>
      <c r="L104" s="37">
        <v>10149</v>
      </c>
      <c r="M104" s="40"/>
    </row>
    <row r="105" spans="1:13" ht="16.5" thickBot="1">
      <c r="A105" s="37">
        <v>4009</v>
      </c>
      <c r="B105" s="37">
        <v>10141</v>
      </c>
      <c r="C105" s="47">
        <v>938445</v>
      </c>
      <c r="D105" s="58" t="s">
        <v>110</v>
      </c>
      <c r="E105" s="45"/>
      <c r="F105" s="83">
        <f>April10!F105+May10!F105+June10!F105+July10!F105+Aug10!F105+Sept10!F105+Oct10!F105+Nov10!F105+Dec10!F105+Jan11!F105+Feb11!F105+Mar11!F105</f>
        <v>136822.13</v>
      </c>
      <c r="G105" s="92">
        <f>April10!G105+May10!G105+June10!G105+July10!G105+Aug10!G105+Sept10!G105+Oct10!G105+Nov10!G105+Dec10!G105+Jan11!G105+Feb11!G105+Mar11!G105</f>
        <v>-258088.21999999994</v>
      </c>
      <c r="H105" s="83">
        <f>April10!H105+May10!H105+June10!H105+July10!H105+Aug10!H105+Sept10!H105+Oct10!H105+Nov10!H105+Dec10!H105+Jan11!H105+Feb11!H105+Mar11!H105</f>
        <v>9438381.86</v>
      </c>
      <c r="I105" s="83"/>
      <c r="J105" s="83"/>
      <c r="K105" s="83">
        <f t="shared" si="1"/>
        <v>394910.35</v>
      </c>
      <c r="L105" s="37">
        <v>10141</v>
      </c>
      <c r="M105" s="40"/>
    </row>
    <row r="106" spans="1:13" ht="16.5" thickBot="1">
      <c r="A106" s="37">
        <v>5407</v>
      </c>
      <c r="B106" s="37">
        <v>10142</v>
      </c>
      <c r="C106" s="47">
        <v>938535</v>
      </c>
      <c r="D106" s="58" t="s">
        <v>111</v>
      </c>
      <c r="E106" s="45"/>
      <c r="F106" s="83">
        <f>April10!F106+May10!F106+June10!F106+July10!F106+Aug10!F106+Sept10!F106+Oct10!F106+Nov10!F106+Dec10!F106+Jan11!F106+Feb11!F106+Mar11!F106</f>
        <v>98814.34</v>
      </c>
      <c r="G106" s="92">
        <f>April10!G106+May10!G106+June10!G106+July10!G106+Aug10!G106+Sept10!G106+Oct10!G106+Nov10!G106+Dec10!G106+Jan11!G106+Feb11!G106+Mar11!G106</f>
        <v>-127431.67000000003</v>
      </c>
      <c r="H106" s="83">
        <f>April10!H106+May10!H106+June10!H106+July10!H106+Aug10!H106+Sept10!H106+Oct10!H106+Nov10!H106+Dec10!H106+Jan11!H106+Feb11!H106+Mar11!H106</f>
        <v>4265489.3</v>
      </c>
      <c r="I106" s="83"/>
      <c r="J106" s="83"/>
      <c r="K106" s="83">
        <f t="shared" si="1"/>
        <v>226246.01</v>
      </c>
      <c r="L106" s="37">
        <v>10142</v>
      </c>
      <c r="M106" s="40"/>
    </row>
    <row r="107" spans="1:13" ht="16.5" thickBot="1">
      <c r="A107" s="37">
        <v>5403</v>
      </c>
      <c r="B107" s="37">
        <v>10143</v>
      </c>
      <c r="C107" s="47">
        <v>938515</v>
      </c>
      <c r="D107" s="58" t="s">
        <v>112</v>
      </c>
      <c r="E107" s="45"/>
      <c r="F107" s="83">
        <f>April10!F107+May10!F107+June10!F107+July10!F107+Aug10!F107+Sept10!F107+Oct10!F107+Nov10!F107+Dec10!F107+Jan11!F107+Feb11!F107+Mar11!F107</f>
        <v>67971.19</v>
      </c>
      <c r="G107" s="92">
        <f>April10!G107+May10!G107+June10!G107+July10!G107+Aug10!G107+Sept10!G107+Oct10!G107+Nov10!G107+Dec10!G107+Jan11!G107+Feb11!G107+Mar11!G107</f>
        <v>1205.219999999943</v>
      </c>
      <c r="H107" s="83">
        <f>April10!H107+May10!H107+June10!H107+July10!H107+Aug10!H107+Sept10!H107+Oct10!H107+Nov10!H107+Dec10!H107+Jan11!H107+Feb11!H107+Mar11!H107</f>
        <v>3522915.68</v>
      </c>
      <c r="I107" s="83"/>
      <c r="J107" s="83"/>
      <c r="K107" s="83">
        <f t="shared" si="1"/>
        <v>66765.97000000006</v>
      </c>
      <c r="L107" s="37">
        <v>10143</v>
      </c>
      <c r="M107" s="40"/>
    </row>
    <row r="108" spans="1:13" ht="16.5" thickBot="1">
      <c r="A108" s="37">
        <v>5404</v>
      </c>
      <c r="B108" s="37">
        <v>10148</v>
      </c>
      <c r="C108" s="47">
        <v>938520</v>
      </c>
      <c r="D108" s="58" t="s">
        <v>126</v>
      </c>
      <c r="E108" s="45"/>
      <c r="F108" s="83">
        <f>April10!F108+May10!F108+June10!F108+July10!F108+Aug10!F108+Sept10!F108+Oct10!F108+Nov10!F108+Dec10!F108+Jan11!F108+Feb11!F108+Mar11!F108</f>
        <v>57303.05</v>
      </c>
      <c r="G108" s="92">
        <f>April10!G108+May10!G108+June10!G108+July10!G108+Aug10!G108+Sept10!G108+Oct10!G108+Nov10!G108+Dec10!G108+Jan11!G108+Feb11!G108+Mar11!G108</f>
        <v>-89274.41</v>
      </c>
      <c r="H108" s="83">
        <f>April10!H108+May10!H108+June10!H108+July10!H108+Aug10!H108+Sept10!H108+Oct10!H108+Nov10!H108+Dec10!H108+Jan11!H108+Feb11!H108+Mar11!H108</f>
        <v>1671834.18</v>
      </c>
      <c r="I108" s="83"/>
      <c r="J108" s="83"/>
      <c r="K108" s="83">
        <f t="shared" si="1"/>
        <v>146577.46000000002</v>
      </c>
      <c r="L108" s="37">
        <v>10148</v>
      </c>
      <c r="M108" s="48"/>
    </row>
    <row r="109" spans="1:13" ht="16.5" thickBot="1">
      <c r="A109" s="37">
        <v>4012</v>
      </c>
      <c r="B109" s="37">
        <v>10144</v>
      </c>
      <c r="C109" s="47">
        <v>938450</v>
      </c>
      <c r="D109" s="58" t="s">
        <v>113</v>
      </c>
      <c r="E109" s="45"/>
      <c r="F109" s="83">
        <f>April10!F109+May10!F109+June10!F109+July10!F109+Aug10!F109+Sept10!F109+Oct10!F109+Nov10!F109+Dec10!F109+Jan11!F109+Feb11!F109+Mar11!F109</f>
        <v>250199.78999999998</v>
      </c>
      <c r="G109" s="92">
        <f>April10!G109+May10!G109+June10!G109+July10!G109+Aug10!G109+Sept10!G109+Oct10!G109+Nov10!G109+Dec10!G109+Jan11!G109+Feb11!G109+Mar11!G109</f>
        <v>-446240.82999999996</v>
      </c>
      <c r="H109" s="83">
        <f>April10!H109+May10!H109+June10!H109+July10!H109+Aug10!H109+Sept10!H109+Oct10!H109+Nov10!H109+Dec10!H109+Jan11!H109+Feb11!H109+Mar11!H109</f>
        <v>6573643.83</v>
      </c>
      <c r="I109" s="83"/>
      <c r="J109" s="83"/>
      <c r="K109" s="83">
        <f t="shared" si="1"/>
        <v>696440.6199999999</v>
      </c>
      <c r="L109" s="37">
        <v>10144</v>
      </c>
      <c r="M109" s="40"/>
    </row>
    <row r="110" spans="1:13" ht="16.5" thickBot="1">
      <c r="A110" s="37">
        <v>7010</v>
      </c>
      <c r="B110" s="37">
        <v>10159</v>
      </c>
      <c r="C110" s="47">
        <v>938575</v>
      </c>
      <c r="D110" s="58" t="s">
        <v>114</v>
      </c>
      <c r="E110" s="45"/>
      <c r="F110" s="83">
        <f>April10!F110+May10!F110+June10!F110+July10!F110+Aug10!F110+Sept10!F110+Oct10!F110+Nov10!F110+Dec10!F110+Jan11!F110+Feb11!F110+Mar11!F110</f>
        <v>35879.75000000001</v>
      </c>
      <c r="G110" s="92">
        <f>April10!G110+May10!G110+June10!G110+July10!G110+Aug10!G110+Sept10!G110+Oct10!G110+Nov10!G110+Dec10!G110+Jan11!G110+Feb11!G110+Mar11!G110</f>
        <v>-24111.589999999964</v>
      </c>
      <c r="H110" s="83">
        <f>April10!H110+May10!H110+June10!H110+July10!H110+Aug10!H110+Sept10!H110+Oct10!H110+Nov10!H110+Dec10!H110+Jan11!H110+Feb11!H110+Mar11!H110</f>
        <v>2201688.3699999996</v>
      </c>
      <c r="I110" s="83"/>
      <c r="J110" s="83"/>
      <c r="K110" s="83">
        <f t="shared" si="1"/>
        <v>59991.33999999997</v>
      </c>
      <c r="L110" s="37">
        <v>10159</v>
      </c>
      <c r="M110" s="40"/>
    </row>
    <row r="111" spans="1:13" ht="16.5" thickBot="1">
      <c r="A111" s="37">
        <v>7005</v>
      </c>
      <c r="B111" s="37">
        <v>10157</v>
      </c>
      <c r="C111" s="47">
        <v>938565</v>
      </c>
      <c r="D111" s="58" t="s">
        <v>115</v>
      </c>
      <c r="E111" s="45"/>
      <c r="F111" s="83">
        <f>April10!F111+May10!F111+June10!F111+July10!F111+Aug10!F111+Sept10!F111+Oct10!F111+Nov10!F111+Dec10!F111+Jan11!F111+Feb11!F111+Mar11!F111</f>
        <v>25560.879999999997</v>
      </c>
      <c r="G111" s="92">
        <f>April10!G111+May10!G111+June10!G111+July10!G111+Aug10!G111+Sept10!G111+Oct10!G111+Nov10!G111+Dec10!G111+Jan11!G111+Feb11!G111+Mar11!G111</f>
        <v>-155623</v>
      </c>
      <c r="H111" s="83">
        <f>April10!H111+May10!H111+June10!H111+July10!H111+Aug10!H111+Sept10!H111+Oct10!H111+Nov10!H111+Dec10!H111+Jan11!H111+Feb11!H111+Mar11!H111</f>
        <v>2020829.91</v>
      </c>
      <c r="I111" s="83"/>
      <c r="J111" s="83"/>
      <c r="K111" s="83">
        <f t="shared" si="1"/>
        <v>181183.88</v>
      </c>
      <c r="L111" s="37">
        <v>10157</v>
      </c>
      <c r="M111" s="40"/>
    </row>
    <row r="112" spans="1:13" ht="16.5" thickBot="1">
      <c r="A112" s="37">
        <v>7009</v>
      </c>
      <c r="B112" s="37">
        <v>10158</v>
      </c>
      <c r="C112" s="47">
        <v>938570</v>
      </c>
      <c r="D112" s="58" t="s">
        <v>116</v>
      </c>
      <c r="E112" s="45"/>
      <c r="F112" s="83">
        <f>April10!F112+May10!F112+June10!F112+July10!F112+Aug10!F112+Sept10!F112+Oct10!F112+Nov10!F112+Dec10!F112+Jan11!F112+Feb11!F112+Mar11!F112</f>
        <v>38939.509999999995</v>
      </c>
      <c r="G112" s="92">
        <f>April10!G112+May10!G112+June10!G112+July10!G112+Aug10!G112+Sept10!G112+Oct10!G112+Nov10!G112+Dec10!G112+Jan11!G112+Feb11!G112+Mar11!G112</f>
        <v>-107089.36</v>
      </c>
      <c r="H112" s="83">
        <f>April10!H112+May10!H112+June10!H112+July10!H112+Aug10!H112+Sept10!H112+Oct10!H112+Nov10!H112+Dec10!H112+Jan11!H112+Feb11!H112+Mar11!H112</f>
        <v>3655743.2299999995</v>
      </c>
      <c r="I112" s="83"/>
      <c r="J112" s="83"/>
      <c r="K112" s="83">
        <f t="shared" si="1"/>
        <v>146028.87</v>
      </c>
      <c r="L112" s="37">
        <v>10158</v>
      </c>
      <c r="M112" s="40"/>
    </row>
    <row r="113" spans="1:13" ht="16.5" thickBot="1">
      <c r="A113" s="37">
        <v>7000</v>
      </c>
      <c r="B113" s="37">
        <v>10156</v>
      </c>
      <c r="C113" s="47">
        <v>938560</v>
      </c>
      <c r="D113" s="58" t="s">
        <v>117</v>
      </c>
      <c r="E113" s="45"/>
      <c r="F113" s="83">
        <f>April10!F113+May10!F113+June10!F113+July10!F113+Aug10!F113+Sept10!F113+Oct10!F113+Nov10!F113+Dec10!F113+Jan11!F113+Feb11!F113+Mar11!F113</f>
        <v>116337.91</v>
      </c>
      <c r="G113" s="92">
        <f>April10!G113+May10!G113+June10!G113+July10!G113+Aug10!G113+Sept10!G113+Oct10!G113+Nov10!G113+Dec10!G113+Jan11!G113+Feb11!G113+Mar11!G113</f>
        <v>82745.69000000003</v>
      </c>
      <c r="H113" s="83">
        <f>April10!H113+May10!H113+June10!H113+July10!H113+Aug10!H113+Sept10!H113+Oct10!H113+Nov10!H113+Dec10!H113+Jan11!H113+Feb11!H113+Mar11!H113</f>
        <v>1063230.6500000001</v>
      </c>
      <c r="I113" s="83"/>
      <c r="J113" s="83"/>
      <c r="K113" s="83">
        <f t="shared" si="1"/>
        <v>33592.21999999997</v>
      </c>
      <c r="L113" s="37">
        <v>10156</v>
      </c>
      <c r="M113" s="40"/>
    </row>
    <row r="114" spans="1:13" ht="16.5" thickBot="1">
      <c r="A114" s="37">
        <v>1000</v>
      </c>
      <c r="B114" s="37">
        <v>10130</v>
      </c>
      <c r="C114" s="47">
        <v>938000</v>
      </c>
      <c r="D114" s="58" t="s">
        <v>132</v>
      </c>
      <c r="E114" s="45"/>
      <c r="F114" s="83">
        <f>April10!F114+May10!F114+June10!F114+July10!F114+Aug10!F114+Sept10!F114+Oct10!F114+Nov10!F114+Dec10!F114+Jan11!F114+Feb11!F114+Mar11!F114</f>
        <v>16870.3</v>
      </c>
      <c r="G114" s="92">
        <f>April10!G114+May10!G114+June10!G114+July10!G114+Aug10!G114+Sept10!G114+Oct10!G114+Nov10!G114+Dec10!G114+Jan11!G114+Feb11!G114+Mar11!G114</f>
        <v>-8104.720000000001</v>
      </c>
      <c r="H114" s="83">
        <f>April10!H114+May10!H114+June10!H114+July10!H114+Aug10!H114+Sept10!H114+Oct10!H114+Nov10!H114+Dec10!H114+Jan11!H114+Feb11!H114+Mar11!H114</f>
        <v>1357314.1099999999</v>
      </c>
      <c r="I114" s="83"/>
      <c r="J114" s="83"/>
      <c r="K114" s="83">
        <f t="shared" si="1"/>
        <v>24975.02</v>
      </c>
      <c r="L114" s="37">
        <v>10130</v>
      </c>
      <c r="M114" s="40"/>
    </row>
    <row r="115" spans="1:13" ht="16.5" thickBot="1">
      <c r="A115" s="37">
        <v>1001</v>
      </c>
      <c r="B115" s="37">
        <v>10131</v>
      </c>
      <c r="C115" s="47">
        <v>938005</v>
      </c>
      <c r="D115" s="58" t="s">
        <v>133</v>
      </c>
      <c r="E115" s="45"/>
      <c r="F115" s="83">
        <f>April10!F115+May10!F115+June10!F115+July10!F115+Aug10!F115+Sept10!F115+Oct10!F115+Nov10!F115+Dec10!F115+Jan11!F115+Feb11!F115+Mar11!F115</f>
        <v>8435.1</v>
      </c>
      <c r="G115" s="92">
        <f>April10!G115+May10!G115+June10!G115+July10!G115+Aug10!G115+Sept10!G115+Oct10!G115+Nov10!G115+Dec10!G115+Jan11!G115+Feb11!G115+Mar11!G115</f>
        <v>-54895.03</v>
      </c>
      <c r="H115" s="83">
        <f>April10!H115+May10!H115+June10!H115+July10!H115+Aug10!H115+Sept10!H115+Oct10!H115+Nov10!H115+Dec10!H115+Jan11!H115+Feb11!H115+Mar11!H115</f>
        <v>1322311.96</v>
      </c>
      <c r="I115" s="83"/>
      <c r="J115" s="83"/>
      <c r="K115" s="83">
        <f t="shared" si="1"/>
        <v>63330.13</v>
      </c>
      <c r="L115" s="37">
        <v>10131</v>
      </c>
      <c r="M115" s="40"/>
    </row>
    <row r="116" spans="1:13" ht="16.5" thickBot="1">
      <c r="A116" s="37">
        <v>1002</v>
      </c>
      <c r="B116" s="37">
        <v>10132</v>
      </c>
      <c r="C116" s="47">
        <v>938010</v>
      </c>
      <c r="D116" s="58" t="s">
        <v>134</v>
      </c>
      <c r="E116" s="45"/>
      <c r="F116" s="83">
        <f>April10!F116+May10!F116+June10!F116+July10!F116+Aug10!F116+Sept10!F116+Oct10!F116+Nov10!F116+Dec10!F116+Jan11!F116+Feb11!F116+Mar11!F116</f>
        <v>10651.02</v>
      </c>
      <c r="G116" s="92">
        <f>April10!G116+May10!G116+June10!G116+July10!G116+Aug10!G116+Sept10!G116+Oct10!G116+Nov10!G116+Dec10!G116+Jan11!G116+Feb11!G116+Mar11!G116</f>
        <v>-41656.62000000001</v>
      </c>
      <c r="H116" s="83">
        <f>April10!H116+May10!H116+June10!H116+July10!H116+Aug10!H116+Sept10!H116+Oct10!H116+Nov10!H116+Dec10!H116+Jan11!H116+Feb11!H116+Mar11!H116</f>
        <v>1434718.39</v>
      </c>
      <c r="I116" s="83"/>
      <c r="J116" s="83"/>
      <c r="K116" s="83">
        <f t="shared" si="1"/>
        <v>52307.640000000014</v>
      </c>
      <c r="L116" s="37">
        <v>10132</v>
      </c>
      <c r="M116" s="40"/>
    </row>
    <row r="117" spans="1:13" ht="15.75">
      <c r="A117" s="37">
        <v>1003</v>
      </c>
      <c r="B117" s="37">
        <v>10133</v>
      </c>
      <c r="C117" s="47">
        <v>938015</v>
      </c>
      <c r="D117" s="58" t="s">
        <v>135</v>
      </c>
      <c r="E117" s="164"/>
      <c r="F117" s="165">
        <f>April10!F117+May10!F117+June10!F117+July10!F117+Aug10!F117+Sept10!F117+Oct10!F117+Nov10!F117+Dec10!F117+Jan11!F117+Feb11!F117+Mar11!F117</f>
        <v>6695.73</v>
      </c>
      <c r="G117" s="166">
        <f>April10!G117+May10!G117+June10!G117+July10!G117+Aug10!G117+Sept10!G117+Oct10!G117+Nov10!G117+Dec10!G117+Jan11!G117+Feb11!G117+Mar11!G117</f>
        <v>-60979.54000000001</v>
      </c>
      <c r="H117" s="165">
        <f>April10!H117+May10!H117+June10!H117+July10!H117+Aug10!H117+Sept10!H117+Oct10!H117+Nov10!H117+Dec10!H117+Jan11!H117+Feb11!H117+Mar11!H117</f>
        <v>1141213.39</v>
      </c>
      <c r="I117" s="165"/>
      <c r="J117" s="165"/>
      <c r="K117" s="165">
        <f t="shared" si="1"/>
        <v>67675.27</v>
      </c>
      <c r="L117" s="167">
        <v>10133</v>
      </c>
      <c r="M117" s="40"/>
    </row>
    <row r="118" spans="3:13" ht="15.75">
      <c r="C118" s="22"/>
      <c r="D118" s="42" t="s">
        <v>340</v>
      </c>
      <c r="E118" s="45"/>
      <c r="F118" s="45">
        <f>SUM(F3:F117)</f>
        <v>5800382.04</v>
      </c>
      <c r="G118" s="92">
        <f>SUM(G3:G117)</f>
        <v>-2461095.45</v>
      </c>
      <c r="H118" s="45">
        <f>SUM(H3:H117)</f>
        <v>229841340.60999998</v>
      </c>
      <c r="I118" s="83"/>
      <c r="J118" s="83"/>
      <c r="K118" s="83">
        <f>SUM(K3:K117)</f>
        <v>8261477.49</v>
      </c>
      <c r="L118" s="98">
        <f>G118-F118</f>
        <v>-8261477.49</v>
      </c>
      <c r="M118" s="40"/>
    </row>
    <row r="119" spans="2:13" ht="15.75">
      <c r="B119" s="38"/>
      <c r="D119" s="133" t="s">
        <v>339</v>
      </c>
      <c r="E119" s="45">
        <f aca="true" t="shared" si="2" ref="E119:J119">SUM(E3:E117)</f>
        <v>0</v>
      </c>
      <c r="F119" s="45">
        <f>April10!F118+May10!F118+June10!F118+July10!F118+Aug10!F118+Sept10!F118+Oct10!F118+Nov10!F118+Dec10!F118+Jan11!F118+Feb11!F118+Mar11!F118</f>
        <v>5800382.04</v>
      </c>
      <c r="G119" s="96">
        <f>April10!G118+May10!G118+June10!G118+July10!G118+Aug10!G118+Sept10!G118+Oct10!G118+Nov10!G118+Dec10!G118+Jan11!G118+Feb11!G118+Mar11!G118</f>
        <v>-2461095.449999996</v>
      </c>
      <c r="H119" s="45">
        <f>April10!H118+May10!H118+June10!H118+July10!H118+Aug10!H118+Sept10!H118+Oct10!H118+Nov10!H118+Dec10!H118+Jan11!H118+Feb11!H118+Mar11!H118</f>
        <v>229841340.60999995</v>
      </c>
      <c r="I119" s="45">
        <f t="shared" si="2"/>
        <v>0</v>
      </c>
      <c r="J119" s="45">
        <f t="shared" si="2"/>
        <v>0</v>
      </c>
      <c r="K119" s="83">
        <f>SUM(K3:K117)</f>
        <v>8261477.49</v>
      </c>
      <c r="L119" s="118">
        <f>G119-F119</f>
        <v>-8261477.4899999965</v>
      </c>
      <c r="M119" s="48"/>
    </row>
    <row r="120" spans="3:13" ht="15.75">
      <c r="C120" s="1">
        <f>COUNT(C3:C117)</f>
        <v>115</v>
      </c>
      <c r="D120" s="141">
        <f>COUNT(A3:A117)-COUNTA(M3:M117)</f>
        <v>115</v>
      </c>
      <c r="F120" s="158"/>
      <c r="G120" s="92"/>
      <c r="H120" s="158"/>
      <c r="I120" s="158"/>
      <c r="J120" s="158"/>
      <c r="K120" s="158"/>
      <c r="L120" s="38"/>
      <c r="M120" s="38"/>
    </row>
    <row r="121" spans="4:13" ht="15.75">
      <c r="D121" s="86"/>
      <c r="E121" s="38"/>
      <c r="F121" s="158"/>
      <c r="G121" s="92"/>
      <c r="H121" s="64"/>
      <c r="I121" s="158"/>
      <c r="J121" s="158"/>
      <c r="K121" s="158"/>
      <c r="L121" s="38"/>
      <c r="M121" s="38"/>
    </row>
    <row r="122" spans="4:13" ht="15.75">
      <c r="D122" s="42" t="s">
        <v>243</v>
      </c>
      <c r="F122" s="45">
        <f>April10!F118+May10!F118+June10!F118+July10!F118+Aug10!F118+Sept10!F118+Oct10!F118+Nov10!F118+Dec10!F118+Jan11!F118+Feb11!F118+Mar11!F118</f>
        <v>5800382.04</v>
      </c>
      <c r="G122" s="96">
        <f>April10!G118+May10!G118+June10!G118+July10!G118+Aug10!G118+Sept10!G118+Oct10!G118+Nov10!G118+Dec10!G118</f>
        <v>-2496331.4399999958</v>
      </c>
      <c r="H122" s="46">
        <f>April10!H118+May10!H118+June10!H118+July10!H118+Aug10!H118+Sept10!H118+Oct10!H118+Nov10!H118+Dec10!H118</f>
        <v>203468994.78999996</v>
      </c>
      <c r="I122" s="158"/>
      <c r="J122" s="158"/>
      <c r="K122" s="158"/>
      <c r="L122" s="38"/>
      <c r="M122" s="38"/>
    </row>
    <row r="123" spans="5:13" ht="15.75">
      <c r="E123" s="42"/>
      <c r="F123" s="159">
        <f>F119-F122</f>
        <v>0</v>
      </c>
      <c r="G123" s="159">
        <f>G119-G122</f>
        <v>35235.98999999976</v>
      </c>
      <c r="H123" s="160">
        <f>H119-H122</f>
        <v>26372345.819999993</v>
      </c>
      <c r="I123" s="158"/>
      <c r="J123" s="158"/>
      <c r="K123" s="158"/>
      <c r="L123" s="38"/>
      <c r="M123" s="85"/>
    </row>
    <row r="124" spans="6:13" ht="15.75">
      <c r="F124" s="158"/>
      <c r="G124" s="158"/>
      <c r="H124" s="158"/>
      <c r="I124" s="158"/>
      <c r="J124" s="158"/>
      <c r="K124" s="158"/>
      <c r="L124" s="38"/>
      <c r="M124" s="38"/>
    </row>
    <row r="125" spans="12:13" ht="15.75">
      <c r="L125" s="38"/>
      <c r="M125" s="38"/>
    </row>
    <row r="126" spans="12:13" ht="15.75">
      <c r="L126" s="38"/>
      <c r="M126" s="38"/>
    </row>
    <row r="127" spans="12:13" ht="15.75">
      <c r="L127" s="38"/>
      <c r="M127" s="38"/>
    </row>
    <row r="128" spans="12:13" ht="15.75">
      <c r="L128" s="38"/>
      <c r="M128" s="38"/>
    </row>
    <row r="129" spans="12:13" ht="15.75">
      <c r="L129" s="38"/>
      <c r="M129" s="38"/>
    </row>
    <row r="130" spans="12:13" ht="15.75">
      <c r="L130" s="38"/>
      <c r="M130" s="38"/>
    </row>
    <row r="131" spans="12:13" ht="15.75">
      <c r="L131" s="38"/>
      <c r="M131" s="38"/>
    </row>
    <row r="132" spans="6:13" ht="15.75">
      <c r="F132" s="98"/>
      <c r="G132" s="98"/>
      <c r="H132" s="98"/>
      <c r="L132" s="38"/>
      <c r="M132" s="38"/>
    </row>
    <row r="133" spans="12:13" ht="15.75">
      <c r="L133" s="38"/>
      <c r="M133" s="38"/>
    </row>
    <row r="134" spans="12:13" ht="15.75">
      <c r="L134" s="38"/>
      <c r="M134" s="38"/>
    </row>
    <row r="135" spans="12:13" ht="15.75">
      <c r="L135" s="38"/>
      <c r="M135" s="38"/>
    </row>
    <row r="136" spans="12:13" ht="15.75">
      <c r="L136" s="38"/>
      <c r="M136" s="38"/>
    </row>
    <row r="137" spans="3:13" ht="15">
      <c r="C137" s="37"/>
      <c r="L137" s="40"/>
      <c r="M137" s="40"/>
    </row>
    <row r="138" spans="12:13" ht="15.75">
      <c r="L138" s="38"/>
      <c r="M138" s="38"/>
    </row>
    <row r="139" spans="12:13" ht="15.75">
      <c r="L139" s="38"/>
      <c r="M139" s="38"/>
    </row>
    <row r="140" spans="12:13" ht="15.75">
      <c r="L140" s="38"/>
      <c r="M140" s="38"/>
    </row>
    <row r="141" spans="12:13" ht="15.75">
      <c r="L141" s="38"/>
      <c r="M141" s="38"/>
    </row>
    <row r="142" spans="12:13" ht="15.75">
      <c r="L142" s="38"/>
      <c r="M142" s="38"/>
    </row>
    <row r="143" spans="12:13" ht="15.75">
      <c r="L143" s="38"/>
      <c r="M143" s="38"/>
    </row>
    <row r="144" spans="12:13" ht="15.75">
      <c r="L144" s="38"/>
      <c r="M144" s="38"/>
    </row>
    <row r="145" spans="12:13" ht="15.75">
      <c r="L145" s="38"/>
      <c r="M145" s="38"/>
    </row>
    <row r="146" spans="12:13" ht="15.75">
      <c r="L146" s="38"/>
      <c r="M146" s="38"/>
    </row>
    <row r="147" spans="12:13" ht="15.75">
      <c r="L147" s="38"/>
      <c r="M147" s="38"/>
    </row>
    <row r="148" spans="12:13" ht="15.75">
      <c r="L148" s="38"/>
      <c r="M148" s="38"/>
    </row>
    <row r="149" spans="12:13" ht="15.75">
      <c r="L149" s="38"/>
      <c r="M149" s="38"/>
    </row>
    <row r="150" spans="12:13" ht="15.75">
      <c r="L150" s="38"/>
      <c r="M150" s="38"/>
    </row>
    <row r="151" spans="12:13" ht="15.75">
      <c r="L151" s="38"/>
      <c r="M151" s="38"/>
    </row>
    <row r="152" spans="12:13" ht="15.75">
      <c r="L152" s="38"/>
      <c r="M152" s="38"/>
    </row>
    <row r="153" spans="12:13" ht="15.75">
      <c r="L153" s="38"/>
      <c r="M153" s="38"/>
    </row>
    <row r="154" spans="12:13" ht="15.75">
      <c r="L154" s="38"/>
      <c r="M154" s="38"/>
    </row>
    <row r="155" spans="12:13" ht="15.75">
      <c r="L155" s="38"/>
      <c r="M155" s="38"/>
    </row>
    <row r="156" spans="12:13" ht="15.75">
      <c r="L156" s="38"/>
      <c r="M156" s="38"/>
    </row>
    <row r="157" spans="12:13" ht="15.75">
      <c r="L157" s="38"/>
      <c r="M157" s="38"/>
    </row>
    <row r="158" spans="12:13" ht="15.75">
      <c r="L158" s="38"/>
      <c r="M158" s="38"/>
    </row>
    <row r="159" spans="12:13" ht="15.75">
      <c r="L159" s="38"/>
      <c r="M159" s="38"/>
    </row>
    <row r="160" spans="12:13" ht="15.75">
      <c r="L160" s="38"/>
      <c r="M160" s="38"/>
    </row>
    <row r="161" spans="12:13" ht="15.75">
      <c r="L161" s="38"/>
      <c r="M161" s="38"/>
    </row>
    <row r="162" spans="12:13" ht="15.75">
      <c r="L162" s="38"/>
      <c r="M162" s="38"/>
    </row>
    <row r="163" spans="12:13" ht="15.75">
      <c r="L163" s="38"/>
      <c r="M163" s="38"/>
    </row>
    <row r="164" ht="15.75">
      <c r="L164" s="38"/>
    </row>
    <row r="165" ht="15.75">
      <c r="L165" s="38"/>
    </row>
    <row r="166" ht="15.75">
      <c r="L166" s="38"/>
    </row>
    <row r="167" ht="15.75">
      <c r="L167" s="38"/>
    </row>
    <row r="168" ht="15.75">
      <c r="L168" s="38"/>
    </row>
    <row r="169" ht="15.75">
      <c r="L169" s="38"/>
    </row>
    <row r="170" ht="15.75">
      <c r="L170" s="38"/>
    </row>
    <row r="171" ht="15.75">
      <c r="L171" s="38"/>
    </row>
    <row r="172" ht="15.75">
      <c r="L172" s="38"/>
    </row>
    <row r="173" ht="15.75">
      <c r="L173" s="38"/>
    </row>
    <row r="174" ht="15.75">
      <c r="L174" s="38"/>
    </row>
    <row r="175" ht="15.75">
      <c r="L175" s="38"/>
    </row>
    <row r="176" ht="15.75">
      <c r="L176" s="38"/>
    </row>
    <row r="177" ht="15.75">
      <c r="L177" s="38"/>
    </row>
    <row r="178" ht="15.75">
      <c r="L178" s="38"/>
    </row>
  </sheetData>
  <autoFilter ref="A2:M119"/>
  <mergeCells count="9">
    <mergeCell ref="M1:M2"/>
    <mergeCell ref="H1:H2"/>
    <mergeCell ref="I1:I2"/>
    <mergeCell ref="J1:J2"/>
    <mergeCell ref="K1:K2"/>
    <mergeCell ref="E1:E2"/>
    <mergeCell ref="F1:F2"/>
    <mergeCell ref="G1:G2"/>
    <mergeCell ref="L1:L2"/>
  </mergeCells>
  <conditionalFormatting sqref="G3:G122">
    <cfRule type="cellIs" priority="1" dxfId="1" operator="lessThan" stopIfTrue="1">
      <formula>0</formula>
    </cfRule>
  </conditionalFormatting>
  <printOptions horizontalCentered="1"/>
  <pageMargins left="0" right="0" top="0" bottom="0" header="0" footer="0"/>
  <pageSetup cellComments="asDisplayed" fitToHeight="3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28"/>
  <sheetViews>
    <sheetView zoomScale="96" zoomScaleNormal="96" workbookViewId="0" topLeftCell="A1">
      <selection activeCell="D120" sqref="D120"/>
    </sheetView>
  </sheetViews>
  <sheetFormatPr defaultColWidth="8.88671875" defaultRowHeight="15"/>
  <cols>
    <col min="1" max="1" width="27.10546875" style="0" customWidth="1"/>
    <col min="2" max="2" width="16.3359375" style="0" customWidth="1"/>
    <col min="3" max="3" width="15.6640625" style="0" customWidth="1"/>
    <col min="4" max="4" width="12.88671875" style="0" bestFit="1" customWidth="1"/>
    <col min="5" max="6" width="13.77734375" style="0" customWidth="1"/>
    <col min="7" max="7" width="11.99609375" style="0" bestFit="1" customWidth="1"/>
    <col min="8" max="8" width="10.99609375" style="0" bestFit="1" customWidth="1"/>
  </cols>
  <sheetData>
    <row r="1" spans="1:5" ht="15.75">
      <c r="A1" s="2" t="s">
        <v>397</v>
      </c>
      <c r="B1" s="2" t="s">
        <v>141</v>
      </c>
      <c r="C1" s="1"/>
      <c r="D1" s="1"/>
      <c r="E1" s="1"/>
    </row>
    <row r="2" spans="2:7" ht="15.75">
      <c r="B2" s="2" t="s">
        <v>143</v>
      </c>
      <c r="C2" s="2" t="s">
        <v>144</v>
      </c>
      <c r="D2" s="2" t="s">
        <v>146</v>
      </c>
      <c r="E2" s="2" t="s">
        <v>147</v>
      </c>
      <c r="F2" s="2" t="s">
        <v>145</v>
      </c>
      <c r="G2" s="1"/>
    </row>
    <row r="3" spans="1:7" ht="15.75">
      <c r="A3" s="1" t="s">
        <v>194</v>
      </c>
      <c r="B3" s="46">
        <f>April10!F118</f>
        <v>191092.43000000002</v>
      </c>
      <c r="C3" s="46">
        <f>'[2]APR 10'!$C$120</f>
        <v>185198.4</v>
      </c>
      <c r="D3" s="46">
        <f>B3-C3</f>
        <v>5894.030000000028</v>
      </c>
      <c r="E3" s="46">
        <v>0</v>
      </c>
      <c r="F3" s="112">
        <v>185198.4</v>
      </c>
      <c r="G3" s="46" t="s">
        <v>151</v>
      </c>
    </row>
    <row r="4" spans="1:7" ht="15.75">
      <c r="A4" s="1" t="s">
        <v>142</v>
      </c>
      <c r="B4" s="46">
        <f>+May10!F118+May10!I118</f>
        <v>942611.1900000002</v>
      </c>
      <c r="C4" s="46">
        <f>'[2]MAY 10'!$C$123</f>
        <v>948505.2200000003</v>
      </c>
      <c r="D4" s="46">
        <f aca="true" t="shared" si="0" ref="D4:D14">B4-C4</f>
        <v>-5894.030000000144</v>
      </c>
      <c r="E4" s="46">
        <v>0</v>
      </c>
      <c r="F4" s="46">
        <v>948505.22</v>
      </c>
      <c r="G4" s="46" t="s">
        <v>152</v>
      </c>
    </row>
    <row r="5" spans="1:7" ht="15.75">
      <c r="A5" s="1" t="s">
        <v>195</v>
      </c>
      <c r="B5" s="46">
        <f>+June10!F118</f>
        <v>657849.5699999998</v>
      </c>
      <c r="C5" s="46">
        <f>'[2]JUN 10'!$C$120</f>
        <v>652740.9699999999</v>
      </c>
      <c r="D5" s="46">
        <f t="shared" si="0"/>
        <v>5108.599999999977</v>
      </c>
      <c r="E5" s="46">
        <v>0</v>
      </c>
      <c r="F5" s="46">
        <v>652740.97</v>
      </c>
      <c r="G5" s="46" t="s">
        <v>153</v>
      </c>
    </row>
    <row r="6" spans="1:7" ht="15.75">
      <c r="A6" s="1" t="s">
        <v>196</v>
      </c>
      <c r="B6" s="46">
        <f>July10!F118</f>
        <v>489064.35000000003</v>
      </c>
      <c r="C6" s="46">
        <f>'[6]JUL 10'!$C$122</f>
        <v>455154.51</v>
      </c>
      <c r="D6" s="46">
        <f t="shared" si="0"/>
        <v>33909.840000000026</v>
      </c>
      <c r="E6" s="46">
        <v>0</v>
      </c>
      <c r="F6" s="46">
        <v>455154.51</v>
      </c>
      <c r="G6" s="46" t="s">
        <v>154</v>
      </c>
    </row>
    <row r="7" spans="1:7" ht="15.75">
      <c r="A7" s="1" t="s">
        <v>197</v>
      </c>
      <c r="B7" s="46">
        <f>Aug10!F118</f>
        <v>259664.29000000004</v>
      </c>
      <c r="C7" s="46">
        <f>'[6]AUG 10'!$C$123</f>
        <v>297825.63</v>
      </c>
      <c r="D7" s="46">
        <f t="shared" si="0"/>
        <v>-38161.33999999997</v>
      </c>
      <c r="E7" s="46">
        <v>0</v>
      </c>
      <c r="F7" s="112">
        <v>297825.63</v>
      </c>
      <c r="G7" s="46" t="s">
        <v>155</v>
      </c>
    </row>
    <row r="8" spans="1:7" ht="15.75">
      <c r="A8" s="1" t="s">
        <v>198</v>
      </c>
      <c r="B8" s="46">
        <f>Sept10!F118</f>
        <v>1181869.57</v>
      </c>
      <c r="C8" s="46">
        <f>'[6]SEP 10'!$C$121</f>
        <v>1155954.1600000004</v>
      </c>
      <c r="D8" s="46">
        <f t="shared" si="0"/>
        <v>25915.409999999683</v>
      </c>
      <c r="E8" s="46">
        <v>0</v>
      </c>
      <c r="F8" s="46">
        <v>1155954.16</v>
      </c>
      <c r="G8" s="46" t="s">
        <v>156</v>
      </c>
    </row>
    <row r="9" spans="1:7" ht="15.75">
      <c r="A9" s="1" t="s">
        <v>199</v>
      </c>
      <c r="B9" s="46">
        <f>Oct10!F118</f>
        <v>502097.55</v>
      </c>
      <c r="C9" s="46">
        <f>'[6]OCT 10'!$C$120</f>
        <v>495577.88000000006</v>
      </c>
      <c r="D9" s="46">
        <f t="shared" si="0"/>
        <v>6519.6699999999255</v>
      </c>
      <c r="E9" s="46">
        <v>0</v>
      </c>
      <c r="F9" s="46">
        <v>495577.88</v>
      </c>
      <c r="G9" s="46" t="s">
        <v>157</v>
      </c>
    </row>
    <row r="10" spans="1:7" ht="15.75">
      <c r="A10" s="1" t="s">
        <v>200</v>
      </c>
      <c r="B10" s="46">
        <f>Nov10!F118</f>
        <v>596757.2299999999</v>
      </c>
      <c r="C10" s="46">
        <f>'[6]NOV 10'!$C$122+16.49</f>
        <v>634779.9399999998</v>
      </c>
      <c r="D10" s="46">
        <f t="shared" si="0"/>
        <v>-38022.70999999996</v>
      </c>
      <c r="E10" s="46">
        <v>608.25</v>
      </c>
      <c r="F10" s="46">
        <v>634779.94</v>
      </c>
      <c r="G10" s="46" t="s">
        <v>158</v>
      </c>
    </row>
    <row r="11" spans="1:7" ht="15.75">
      <c r="A11" s="1" t="s">
        <v>201</v>
      </c>
      <c r="B11" s="46">
        <f>Dec10!F118</f>
        <v>362649.03</v>
      </c>
      <c r="C11" s="46">
        <f>'[6]DEC 10'!$C$120</f>
        <v>353231.18000000005</v>
      </c>
      <c r="D11" s="46">
        <f t="shared" si="0"/>
        <v>9417.849999999977</v>
      </c>
      <c r="E11" s="46">
        <v>0</v>
      </c>
      <c r="F11" s="46">
        <v>353231.18</v>
      </c>
      <c r="G11" s="46" t="s">
        <v>159</v>
      </c>
    </row>
    <row r="12" spans="1:7" ht="15.75">
      <c r="A12" s="1" t="s">
        <v>202</v>
      </c>
      <c r="B12" s="46">
        <f>Jan11!F118+Jan11!I118</f>
        <v>616726.8300000003</v>
      </c>
      <c r="C12" s="46">
        <f>'[6]JAN 11'!$C$122</f>
        <v>626144.6800000003</v>
      </c>
      <c r="D12" s="46">
        <f t="shared" si="0"/>
        <v>-9417.849999999977</v>
      </c>
      <c r="E12" s="46">
        <v>4122.28</v>
      </c>
      <c r="F12" s="46"/>
      <c r="G12" s="46" t="s">
        <v>160</v>
      </c>
    </row>
    <row r="13" spans="1:7" ht="15.75">
      <c r="A13" s="1" t="s">
        <v>203</v>
      </c>
      <c r="B13" s="46">
        <f>Feb11!F118</f>
        <v>0</v>
      </c>
      <c r="C13" s="46">
        <f>'[2]FEB 11'!$C$120</f>
        <v>0</v>
      </c>
      <c r="D13" s="46">
        <f t="shared" si="0"/>
        <v>0</v>
      </c>
      <c r="E13" s="46">
        <v>0</v>
      </c>
      <c r="F13" s="46"/>
      <c r="G13" s="46" t="s">
        <v>161</v>
      </c>
    </row>
    <row r="14" spans="1:7" ht="15.75">
      <c r="A14" s="1" t="s">
        <v>204</v>
      </c>
      <c r="B14" s="46">
        <f>Mar11!F118</f>
        <v>0</v>
      </c>
      <c r="C14" s="46">
        <f>'[2]MAR 11'!$C$120</f>
        <v>0</v>
      </c>
      <c r="D14" s="46">
        <f t="shared" si="0"/>
        <v>0</v>
      </c>
      <c r="E14" s="46">
        <v>0</v>
      </c>
      <c r="F14" s="46"/>
      <c r="G14" s="46" t="s">
        <v>162</v>
      </c>
    </row>
    <row r="15" spans="2:7" ht="15.75">
      <c r="B15" s="46">
        <f>SUM(B3:B14)</f>
        <v>5800382.04</v>
      </c>
      <c r="C15" s="46">
        <f>SUM(C3:C14)</f>
        <v>5805112.57</v>
      </c>
      <c r="D15" s="46">
        <f>SUM(D3:D14)</f>
        <v>-4730.530000000435</v>
      </c>
      <c r="E15" s="46">
        <f>SUM(E3:E14)</f>
        <v>4730.53</v>
      </c>
      <c r="F15" s="46">
        <f>SUM(F3:F14)</f>
        <v>5178967.889999999</v>
      </c>
      <c r="G15" s="46"/>
    </row>
    <row r="16" spans="4:6" ht="15">
      <c r="D16" s="49"/>
      <c r="F16" s="49"/>
    </row>
    <row r="17" spans="5:8" ht="15.75">
      <c r="E17" s="95">
        <f>+D15+E15</f>
        <v>-4.3564796214923263E-10</v>
      </c>
      <c r="F17" s="49"/>
      <c r="H17" s="49"/>
    </row>
    <row r="18" spans="3:6" ht="15.75">
      <c r="C18" s="49"/>
      <c r="E18" s="95"/>
      <c r="F18" s="49"/>
    </row>
    <row r="19" ht="15.75">
      <c r="F19" s="95">
        <f>F15-C15</f>
        <v>-626144.6800000016</v>
      </c>
    </row>
    <row r="23" ht="15.75">
      <c r="H23" s="95"/>
    </row>
    <row r="24" ht="15.75">
      <c r="F24" s="95">
        <f>F15-F19</f>
        <v>5805112.57</v>
      </c>
    </row>
    <row r="26" spans="5:6" ht="15">
      <c r="E26" s="116"/>
      <c r="F26" s="116"/>
    </row>
    <row r="27" spans="5:6" ht="15">
      <c r="E27" s="117"/>
      <c r="F27" s="116"/>
    </row>
    <row r="28" spans="5:6" ht="15">
      <c r="E28" s="117"/>
      <c r="F28" s="116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3"/>
  <headerFooter alignWithMargins="0">
    <oddFooter>&amp;L&amp;Z&amp;F&amp;F&amp;R&amp;D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U191"/>
  <sheetViews>
    <sheetView zoomScale="75" zoomScaleNormal="75" zoomScaleSheetLayoutView="70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1.77734375" style="37" customWidth="1"/>
    <col min="5" max="5" width="11.99609375" style="36" customWidth="1"/>
    <col min="6" max="6" width="15.10546875" style="37" customWidth="1"/>
    <col min="7" max="7" width="15.99609375" style="37" customWidth="1"/>
    <col min="8" max="8" width="16.77734375" style="37" customWidth="1"/>
    <col min="9" max="9" width="13.4453125" style="37" customWidth="1"/>
    <col min="10" max="10" width="12.5546875" style="37" customWidth="1"/>
    <col min="11" max="11" width="15.99609375" style="37" customWidth="1"/>
    <col min="12" max="12" width="13.88671875" style="37" customWidth="1"/>
    <col min="13" max="13" width="18.10546875" style="37" customWidth="1"/>
    <col min="14" max="16384" width="8.88671875" style="37" customWidth="1"/>
  </cols>
  <sheetData>
    <row r="1" spans="1:13" s="59" customFormat="1" ht="15.75" customHeight="1">
      <c r="A1" s="56" t="s">
        <v>118</v>
      </c>
      <c r="B1" s="56" t="s">
        <v>120</v>
      </c>
      <c r="C1" s="56" t="s">
        <v>163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6.5" customHeight="1">
      <c r="A2" s="57" t="s">
        <v>119</v>
      </c>
      <c r="B2" s="57" t="s">
        <v>137</v>
      </c>
      <c r="C2" s="57" t="s">
        <v>172</v>
      </c>
      <c r="D2" s="57" t="s">
        <v>261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21" ht="15.75">
      <c r="A3" s="37">
        <v>3520</v>
      </c>
      <c r="B3" s="36">
        <v>11094</v>
      </c>
      <c r="C3" s="22">
        <v>938585</v>
      </c>
      <c r="D3" s="40" t="s">
        <v>176</v>
      </c>
      <c r="E3" s="39"/>
      <c r="F3" s="83"/>
      <c r="G3" s="92"/>
      <c r="H3" s="92"/>
      <c r="I3" s="39"/>
      <c r="J3" s="39"/>
      <c r="K3" s="45"/>
      <c r="L3" s="40"/>
      <c r="M3" s="40"/>
      <c r="N3" s="38"/>
      <c r="O3" s="38"/>
      <c r="P3" s="38"/>
      <c r="Q3" s="38"/>
      <c r="R3" s="38"/>
      <c r="S3" s="38"/>
      <c r="T3" s="38"/>
      <c r="U3" s="38"/>
    </row>
    <row r="4" spans="1:21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83"/>
      <c r="G4" s="92"/>
      <c r="H4" s="92"/>
      <c r="I4" s="39"/>
      <c r="J4" s="39"/>
      <c r="K4" s="45"/>
      <c r="L4" s="40"/>
      <c r="M4" s="40"/>
      <c r="N4" s="38"/>
      <c r="O4" s="38"/>
      <c r="P4" s="38"/>
      <c r="Q4" s="38"/>
      <c r="R4" s="38"/>
      <c r="S4" s="38"/>
      <c r="T4" s="38"/>
      <c r="U4" s="38"/>
    </row>
    <row r="5" spans="1:21" ht="16.5" thickBot="1">
      <c r="A5" s="37">
        <v>3300</v>
      </c>
      <c r="B5" s="37">
        <v>10040</v>
      </c>
      <c r="C5" s="47">
        <v>938282</v>
      </c>
      <c r="D5" s="40" t="s">
        <v>17</v>
      </c>
      <c r="E5" s="39"/>
      <c r="F5" s="83"/>
      <c r="G5" s="92"/>
      <c r="H5" s="92"/>
      <c r="I5" s="39"/>
      <c r="J5" s="39"/>
      <c r="K5" s="45"/>
      <c r="L5" s="40"/>
      <c r="M5" s="40"/>
      <c r="N5" s="38"/>
      <c r="O5" s="38"/>
      <c r="P5" s="38"/>
      <c r="Q5" s="38"/>
      <c r="R5" s="38"/>
      <c r="S5" s="38"/>
      <c r="T5" s="38"/>
      <c r="U5" s="38"/>
    </row>
    <row r="6" spans="1:21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83"/>
      <c r="G6" s="92"/>
      <c r="H6" s="92"/>
      <c r="I6" s="39"/>
      <c r="J6" s="39"/>
      <c r="K6" s="45"/>
      <c r="L6" s="40"/>
      <c r="M6" s="40"/>
      <c r="N6" s="38"/>
      <c r="O6" s="38"/>
      <c r="P6" s="38"/>
      <c r="Q6" s="38"/>
      <c r="R6" s="38"/>
      <c r="S6" s="38"/>
      <c r="T6" s="38"/>
      <c r="U6" s="38"/>
    </row>
    <row r="7" spans="1:21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83"/>
      <c r="G7" s="92"/>
      <c r="H7" s="92"/>
      <c r="I7" s="39"/>
      <c r="J7" s="40"/>
      <c r="K7" s="45"/>
      <c r="L7" s="40"/>
      <c r="M7" s="40"/>
      <c r="N7" s="38"/>
      <c r="O7" s="38"/>
      <c r="P7" s="38"/>
      <c r="Q7" s="38"/>
      <c r="R7" s="38"/>
      <c r="S7" s="38"/>
      <c r="T7" s="38"/>
      <c r="U7" s="38"/>
    </row>
    <row r="8" spans="1:21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83"/>
      <c r="G8" s="92"/>
      <c r="H8" s="92"/>
      <c r="I8" s="39"/>
      <c r="J8" s="40"/>
      <c r="K8" s="45"/>
      <c r="L8" s="40"/>
      <c r="M8" s="40"/>
      <c r="N8" s="38"/>
      <c r="O8" s="38"/>
      <c r="P8" s="38"/>
      <c r="Q8" s="38"/>
      <c r="R8" s="38"/>
      <c r="S8" s="38"/>
      <c r="T8" s="38"/>
      <c r="U8" s="38"/>
    </row>
    <row r="9" spans="1:21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83"/>
      <c r="G9" s="92"/>
      <c r="H9" s="92"/>
      <c r="I9" s="39"/>
      <c r="J9" s="39"/>
      <c r="K9" s="45"/>
      <c r="L9" s="40"/>
      <c r="M9" s="40"/>
      <c r="N9" s="38"/>
      <c r="O9" s="38"/>
      <c r="P9" s="38"/>
      <c r="Q9" s="38"/>
      <c r="R9" s="38"/>
      <c r="S9" s="38"/>
      <c r="T9" s="38"/>
      <c r="U9" s="38"/>
    </row>
    <row r="10" spans="1:21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83"/>
      <c r="G10" s="92"/>
      <c r="H10" s="92"/>
      <c r="I10" s="39"/>
      <c r="J10" s="39"/>
      <c r="K10" s="45"/>
      <c r="L10" s="40"/>
      <c r="M10" s="40"/>
      <c r="N10" s="38"/>
      <c r="O10" s="38"/>
      <c r="P10" s="38"/>
      <c r="Q10" s="38"/>
      <c r="R10" s="38"/>
      <c r="S10" s="38"/>
      <c r="T10" s="38"/>
      <c r="U10" s="38"/>
    </row>
    <row r="11" spans="1:21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83"/>
      <c r="G11" s="92"/>
      <c r="H11" s="92"/>
      <c r="I11" s="39"/>
      <c r="J11" s="39"/>
      <c r="K11" s="45"/>
      <c r="L11" s="40"/>
      <c r="M11" s="40"/>
      <c r="N11" s="38"/>
      <c r="O11" s="38"/>
      <c r="P11" s="38"/>
      <c r="Q11" s="38"/>
      <c r="R11" s="38"/>
      <c r="S11" s="38"/>
      <c r="T11" s="38"/>
      <c r="U11" s="38"/>
    </row>
    <row r="12" spans="1:21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83"/>
      <c r="G12" s="92"/>
      <c r="H12" s="92"/>
      <c r="I12" s="39"/>
      <c r="J12" s="39"/>
      <c r="K12" s="45"/>
      <c r="L12" s="40"/>
      <c r="M12" s="40"/>
      <c r="N12" s="38"/>
      <c r="O12" s="38"/>
      <c r="P12" s="38"/>
      <c r="Q12" s="38"/>
      <c r="R12" s="38"/>
      <c r="S12" s="38"/>
      <c r="T12" s="38"/>
      <c r="U12" s="38"/>
    </row>
    <row r="13" spans="1:21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83"/>
      <c r="G13" s="92"/>
      <c r="H13" s="92"/>
      <c r="I13" s="39"/>
      <c r="J13" s="39"/>
      <c r="K13" s="45"/>
      <c r="L13" s="40"/>
      <c r="M13" s="40"/>
      <c r="N13" s="38"/>
      <c r="O13" s="38"/>
      <c r="P13" s="38"/>
      <c r="Q13" s="38"/>
      <c r="R13" s="38"/>
      <c r="S13" s="38"/>
      <c r="T13" s="38"/>
      <c r="U13" s="38"/>
    </row>
    <row r="14" spans="1:21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83"/>
      <c r="G14" s="92"/>
      <c r="H14" s="92"/>
      <c r="I14" s="39"/>
      <c r="J14" s="39"/>
      <c r="K14" s="45"/>
      <c r="L14" s="40"/>
      <c r="M14" s="40"/>
      <c r="N14" s="38"/>
      <c r="O14" s="38"/>
      <c r="P14" s="38"/>
      <c r="Q14" s="38"/>
      <c r="R14" s="38"/>
      <c r="S14" s="38"/>
      <c r="T14" s="38"/>
      <c r="U14" s="38"/>
    </row>
    <row r="15" spans="1:21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83"/>
      <c r="G15" s="92"/>
      <c r="H15" s="92"/>
      <c r="I15" s="39"/>
      <c r="J15" s="39"/>
      <c r="K15" s="45"/>
      <c r="L15" s="40"/>
      <c r="M15" s="40"/>
      <c r="N15" s="38"/>
      <c r="O15" s="38"/>
      <c r="P15" s="38"/>
      <c r="Q15" s="38"/>
      <c r="R15" s="38"/>
      <c r="S15" s="38"/>
      <c r="T15" s="38"/>
      <c r="U15" s="38"/>
    </row>
    <row r="16" spans="1:21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83"/>
      <c r="G16" s="92"/>
      <c r="H16" s="92"/>
      <c r="I16" s="39"/>
      <c r="J16" s="39"/>
      <c r="K16" s="45"/>
      <c r="L16" s="40"/>
      <c r="M16" s="40"/>
      <c r="N16" s="38"/>
      <c r="O16" s="38"/>
      <c r="P16" s="38"/>
      <c r="Q16" s="38"/>
      <c r="R16" s="38"/>
      <c r="S16" s="38"/>
      <c r="T16" s="38"/>
      <c r="U16" s="38"/>
    </row>
    <row r="17" spans="1:21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83"/>
      <c r="G17" s="92"/>
      <c r="H17" s="92"/>
      <c r="I17" s="39"/>
      <c r="J17" s="39"/>
      <c r="K17" s="45"/>
      <c r="L17" s="40"/>
      <c r="M17" s="40"/>
      <c r="N17" s="38"/>
      <c r="O17" s="38"/>
      <c r="P17" s="38"/>
      <c r="Q17" s="38"/>
      <c r="R17" s="38"/>
      <c r="S17" s="38"/>
      <c r="T17" s="38"/>
      <c r="U17" s="38"/>
    </row>
    <row r="18" spans="1:21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83"/>
      <c r="G18" s="92"/>
      <c r="H18" s="92"/>
      <c r="I18" s="39"/>
      <c r="J18" s="39"/>
      <c r="K18" s="45"/>
      <c r="L18" s="40"/>
      <c r="M18" s="40"/>
      <c r="N18" s="38"/>
      <c r="O18" s="38"/>
      <c r="P18" s="38"/>
      <c r="Q18" s="38"/>
      <c r="R18" s="38"/>
      <c r="S18" s="38"/>
      <c r="T18" s="38"/>
      <c r="U18" s="38"/>
    </row>
    <row r="19" spans="1:21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83"/>
      <c r="G19" s="92"/>
      <c r="H19" s="92"/>
      <c r="I19" s="39"/>
      <c r="J19" s="39"/>
      <c r="K19" s="45"/>
      <c r="L19" s="40"/>
      <c r="M19" s="40"/>
      <c r="N19" s="42"/>
      <c r="O19" s="38"/>
      <c r="P19" s="38"/>
      <c r="Q19" s="38"/>
      <c r="R19" s="38"/>
      <c r="S19" s="38"/>
      <c r="T19" s="38"/>
      <c r="U19" s="38"/>
    </row>
    <row r="20" spans="1:21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83"/>
      <c r="G20" s="92"/>
      <c r="H20" s="92"/>
      <c r="I20" s="39"/>
      <c r="J20" s="39"/>
      <c r="K20" s="45"/>
      <c r="L20" s="40"/>
      <c r="M20" s="40"/>
      <c r="N20" s="38"/>
      <c r="O20" s="38"/>
      <c r="P20" s="38"/>
      <c r="Q20" s="38"/>
      <c r="R20" s="38"/>
      <c r="S20" s="38"/>
      <c r="T20" s="38"/>
      <c r="U20" s="38"/>
    </row>
    <row r="21" spans="1:21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83"/>
      <c r="G21" s="92"/>
      <c r="H21" s="92"/>
      <c r="I21" s="39"/>
      <c r="J21" s="39"/>
      <c r="K21" s="45"/>
      <c r="L21" s="40"/>
      <c r="M21" s="40"/>
      <c r="N21" s="38"/>
      <c r="O21" s="38"/>
      <c r="P21" s="38"/>
      <c r="Q21" s="38"/>
      <c r="R21" s="38"/>
      <c r="S21" s="38"/>
      <c r="T21" s="38"/>
      <c r="U21" s="38"/>
    </row>
    <row r="22" spans="1:21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83"/>
      <c r="G22" s="92"/>
      <c r="H22" s="92"/>
      <c r="I22" s="39"/>
      <c r="J22" s="40"/>
      <c r="K22" s="45"/>
      <c r="L22" s="40"/>
      <c r="M22" s="40"/>
      <c r="N22" s="38"/>
      <c r="O22" s="38"/>
      <c r="P22" s="38"/>
      <c r="Q22" s="38"/>
      <c r="R22" s="38"/>
      <c r="S22" s="38"/>
      <c r="T22" s="38"/>
      <c r="U22" s="38"/>
    </row>
    <row r="23" spans="1:21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83"/>
      <c r="G23" s="92"/>
      <c r="H23" s="92"/>
      <c r="I23" s="39"/>
      <c r="J23" s="39"/>
      <c r="K23" s="45"/>
      <c r="L23" s="40"/>
      <c r="M23" s="40"/>
      <c r="N23" s="38"/>
      <c r="O23" s="38"/>
      <c r="P23" s="38"/>
      <c r="Q23" s="38"/>
      <c r="R23" s="38"/>
      <c r="S23" s="38"/>
      <c r="T23" s="38"/>
      <c r="U23" s="38"/>
    </row>
    <row r="24" spans="1:21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83"/>
      <c r="G24" s="92"/>
      <c r="H24" s="92"/>
      <c r="I24" s="39"/>
      <c r="J24" s="39"/>
      <c r="K24" s="45"/>
      <c r="L24" s="40"/>
      <c r="M24" s="40"/>
      <c r="N24" s="38"/>
      <c r="O24" s="38"/>
      <c r="P24" s="38"/>
      <c r="Q24" s="38"/>
      <c r="R24" s="38"/>
      <c r="S24" s="38"/>
      <c r="T24" s="38"/>
      <c r="U24" s="38"/>
    </row>
    <row r="25" spans="1:21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83"/>
      <c r="G25" s="92"/>
      <c r="H25" s="92"/>
      <c r="I25" s="39"/>
      <c r="J25" s="40"/>
      <c r="K25" s="45"/>
      <c r="L25" s="40"/>
      <c r="M25" s="40"/>
      <c r="N25" s="38"/>
      <c r="O25" s="38"/>
      <c r="P25" s="38"/>
      <c r="Q25" s="38"/>
      <c r="R25" s="38"/>
      <c r="S25" s="38"/>
      <c r="T25" s="38"/>
      <c r="U25" s="38"/>
    </row>
    <row r="26" spans="1:21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83"/>
      <c r="G26" s="92"/>
      <c r="H26" s="92"/>
      <c r="I26" s="39"/>
      <c r="J26" s="40"/>
      <c r="K26" s="45"/>
      <c r="L26" s="40"/>
      <c r="M26" s="40"/>
      <c r="N26" s="38"/>
      <c r="O26" s="38"/>
      <c r="P26" s="38"/>
      <c r="Q26" s="38"/>
      <c r="R26" s="38"/>
      <c r="S26" s="38"/>
      <c r="T26" s="38"/>
      <c r="U26" s="38"/>
    </row>
    <row r="27" spans="1:21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83"/>
      <c r="G27" s="92"/>
      <c r="H27" s="92"/>
      <c r="I27" s="39"/>
      <c r="J27" s="39"/>
      <c r="K27" s="45"/>
      <c r="L27" s="40"/>
      <c r="M27" s="40"/>
      <c r="N27" s="38"/>
      <c r="O27" s="38"/>
      <c r="P27" s="38"/>
      <c r="Q27" s="38"/>
      <c r="R27" s="38"/>
      <c r="S27" s="38"/>
      <c r="T27" s="38"/>
      <c r="U27" s="38"/>
    </row>
    <row r="28" spans="1:21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83"/>
      <c r="G28" s="92"/>
      <c r="H28" s="92"/>
      <c r="I28" s="39"/>
      <c r="J28" s="39"/>
      <c r="K28" s="45"/>
      <c r="L28" s="40"/>
      <c r="M28" s="40"/>
      <c r="N28" s="38"/>
      <c r="O28" s="38"/>
      <c r="P28" s="38"/>
      <c r="Q28" s="38"/>
      <c r="R28" s="38"/>
      <c r="S28" s="38"/>
      <c r="T28" s="38"/>
      <c r="U28" s="38"/>
    </row>
    <row r="29" spans="1:21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83"/>
      <c r="G29" s="92"/>
      <c r="H29" s="92"/>
      <c r="I29" s="39"/>
      <c r="J29" s="39"/>
      <c r="K29" s="45"/>
      <c r="L29" s="40"/>
      <c r="M29" s="40"/>
      <c r="N29" s="38"/>
      <c r="O29" s="38"/>
      <c r="P29" s="38"/>
      <c r="Q29" s="38"/>
      <c r="R29" s="38"/>
      <c r="S29" s="38"/>
      <c r="T29" s="38"/>
      <c r="U29" s="38"/>
    </row>
    <row r="30" spans="1:21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83"/>
      <c r="G30" s="92"/>
      <c r="H30" s="92"/>
      <c r="I30" s="39"/>
      <c r="J30" s="39"/>
      <c r="K30" s="45"/>
      <c r="L30" s="40"/>
      <c r="M30" s="40"/>
      <c r="N30" s="38"/>
      <c r="O30" s="38"/>
      <c r="P30" s="38"/>
      <c r="Q30" s="38"/>
      <c r="R30" s="38"/>
      <c r="S30" s="38"/>
      <c r="T30" s="38"/>
      <c r="U30" s="38"/>
    </row>
    <row r="31" spans="1:21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83"/>
      <c r="G31" s="92"/>
      <c r="H31" s="92"/>
      <c r="I31" s="39"/>
      <c r="J31" s="39"/>
      <c r="K31" s="45"/>
      <c r="L31" s="40"/>
      <c r="M31" s="40"/>
      <c r="N31" s="38"/>
      <c r="O31" s="38"/>
      <c r="P31" s="38"/>
      <c r="Q31" s="38"/>
      <c r="R31" s="38"/>
      <c r="S31" s="38"/>
      <c r="T31" s="38"/>
      <c r="U31" s="38"/>
    </row>
    <row r="32" spans="1:21" ht="16.5" thickBot="1">
      <c r="A32" s="37">
        <v>3524</v>
      </c>
      <c r="B32" s="37">
        <v>11278</v>
      </c>
      <c r="C32" s="47">
        <v>938590</v>
      </c>
      <c r="D32" s="40" t="s">
        <v>396</v>
      </c>
      <c r="E32" s="39"/>
      <c r="F32" s="83"/>
      <c r="G32" s="92"/>
      <c r="H32" s="92"/>
      <c r="I32" s="39"/>
      <c r="J32" s="39"/>
      <c r="K32" s="45"/>
      <c r="L32" s="40"/>
      <c r="M32" s="40"/>
      <c r="N32" s="38"/>
      <c r="O32" s="38"/>
      <c r="P32" s="38"/>
      <c r="Q32" s="38"/>
      <c r="R32" s="38"/>
      <c r="S32" s="38"/>
      <c r="T32" s="38"/>
      <c r="U32" s="38"/>
    </row>
    <row r="33" spans="1:21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83"/>
      <c r="G33" s="92"/>
      <c r="H33" s="92"/>
      <c r="I33" s="39"/>
      <c r="J33" s="39"/>
      <c r="K33" s="45"/>
      <c r="L33" s="40"/>
      <c r="M33" s="40"/>
      <c r="N33" s="38"/>
      <c r="O33" s="38"/>
      <c r="P33" s="38"/>
      <c r="Q33" s="38"/>
      <c r="R33" s="38"/>
      <c r="S33" s="38"/>
      <c r="T33" s="38"/>
      <c r="U33" s="38"/>
    </row>
    <row r="34" spans="1:21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83"/>
      <c r="G34" s="92"/>
      <c r="H34" s="92"/>
      <c r="I34" s="39"/>
      <c r="J34" s="39"/>
      <c r="K34" s="45"/>
      <c r="L34" s="40"/>
      <c r="M34" s="40"/>
      <c r="N34" s="38"/>
      <c r="O34" s="38"/>
      <c r="P34" s="38"/>
      <c r="Q34" s="38"/>
      <c r="R34" s="38"/>
      <c r="S34" s="38"/>
      <c r="T34" s="38"/>
      <c r="U34" s="38"/>
    </row>
    <row r="35" spans="1:21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83"/>
      <c r="G35" s="92"/>
      <c r="H35" s="92"/>
      <c r="I35" s="39"/>
      <c r="J35" s="39"/>
      <c r="K35" s="45"/>
      <c r="L35" s="40"/>
      <c r="M35" s="40"/>
      <c r="N35" s="38"/>
      <c r="O35" s="38"/>
      <c r="P35" s="38"/>
      <c r="Q35" s="38"/>
      <c r="R35" s="38"/>
      <c r="S35" s="38"/>
      <c r="T35" s="38"/>
      <c r="U35" s="38"/>
    </row>
    <row r="36" spans="1:21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83"/>
      <c r="G36" s="92"/>
      <c r="H36" s="92"/>
      <c r="I36" s="39"/>
      <c r="J36" s="39"/>
      <c r="K36" s="45"/>
      <c r="L36" s="40"/>
      <c r="M36" s="40"/>
      <c r="N36" s="38"/>
      <c r="O36" s="38"/>
      <c r="P36" s="38"/>
      <c r="Q36" s="38"/>
      <c r="R36" s="38"/>
      <c r="S36" s="38"/>
      <c r="T36" s="38"/>
      <c r="U36" s="38"/>
    </row>
    <row r="37" spans="1:21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83"/>
      <c r="G37" s="92"/>
      <c r="H37" s="92"/>
      <c r="I37" s="39"/>
      <c r="J37" s="39"/>
      <c r="K37" s="45"/>
      <c r="L37" s="40"/>
      <c r="M37" s="40"/>
      <c r="N37" s="38"/>
      <c r="O37" s="38"/>
      <c r="P37" s="38"/>
      <c r="Q37" s="38"/>
      <c r="R37" s="38"/>
      <c r="S37" s="38"/>
      <c r="T37" s="38"/>
      <c r="U37" s="38"/>
    </row>
    <row r="38" spans="1:21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83"/>
      <c r="G38" s="92"/>
      <c r="H38" s="92"/>
      <c r="I38" s="39"/>
      <c r="J38" s="39"/>
      <c r="K38" s="45"/>
      <c r="L38" s="40"/>
      <c r="M38" s="40"/>
      <c r="N38" s="38"/>
      <c r="O38" s="38"/>
      <c r="P38" s="38"/>
      <c r="Q38" s="38"/>
      <c r="R38" s="38"/>
      <c r="S38" s="38"/>
      <c r="T38" s="38"/>
      <c r="U38" s="38"/>
    </row>
    <row r="39" spans="1:21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83"/>
      <c r="G39" s="92"/>
      <c r="H39" s="92"/>
      <c r="I39" s="39"/>
      <c r="J39" s="39"/>
      <c r="K39" s="45"/>
      <c r="L39" s="40"/>
      <c r="M39" s="40"/>
      <c r="N39" s="38"/>
      <c r="O39" s="38"/>
      <c r="P39" s="38"/>
      <c r="Q39" s="38"/>
      <c r="R39" s="38"/>
      <c r="S39" s="38"/>
      <c r="T39" s="38"/>
      <c r="U39" s="38"/>
    </row>
    <row r="40" spans="1:21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83"/>
      <c r="G40" s="92"/>
      <c r="H40" s="92"/>
      <c r="I40" s="39"/>
      <c r="J40" s="40"/>
      <c r="K40" s="45"/>
      <c r="L40" s="40"/>
      <c r="M40" s="40"/>
      <c r="N40" s="38"/>
      <c r="O40" s="38"/>
      <c r="P40" s="38"/>
      <c r="Q40" s="38"/>
      <c r="R40" s="38"/>
      <c r="S40" s="38"/>
      <c r="T40" s="38"/>
      <c r="U40" s="38"/>
    </row>
    <row r="41" spans="1:21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83"/>
      <c r="G41" s="92"/>
      <c r="H41" s="92"/>
      <c r="I41" s="39"/>
      <c r="J41" s="39"/>
      <c r="K41" s="45"/>
      <c r="L41" s="40"/>
      <c r="M41" s="40"/>
      <c r="N41" s="38"/>
      <c r="O41" s="38"/>
      <c r="P41" s="38"/>
      <c r="Q41" s="38"/>
      <c r="R41" s="38"/>
      <c r="S41" s="38"/>
      <c r="T41" s="38"/>
      <c r="U41" s="38"/>
    </row>
    <row r="42" spans="1:21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83"/>
      <c r="G42" s="92"/>
      <c r="H42" s="92"/>
      <c r="I42" s="39"/>
      <c r="J42" s="39"/>
      <c r="K42" s="45"/>
      <c r="L42" s="40"/>
      <c r="M42" s="40"/>
      <c r="N42" s="38"/>
      <c r="O42" s="38"/>
      <c r="P42" s="38"/>
      <c r="Q42" s="38"/>
      <c r="R42" s="38"/>
      <c r="S42" s="38"/>
      <c r="T42" s="38"/>
      <c r="U42" s="38"/>
    </row>
    <row r="43" spans="1:21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83"/>
      <c r="G43" s="92"/>
      <c r="H43" s="92"/>
      <c r="I43" s="39"/>
      <c r="J43" s="39"/>
      <c r="K43" s="45"/>
      <c r="L43" s="40"/>
      <c r="M43" s="40"/>
      <c r="N43" s="38"/>
      <c r="O43" s="38"/>
      <c r="P43" s="38"/>
      <c r="Q43" s="38"/>
      <c r="R43" s="38"/>
      <c r="S43" s="38"/>
      <c r="T43" s="38"/>
      <c r="U43" s="38"/>
    </row>
    <row r="44" spans="1:21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83"/>
      <c r="G44" s="92"/>
      <c r="H44" s="92"/>
      <c r="I44" s="39"/>
      <c r="J44" s="39"/>
      <c r="K44" s="45"/>
      <c r="L44" s="40"/>
      <c r="M44" s="40"/>
      <c r="N44" s="38"/>
      <c r="O44" s="38"/>
      <c r="P44" s="38"/>
      <c r="Q44" s="38"/>
      <c r="R44" s="38"/>
      <c r="S44" s="38"/>
      <c r="T44" s="38"/>
      <c r="U44" s="38"/>
    </row>
    <row r="45" spans="1:21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83"/>
      <c r="G45" s="92"/>
      <c r="H45" s="92"/>
      <c r="I45" s="39"/>
      <c r="J45" s="39"/>
      <c r="K45" s="45"/>
      <c r="L45" s="40"/>
      <c r="M45" s="40"/>
      <c r="N45" s="38"/>
      <c r="O45" s="38"/>
      <c r="P45" s="38"/>
      <c r="Q45" s="38"/>
      <c r="R45" s="38"/>
      <c r="S45" s="38"/>
      <c r="T45" s="38"/>
      <c r="U45" s="38"/>
    </row>
    <row r="46" spans="1:21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83"/>
      <c r="G46" s="92"/>
      <c r="H46" s="92"/>
      <c r="I46" s="39"/>
      <c r="J46" s="39"/>
      <c r="K46" s="45"/>
      <c r="L46" s="40"/>
      <c r="M46" s="40"/>
      <c r="N46" s="38"/>
      <c r="O46" s="38"/>
      <c r="P46" s="38"/>
      <c r="Q46" s="38"/>
      <c r="R46" s="38"/>
      <c r="S46" s="38"/>
      <c r="T46" s="38"/>
      <c r="U46" s="38"/>
    </row>
    <row r="47" spans="1:21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83"/>
      <c r="G47" s="92"/>
      <c r="H47" s="92"/>
      <c r="I47" s="39"/>
      <c r="J47" s="39"/>
      <c r="K47" s="45"/>
      <c r="L47" s="40"/>
      <c r="M47" s="40"/>
      <c r="N47" s="38"/>
      <c r="O47" s="38"/>
      <c r="P47" s="38"/>
      <c r="Q47" s="38"/>
      <c r="R47" s="38"/>
      <c r="S47" s="38"/>
      <c r="T47" s="38"/>
      <c r="U47" s="38"/>
    </row>
    <row r="48" spans="1:21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83"/>
      <c r="G48" s="92"/>
      <c r="H48" s="92"/>
      <c r="I48" s="39"/>
      <c r="J48" s="40"/>
      <c r="K48" s="45"/>
      <c r="L48" s="40"/>
      <c r="M48" s="40"/>
      <c r="N48" s="38"/>
      <c r="O48" s="38"/>
      <c r="P48" s="38"/>
      <c r="Q48" s="38"/>
      <c r="R48" s="38"/>
      <c r="S48" s="38"/>
      <c r="T48" s="38"/>
      <c r="U48" s="38"/>
    </row>
    <row r="49" spans="1:21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83"/>
      <c r="G49" s="92"/>
      <c r="H49" s="92"/>
      <c r="I49" s="39"/>
      <c r="J49" s="39"/>
      <c r="K49" s="45"/>
      <c r="L49" s="40"/>
      <c r="M49" s="40"/>
      <c r="N49" s="38"/>
      <c r="O49" s="38"/>
      <c r="P49" s="38"/>
      <c r="Q49" s="38"/>
      <c r="R49" s="38"/>
      <c r="S49" s="38"/>
      <c r="T49" s="38"/>
      <c r="U49" s="38"/>
    </row>
    <row r="50" spans="1:21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83"/>
      <c r="G50" s="92"/>
      <c r="H50" s="92"/>
      <c r="I50" s="39"/>
      <c r="J50" s="39"/>
      <c r="K50" s="45"/>
      <c r="L50" s="40"/>
      <c r="M50" s="40"/>
      <c r="N50" s="38"/>
      <c r="O50" s="38"/>
      <c r="P50" s="38"/>
      <c r="Q50" s="38"/>
      <c r="R50" s="38"/>
      <c r="S50" s="38"/>
      <c r="T50" s="38"/>
      <c r="U50" s="38"/>
    </row>
    <row r="51" spans="1:21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83"/>
      <c r="G51" s="92"/>
      <c r="H51" s="92"/>
      <c r="I51" s="39"/>
      <c r="J51" s="39"/>
      <c r="K51" s="45"/>
      <c r="L51" s="40"/>
      <c r="M51" s="40"/>
      <c r="N51" s="38"/>
      <c r="O51" s="38"/>
      <c r="P51" s="38"/>
      <c r="Q51" s="38"/>
      <c r="R51" s="38"/>
      <c r="S51" s="38"/>
      <c r="T51" s="38"/>
      <c r="U51" s="38"/>
    </row>
    <row r="52" spans="1:21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83"/>
      <c r="G52" s="92"/>
      <c r="H52" s="92"/>
      <c r="I52" s="39"/>
      <c r="J52" s="39"/>
      <c r="K52" s="45"/>
      <c r="L52" s="40"/>
      <c r="M52" s="40"/>
      <c r="N52" s="38"/>
      <c r="O52" s="38"/>
      <c r="P52" s="38"/>
      <c r="Q52" s="38"/>
      <c r="R52" s="38"/>
      <c r="S52" s="38"/>
      <c r="T52" s="38"/>
      <c r="U52" s="38"/>
    </row>
    <row r="53" spans="1:21" ht="16.5" thickBot="1">
      <c r="A53" s="37">
        <v>2042</v>
      </c>
      <c r="B53" s="37">
        <v>10079</v>
      </c>
      <c r="C53" s="47">
        <v>938180</v>
      </c>
      <c r="D53" s="40" t="s">
        <v>63</v>
      </c>
      <c r="E53" s="39"/>
      <c r="F53" s="83"/>
      <c r="G53" s="92"/>
      <c r="H53" s="92"/>
      <c r="I53" s="39"/>
      <c r="J53" s="40"/>
      <c r="K53" s="45"/>
      <c r="L53" s="38"/>
      <c r="M53" s="40"/>
      <c r="N53" s="38"/>
      <c r="O53" s="38"/>
      <c r="P53" s="38"/>
      <c r="Q53" s="38"/>
      <c r="R53" s="38"/>
      <c r="S53" s="38"/>
      <c r="T53" s="38"/>
      <c r="U53" s="38"/>
    </row>
    <row r="54" spans="1:21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83"/>
      <c r="G54" s="92"/>
      <c r="H54" s="92"/>
      <c r="I54" s="39"/>
      <c r="J54" s="38"/>
      <c r="K54" s="45"/>
      <c r="L54" s="38"/>
      <c r="M54" s="40"/>
      <c r="N54" s="38"/>
      <c r="O54" s="38"/>
      <c r="P54" s="38"/>
      <c r="Q54" s="38"/>
      <c r="R54" s="38"/>
      <c r="S54" s="38"/>
      <c r="T54" s="38"/>
      <c r="U54" s="38"/>
    </row>
    <row r="55" spans="1:21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83"/>
      <c r="G55" s="92"/>
      <c r="H55" s="92"/>
      <c r="I55" s="39"/>
      <c r="J55" s="39"/>
      <c r="K55" s="45"/>
      <c r="L55" s="40"/>
      <c r="M55" s="40"/>
      <c r="N55" s="38"/>
      <c r="O55" s="38"/>
      <c r="P55" s="38"/>
      <c r="Q55" s="38"/>
      <c r="R55" s="38"/>
      <c r="S55" s="38"/>
      <c r="T55" s="38"/>
      <c r="U55" s="38"/>
    </row>
    <row r="56" spans="1:21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83"/>
      <c r="G56" s="92"/>
      <c r="H56" s="92"/>
      <c r="I56" s="39"/>
      <c r="J56" s="39"/>
      <c r="K56" s="45"/>
      <c r="L56" s="40"/>
      <c r="M56" s="40"/>
      <c r="N56" s="38"/>
      <c r="O56" s="38"/>
      <c r="P56" s="38"/>
      <c r="Q56" s="38"/>
      <c r="R56" s="38"/>
      <c r="S56" s="38"/>
      <c r="T56" s="38"/>
      <c r="U56" s="38"/>
    </row>
    <row r="57" spans="1:21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83"/>
      <c r="G57" s="92"/>
      <c r="H57" s="92"/>
      <c r="I57" s="39"/>
      <c r="J57" s="39"/>
      <c r="K57" s="45"/>
      <c r="L57" s="40"/>
      <c r="M57" s="40"/>
      <c r="N57" s="38"/>
      <c r="O57" s="38"/>
      <c r="P57" s="38"/>
      <c r="Q57" s="38"/>
      <c r="R57" s="38"/>
      <c r="S57" s="38"/>
      <c r="T57" s="38"/>
      <c r="U57" s="38"/>
    </row>
    <row r="58" spans="1:21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83"/>
      <c r="G58" s="92"/>
      <c r="H58" s="92"/>
      <c r="I58" s="39"/>
      <c r="J58" s="39"/>
      <c r="K58" s="45"/>
      <c r="L58" s="40"/>
      <c r="M58" s="40"/>
      <c r="N58" s="38"/>
      <c r="O58" s="38"/>
      <c r="P58" s="38"/>
      <c r="Q58" s="38"/>
      <c r="R58" s="38"/>
      <c r="S58" s="38"/>
      <c r="T58" s="38"/>
      <c r="U58" s="38"/>
    </row>
    <row r="59" spans="1:21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83"/>
      <c r="G59" s="92"/>
      <c r="H59" s="92"/>
      <c r="I59" s="39"/>
      <c r="J59" s="39"/>
      <c r="K59" s="45"/>
      <c r="L59" s="40"/>
      <c r="M59" s="40"/>
      <c r="N59" s="38"/>
      <c r="O59" s="38"/>
      <c r="P59" s="38"/>
      <c r="Q59" s="38"/>
      <c r="R59" s="38"/>
      <c r="S59" s="38"/>
      <c r="T59" s="38"/>
      <c r="U59" s="38"/>
    </row>
    <row r="60" spans="1:21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83"/>
      <c r="G60" s="92"/>
      <c r="H60" s="92"/>
      <c r="I60" s="39"/>
      <c r="J60" s="39"/>
      <c r="K60" s="45"/>
      <c r="L60" s="40"/>
      <c r="M60" s="40"/>
      <c r="N60" s="38"/>
      <c r="O60" s="38"/>
      <c r="P60" s="38"/>
      <c r="Q60" s="38"/>
      <c r="R60" s="38"/>
      <c r="S60" s="38"/>
      <c r="T60" s="38"/>
      <c r="U60" s="38"/>
    </row>
    <row r="61" spans="1:21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83"/>
      <c r="G61" s="92"/>
      <c r="H61" s="92"/>
      <c r="I61" s="38"/>
      <c r="J61" s="38"/>
      <c r="K61" s="45"/>
      <c r="L61" s="40"/>
      <c r="M61" s="40"/>
      <c r="N61" s="38"/>
      <c r="O61" s="38"/>
      <c r="P61" s="38"/>
      <c r="Q61" s="38"/>
      <c r="R61" s="38"/>
      <c r="S61" s="38"/>
      <c r="T61" s="38"/>
      <c r="U61" s="38"/>
    </row>
    <row r="62" spans="1:21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83"/>
      <c r="G62" s="92"/>
      <c r="H62" s="92"/>
      <c r="I62" s="39"/>
      <c r="J62" s="39"/>
      <c r="K62" s="45"/>
      <c r="L62" s="40"/>
      <c r="M62" s="40"/>
      <c r="N62" s="38"/>
      <c r="O62" s="38"/>
      <c r="P62" s="38"/>
      <c r="Q62" s="38"/>
      <c r="R62" s="38"/>
      <c r="S62" s="38"/>
      <c r="T62" s="38"/>
      <c r="U62" s="38"/>
    </row>
    <row r="63" spans="1:21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83"/>
      <c r="G63" s="92"/>
      <c r="H63" s="92"/>
      <c r="I63" s="39"/>
      <c r="J63" s="39"/>
      <c r="K63" s="45"/>
      <c r="L63" s="40"/>
      <c r="M63" s="40"/>
      <c r="N63" s="38"/>
      <c r="O63" s="38"/>
      <c r="P63" s="38"/>
      <c r="Q63" s="38"/>
      <c r="R63" s="38"/>
      <c r="S63" s="38"/>
      <c r="T63" s="38"/>
      <c r="U63" s="38"/>
    </row>
    <row r="64" spans="1:21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83"/>
      <c r="G64" s="92"/>
      <c r="H64" s="92"/>
      <c r="I64" s="39"/>
      <c r="J64" s="39"/>
      <c r="K64" s="45"/>
      <c r="L64" s="40"/>
      <c r="M64" s="40"/>
      <c r="N64" s="38"/>
      <c r="O64" s="38"/>
      <c r="P64" s="38"/>
      <c r="Q64" s="38"/>
      <c r="R64" s="38"/>
      <c r="S64" s="38"/>
      <c r="T64" s="38"/>
      <c r="U64" s="38"/>
    </row>
    <row r="65" spans="1:21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83"/>
      <c r="G65" s="92"/>
      <c r="H65" s="92"/>
      <c r="I65" s="39"/>
      <c r="J65" s="40"/>
      <c r="K65" s="45"/>
      <c r="L65" s="40"/>
      <c r="M65" s="40"/>
      <c r="N65" s="38"/>
      <c r="O65" s="38"/>
      <c r="P65" s="38"/>
      <c r="Q65" s="38"/>
      <c r="R65" s="38"/>
      <c r="S65" s="38"/>
      <c r="T65" s="38"/>
      <c r="U65" s="38"/>
    </row>
    <row r="66" spans="1:21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83"/>
      <c r="G66" s="92"/>
      <c r="H66" s="92"/>
      <c r="I66" s="39"/>
      <c r="J66" s="40"/>
      <c r="K66" s="45"/>
      <c r="L66" s="40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83"/>
      <c r="G67" s="92"/>
      <c r="H67" s="92"/>
      <c r="I67" s="39"/>
      <c r="J67" s="39"/>
      <c r="K67" s="45"/>
      <c r="L67" s="40"/>
      <c r="M67" s="40"/>
      <c r="N67" s="38"/>
      <c r="O67" s="38"/>
      <c r="P67" s="38"/>
      <c r="Q67" s="38"/>
      <c r="R67" s="38"/>
      <c r="S67" s="38"/>
      <c r="T67" s="38"/>
      <c r="U67" s="38"/>
    </row>
    <row r="68" spans="1:21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83"/>
      <c r="G68" s="92"/>
      <c r="H68" s="92"/>
      <c r="I68" s="39"/>
      <c r="J68" s="39"/>
      <c r="K68" s="45"/>
      <c r="L68" s="40"/>
      <c r="M68" s="40"/>
      <c r="N68" s="38"/>
      <c r="O68" s="60"/>
      <c r="P68" s="38"/>
      <c r="Q68" s="38"/>
      <c r="R68" s="38"/>
      <c r="S68" s="38"/>
      <c r="T68" s="38"/>
      <c r="U68" s="38"/>
    </row>
    <row r="69" spans="1:21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83"/>
      <c r="G69" s="92"/>
      <c r="H69" s="92"/>
      <c r="I69" s="39"/>
      <c r="J69" s="39"/>
      <c r="K69" s="45"/>
      <c r="L69" s="40"/>
      <c r="M69" s="40"/>
      <c r="N69" s="38"/>
      <c r="O69" s="38"/>
      <c r="P69" s="38"/>
      <c r="Q69" s="38"/>
      <c r="R69" s="38"/>
      <c r="S69" s="38"/>
      <c r="T69" s="38"/>
      <c r="U69" s="38"/>
    </row>
    <row r="70" spans="1:21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83"/>
      <c r="G70" s="92"/>
      <c r="H70" s="92"/>
      <c r="I70" s="39"/>
      <c r="J70" s="39"/>
      <c r="K70" s="45"/>
      <c r="L70" s="40"/>
      <c r="M70" s="40"/>
      <c r="N70" s="38"/>
      <c r="O70" s="38"/>
      <c r="P70" s="38"/>
      <c r="Q70" s="38"/>
      <c r="R70" s="38"/>
      <c r="S70" s="38"/>
      <c r="T70" s="38"/>
      <c r="U70" s="38"/>
    </row>
    <row r="71" spans="1:21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83"/>
      <c r="G71" s="92"/>
      <c r="H71" s="92"/>
      <c r="I71" s="39"/>
      <c r="J71" s="39"/>
      <c r="K71" s="45"/>
      <c r="L71" s="40"/>
      <c r="M71" s="40"/>
      <c r="N71" s="38"/>
      <c r="O71" s="38"/>
      <c r="P71" s="38"/>
      <c r="Q71" s="38"/>
      <c r="R71" s="38"/>
      <c r="S71" s="38"/>
      <c r="T71" s="38"/>
      <c r="U71" s="38"/>
    </row>
    <row r="72" spans="1:21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83"/>
      <c r="G72" s="92"/>
      <c r="H72" s="92"/>
      <c r="I72" s="39"/>
      <c r="J72" s="39"/>
      <c r="K72" s="45"/>
      <c r="L72" s="40"/>
      <c r="M72" s="40"/>
      <c r="N72" s="38"/>
      <c r="O72" s="38"/>
      <c r="P72" s="38"/>
      <c r="Q72" s="38"/>
      <c r="R72" s="38"/>
      <c r="S72" s="38"/>
      <c r="T72" s="38"/>
      <c r="U72" s="38"/>
    </row>
    <row r="73" spans="1:21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83"/>
      <c r="G73" s="92"/>
      <c r="H73" s="92"/>
      <c r="I73" s="39"/>
      <c r="J73" s="39"/>
      <c r="K73" s="45"/>
      <c r="L73" s="40"/>
      <c r="M73" s="40"/>
      <c r="N73" s="38"/>
      <c r="O73" s="38"/>
      <c r="P73" s="38"/>
      <c r="Q73" s="38"/>
      <c r="R73" s="38"/>
      <c r="S73" s="38"/>
      <c r="T73" s="38"/>
      <c r="U73" s="38"/>
    </row>
    <row r="74" spans="1:21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83"/>
      <c r="G74" s="92"/>
      <c r="H74" s="92"/>
      <c r="I74" s="39"/>
      <c r="J74" s="39"/>
      <c r="K74" s="45"/>
      <c r="L74" s="40"/>
      <c r="M74" s="40"/>
      <c r="N74" s="38"/>
      <c r="O74" s="38"/>
      <c r="P74" s="38"/>
      <c r="Q74" s="38"/>
      <c r="R74" s="38"/>
      <c r="S74" s="38"/>
      <c r="T74" s="38"/>
      <c r="U74" s="38"/>
    </row>
    <row r="75" spans="1:21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83"/>
      <c r="G75" s="92"/>
      <c r="H75" s="92"/>
      <c r="I75" s="39"/>
      <c r="J75" s="39"/>
      <c r="K75" s="45"/>
      <c r="L75" s="40"/>
      <c r="M75" s="40"/>
      <c r="N75" s="38"/>
      <c r="O75" s="38"/>
      <c r="P75" s="38"/>
      <c r="Q75" s="38"/>
      <c r="R75" s="38"/>
      <c r="S75" s="38"/>
      <c r="T75" s="38"/>
      <c r="U75" s="38"/>
    </row>
    <row r="76" spans="1:21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83"/>
      <c r="G76" s="92"/>
      <c r="H76" s="92"/>
      <c r="I76" s="39"/>
      <c r="J76" s="39"/>
      <c r="K76" s="45"/>
      <c r="L76" s="40"/>
      <c r="M76" s="40"/>
      <c r="N76" s="38"/>
      <c r="O76" s="38"/>
      <c r="P76" s="38"/>
      <c r="Q76" s="38"/>
      <c r="R76" s="38"/>
      <c r="S76" s="38"/>
      <c r="T76" s="38"/>
      <c r="U76" s="38"/>
    </row>
    <row r="77" spans="1:21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83"/>
      <c r="G77" s="92"/>
      <c r="H77" s="92"/>
      <c r="I77" s="39"/>
      <c r="J77" s="39"/>
      <c r="K77" s="45"/>
      <c r="L77" s="40"/>
      <c r="M77" s="40"/>
      <c r="N77" s="38"/>
      <c r="O77" s="38"/>
      <c r="P77" s="38"/>
      <c r="Q77" s="38"/>
      <c r="R77" s="38"/>
      <c r="S77" s="38"/>
      <c r="T77" s="38"/>
      <c r="U77" s="38"/>
    </row>
    <row r="78" spans="1:21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83"/>
      <c r="G78" s="92"/>
      <c r="H78" s="92"/>
      <c r="I78" s="39"/>
      <c r="J78" s="39"/>
      <c r="K78" s="45"/>
      <c r="L78" s="40"/>
      <c r="M78" s="40"/>
      <c r="N78" s="38"/>
      <c r="O78" s="38"/>
      <c r="P78" s="38"/>
      <c r="Q78" s="38"/>
      <c r="R78" s="38"/>
      <c r="S78" s="38"/>
      <c r="T78" s="38"/>
      <c r="U78" s="38"/>
    </row>
    <row r="79" spans="1:21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83"/>
      <c r="G79" s="92"/>
      <c r="H79" s="92"/>
      <c r="I79" s="39"/>
      <c r="J79" s="39"/>
      <c r="K79" s="45"/>
      <c r="L79" s="40"/>
      <c r="M79" s="40"/>
      <c r="N79" s="38"/>
      <c r="O79" s="38"/>
      <c r="P79" s="38"/>
      <c r="Q79" s="38"/>
      <c r="R79" s="38"/>
      <c r="S79" s="38"/>
      <c r="T79" s="38"/>
      <c r="U79" s="38"/>
    </row>
    <row r="80" spans="1:21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83"/>
      <c r="G80" s="92"/>
      <c r="H80" s="92"/>
      <c r="I80" s="39"/>
      <c r="J80" s="39"/>
      <c r="K80" s="45"/>
      <c r="L80" s="40"/>
      <c r="M80" s="40"/>
      <c r="N80" s="38"/>
      <c r="O80" s="38"/>
      <c r="P80" s="38"/>
      <c r="Q80" s="38"/>
      <c r="R80" s="38"/>
      <c r="S80" s="38"/>
      <c r="T80" s="38"/>
      <c r="U80" s="38"/>
    </row>
    <row r="81" spans="1:21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83"/>
      <c r="G81" s="92"/>
      <c r="H81" s="92"/>
      <c r="I81" s="39"/>
      <c r="J81" s="39"/>
      <c r="K81" s="45"/>
      <c r="L81" s="40"/>
      <c r="M81" s="40"/>
      <c r="N81" s="38"/>
      <c r="O81" s="38"/>
      <c r="P81" s="38"/>
      <c r="Q81" s="38"/>
      <c r="R81" s="38"/>
      <c r="S81" s="38"/>
      <c r="T81" s="38"/>
      <c r="U81" s="38"/>
    </row>
    <row r="82" spans="1:21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83"/>
      <c r="G82" s="92"/>
      <c r="H82" s="92"/>
      <c r="I82" s="39"/>
      <c r="J82" s="39"/>
      <c r="K82" s="45"/>
      <c r="L82" s="40"/>
      <c r="M82" s="40"/>
      <c r="N82" s="38"/>
      <c r="O82" s="38"/>
      <c r="P82" s="38"/>
      <c r="Q82" s="38"/>
      <c r="R82" s="38"/>
      <c r="S82" s="38"/>
      <c r="T82" s="38"/>
      <c r="U82" s="38"/>
    </row>
    <row r="83" spans="1:21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83"/>
      <c r="G83" s="92"/>
      <c r="H83" s="92"/>
      <c r="I83" s="39"/>
      <c r="J83" s="39"/>
      <c r="K83" s="45"/>
      <c r="L83" s="40"/>
      <c r="M83" s="40"/>
      <c r="N83" s="38"/>
      <c r="O83" s="38"/>
      <c r="P83" s="38"/>
      <c r="Q83" s="38"/>
      <c r="R83" s="38"/>
      <c r="S83" s="38"/>
      <c r="T83" s="38"/>
      <c r="U83" s="38"/>
    </row>
    <row r="84" spans="1:21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83"/>
      <c r="G84" s="92"/>
      <c r="H84" s="92"/>
      <c r="I84" s="39"/>
      <c r="J84" s="39"/>
      <c r="K84" s="45"/>
      <c r="L84" s="40"/>
      <c r="M84" s="40"/>
      <c r="N84" s="38"/>
      <c r="O84" s="38"/>
      <c r="P84" s="38"/>
      <c r="Q84" s="38"/>
      <c r="R84" s="38"/>
      <c r="S84" s="38"/>
      <c r="T84" s="38"/>
      <c r="U84" s="38"/>
    </row>
    <row r="85" spans="1:21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83"/>
      <c r="G85" s="92"/>
      <c r="H85" s="92"/>
      <c r="I85" s="39"/>
      <c r="J85" s="39"/>
      <c r="K85" s="45"/>
      <c r="L85" s="40"/>
      <c r="M85" s="40"/>
      <c r="N85" s="38"/>
      <c r="O85" s="38"/>
      <c r="P85" s="38"/>
      <c r="Q85" s="38"/>
      <c r="R85" s="38"/>
      <c r="S85" s="38"/>
      <c r="T85" s="38"/>
      <c r="U85" s="38"/>
    </row>
    <row r="86" spans="1:21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83"/>
      <c r="G86" s="92"/>
      <c r="H86" s="92"/>
      <c r="I86" s="39"/>
      <c r="J86" s="39"/>
      <c r="K86" s="45"/>
      <c r="L86" s="40"/>
      <c r="M86" s="40"/>
      <c r="N86" s="38"/>
      <c r="O86" s="38"/>
      <c r="P86" s="38"/>
      <c r="Q86" s="38"/>
      <c r="R86" s="38"/>
      <c r="S86" s="38"/>
      <c r="T86" s="38"/>
      <c r="U86" s="38"/>
    </row>
    <row r="87" spans="1:21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83"/>
      <c r="G87" s="92"/>
      <c r="H87" s="92"/>
      <c r="I87" s="39"/>
      <c r="J87" s="39"/>
      <c r="K87" s="45"/>
      <c r="L87" s="40"/>
      <c r="M87" s="40"/>
      <c r="N87" s="38"/>
      <c r="O87" s="38"/>
      <c r="P87" s="38"/>
      <c r="Q87" s="38"/>
      <c r="R87" s="38"/>
      <c r="S87" s="38"/>
      <c r="T87" s="38"/>
      <c r="U87" s="38"/>
    </row>
    <row r="88" spans="1:21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83"/>
      <c r="G88" s="92"/>
      <c r="H88" s="92"/>
      <c r="I88" s="39"/>
      <c r="J88" s="40"/>
      <c r="K88" s="45"/>
      <c r="L88" s="40"/>
      <c r="M88" s="40"/>
      <c r="N88" s="38"/>
      <c r="O88" s="38"/>
      <c r="P88" s="38"/>
      <c r="Q88" s="38"/>
      <c r="R88" s="38"/>
      <c r="S88" s="38"/>
      <c r="T88" s="38"/>
      <c r="U88" s="38"/>
    </row>
    <row r="89" spans="1:21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83"/>
      <c r="G89" s="92"/>
      <c r="H89" s="92"/>
      <c r="I89" s="39"/>
      <c r="J89" s="39"/>
      <c r="K89" s="45"/>
      <c r="L89" s="40"/>
      <c r="M89" s="40"/>
      <c r="N89" s="38"/>
      <c r="O89" s="38"/>
      <c r="P89" s="38"/>
      <c r="Q89" s="38"/>
      <c r="R89" s="38"/>
      <c r="S89" s="38"/>
      <c r="T89" s="38"/>
      <c r="U89" s="38"/>
    </row>
    <row r="90" spans="1:21" ht="16.5" thickBot="1">
      <c r="A90" s="37">
        <v>5406</v>
      </c>
      <c r="B90" s="37">
        <v>10136</v>
      </c>
      <c r="C90" s="47">
        <v>938530</v>
      </c>
      <c r="D90" s="40" t="s">
        <v>96</v>
      </c>
      <c r="E90" s="39"/>
      <c r="F90" s="83"/>
      <c r="G90" s="92"/>
      <c r="H90" s="92"/>
      <c r="I90" s="39"/>
      <c r="J90" s="39"/>
      <c r="K90" s="45"/>
      <c r="L90" s="40"/>
      <c r="M90" s="40"/>
      <c r="N90" s="38"/>
      <c r="O90" s="38"/>
      <c r="P90" s="38"/>
      <c r="Q90" s="38"/>
      <c r="R90" s="38"/>
      <c r="S90" s="38"/>
      <c r="T90" s="38"/>
      <c r="U90" s="38"/>
    </row>
    <row r="91" spans="1:21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83"/>
      <c r="G91" s="92"/>
      <c r="H91" s="92"/>
      <c r="I91" s="39"/>
      <c r="J91" s="39"/>
      <c r="K91" s="45"/>
      <c r="L91" s="40"/>
      <c r="M91" s="40"/>
      <c r="N91" s="38"/>
      <c r="O91" s="38"/>
      <c r="P91" s="38"/>
      <c r="Q91" s="38"/>
      <c r="R91" s="38"/>
      <c r="S91" s="38"/>
      <c r="T91" s="38"/>
      <c r="U91" s="38"/>
    </row>
    <row r="92" spans="1:21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83"/>
      <c r="G92" s="92"/>
      <c r="H92" s="92"/>
      <c r="I92" s="39"/>
      <c r="J92" s="40"/>
      <c r="K92" s="45"/>
      <c r="L92" s="40"/>
      <c r="M92" s="40"/>
      <c r="N92" s="38"/>
      <c r="O92" s="38"/>
      <c r="P92" s="38"/>
      <c r="Q92" s="38"/>
      <c r="R92" s="38"/>
      <c r="S92" s="38"/>
      <c r="T92" s="38"/>
      <c r="U92" s="38"/>
    </row>
    <row r="93" spans="1:21" ht="16.5" thickBot="1">
      <c r="A93" s="37">
        <v>4215</v>
      </c>
      <c r="B93" s="37">
        <v>10138</v>
      </c>
      <c r="C93" s="47">
        <v>938475</v>
      </c>
      <c r="D93" s="40" t="s">
        <v>99</v>
      </c>
      <c r="E93" s="39"/>
      <c r="F93" s="83"/>
      <c r="G93" s="92"/>
      <c r="H93" s="92"/>
      <c r="I93" s="39"/>
      <c r="J93" s="39"/>
      <c r="K93" s="45"/>
      <c r="L93" s="40"/>
      <c r="M93" s="40"/>
      <c r="N93" s="38"/>
      <c r="O93" s="38"/>
      <c r="P93" s="38"/>
      <c r="Q93" s="38"/>
      <c r="R93" s="38"/>
      <c r="S93" s="38"/>
      <c r="T93" s="38"/>
      <c r="U93" s="38"/>
    </row>
    <row r="94" spans="1:21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83"/>
      <c r="G94" s="92"/>
      <c r="H94" s="92"/>
      <c r="I94" s="39"/>
      <c r="J94" s="39"/>
      <c r="K94" s="45"/>
      <c r="L94" s="40"/>
      <c r="M94" s="40"/>
      <c r="N94" s="38"/>
      <c r="O94" s="38"/>
      <c r="P94" s="38"/>
      <c r="Q94" s="38"/>
      <c r="R94" s="38"/>
      <c r="S94" s="38"/>
      <c r="T94" s="38"/>
      <c r="U94" s="38"/>
    </row>
    <row r="95" spans="1:21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83"/>
      <c r="G95" s="92"/>
      <c r="H95" s="92"/>
      <c r="I95" s="39"/>
      <c r="J95" s="39"/>
      <c r="K95" s="45"/>
      <c r="L95" s="40"/>
      <c r="M95" s="40"/>
      <c r="N95" s="38"/>
      <c r="O95" s="38"/>
      <c r="P95" s="38"/>
      <c r="Q95" s="38"/>
      <c r="R95" s="38"/>
      <c r="S95" s="38"/>
      <c r="T95" s="38"/>
      <c r="U95" s="38"/>
    </row>
    <row r="96" spans="1:21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83"/>
      <c r="G96" s="92"/>
      <c r="H96" s="92"/>
      <c r="I96" s="39"/>
      <c r="J96" s="39"/>
      <c r="K96" s="45"/>
      <c r="L96" s="40"/>
      <c r="M96" s="40"/>
      <c r="N96" s="38"/>
      <c r="O96" s="38"/>
      <c r="P96" s="38"/>
      <c r="Q96" s="38"/>
      <c r="R96" s="38"/>
      <c r="S96" s="38"/>
      <c r="T96" s="38"/>
      <c r="U96" s="38"/>
    </row>
    <row r="97" spans="1:21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83"/>
      <c r="G97" s="92"/>
      <c r="H97" s="92"/>
      <c r="I97" s="39"/>
      <c r="J97" s="39"/>
      <c r="K97" s="45"/>
      <c r="L97" s="40"/>
      <c r="M97" s="40"/>
      <c r="N97" s="38"/>
      <c r="O97" s="38"/>
      <c r="P97" s="38"/>
      <c r="Q97" s="38"/>
      <c r="R97" s="38"/>
      <c r="S97" s="38"/>
      <c r="T97" s="38"/>
      <c r="U97" s="38"/>
    </row>
    <row r="98" spans="1:21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83"/>
      <c r="G98" s="92"/>
      <c r="H98" s="92"/>
      <c r="I98" s="39"/>
      <c r="J98" s="39"/>
      <c r="K98" s="45"/>
      <c r="L98" s="40"/>
      <c r="M98" s="40"/>
      <c r="N98" s="38"/>
      <c r="O98" s="38"/>
      <c r="P98" s="38"/>
      <c r="Q98" s="38"/>
      <c r="R98" s="38"/>
      <c r="S98" s="38"/>
      <c r="T98" s="38"/>
      <c r="U98" s="38"/>
    </row>
    <row r="99" spans="1:21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83"/>
      <c r="G99" s="92"/>
      <c r="H99" s="92"/>
      <c r="I99" s="39"/>
      <c r="J99" s="40"/>
      <c r="K99" s="45"/>
      <c r="L99" s="40"/>
      <c r="M99" s="40"/>
      <c r="N99" s="38"/>
      <c r="O99" s="38"/>
      <c r="P99" s="38"/>
      <c r="Q99" s="38"/>
      <c r="R99" s="38"/>
      <c r="S99" s="38"/>
      <c r="T99" s="38"/>
      <c r="U99" s="38"/>
    </row>
    <row r="100" spans="1:21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83"/>
      <c r="G100" s="92"/>
      <c r="H100" s="92"/>
      <c r="I100" s="39"/>
      <c r="J100" s="39"/>
      <c r="K100" s="45"/>
      <c r="L100" s="40"/>
      <c r="M100" s="40"/>
      <c r="N100" s="38"/>
      <c r="O100" s="38"/>
      <c r="P100" s="38"/>
      <c r="Q100" s="38"/>
      <c r="R100" s="38"/>
      <c r="S100" s="38"/>
      <c r="T100" s="38"/>
      <c r="U100" s="38"/>
    </row>
    <row r="101" spans="1:21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83"/>
      <c r="G101" s="92"/>
      <c r="H101" s="92"/>
      <c r="I101" s="39"/>
      <c r="J101" s="39"/>
      <c r="K101" s="45"/>
      <c r="L101" s="40"/>
      <c r="M101" s="40"/>
      <c r="N101" s="38"/>
      <c r="O101" s="38"/>
      <c r="P101" s="38"/>
      <c r="Q101" s="38"/>
      <c r="R101" s="38"/>
      <c r="S101" s="38"/>
      <c r="T101" s="38"/>
      <c r="U101" s="38"/>
    </row>
    <row r="102" spans="1:21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83"/>
      <c r="G102" s="92"/>
      <c r="H102" s="92"/>
      <c r="I102" s="39"/>
      <c r="J102" s="39"/>
      <c r="K102" s="45"/>
      <c r="L102" s="40"/>
      <c r="M102" s="40"/>
      <c r="N102" s="38"/>
      <c r="O102" s="38"/>
      <c r="P102" s="38"/>
      <c r="Q102" s="38"/>
      <c r="R102" s="38"/>
      <c r="S102" s="38"/>
      <c r="T102" s="38"/>
      <c r="U102" s="38"/>
    </row>
    <row r="103" spans="1:21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83"/>
      <c r="G103" s="92"/>
      <c r="H103" s="92"/>
      <c r="I103" s="39"/>
      <c r="J103" s="39"/>
      <c r="K103" s="45"/>
      <c r="L103" s="40"/>
      <c r="M103" s="40"/>
      <c r="N103" s="38"/>
      <c r="O103" s="38"/>
      <c r="P103" s="38"/>
      <c r="Q103" s="38"/>
      <c r="R103" s="38"/>
      <c r="S103" s="38"/>
      <c r="T103" s="38"/>
      <c r="U103" s="38"/>
    </row>
    <row r="104" spans="1:21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39"/>
      <c r="F104" s="83"/>
      <c r="G104" s="92"/>
      <c r="H104" s="92"/>
      <c r="I104" s="39"/>
      <c r="J104" s="39"/>
      <c r="K104" s="45"/>
      <c r="L104" s="40"/>
      <c r="M104" s="40"/>
      <c r="N104" s="38"/>
      <c r="O104" s="38"/>
      <c r="P104" s="38"/>
      <c r="Q104" s="38"/>
      <c r="R104" s="38"/>
      <c r="S104" s="38"/>
      <c r="T104" s="38"/>
      <c r="U104" s="38"/>
    </row>
    <row r="105" spans="1:21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83"/>
      <c r="G105" s="92"/>
      <c r="H105" s="92"/>
      <c r="I105" s="39"/>
      <c r="J105" s="39"/>
      <c r="K105" s="45"/>
      <c r="L105" s="40"/>
      <c r="M105" s="40"/>
      <c r="N105" s="38"/>
      <c r="O105" s="38"/>
      <c r="P105" s="38"/>
      <c r="Q105" s="38"/>
      <c r="R105" s="38"/>
      <c r="S105" s="38"/>
      <c r="T105" s="38"/>
      <c r="U105" s="38"/>
    </row>
    <row r="106" spans="1:21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83"/>
      <c r="G106" s="92"/>
      <c r="H106" s="92"/>
      <c r="I106" s="39"/>
      <c r="J106" s="39"/>
      <c r="K106" s="45"/>
      <c r="L106" s="40"/>
      <c r="M106" s="40"/>
      <c r="N106" s="38"/>
      <c r="O106" s="38"/>
      <c r="P106" s="38"/>
      <c r="Q106" s="38"/>
      <c r="R106" s="38"/>
      <c r="S106" s="38"/>
      <c r="T106" s="38"/>
      <c r="U106" s="38"/>
    </row>
    <row r="107" spans="1:21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83"/>
      <c r="G107" s="92"/>
      <c r="H107" s="92"/>
      <c r="I107" s="39"/>
      <c r="J107" s="39"/>
      <c r="K107" s="45"/>
      <c r="L107" s="40"/>
      <c r="M107" s="40"/>
      <c r="N107" s="38"/>
      <c r="O107" s="38"/>
      <c r="P107" s="38"/>
      <c r="Q107" s="38"/>
      <c r="R107" s="38"/>
      <c r="S107" s="38"/>
      <c r="T107" s="38"/>
      <c r="U107" s="38"/>
    </row>
    <row r="108" spans="1:21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83"/>
      <c r="G108" s="92"/>
      <c r="H108" s="92"/>
      <c r="I108" s="39"/>
      <c r="J108" s="39"/>
      <c r="K108" s="45"/>
      <c r="L108" s="40"/>
      <c r="M108" s="40"/>
      <c r="N108" s="38"/>
      <c r="O108" s="38"/>
      <c r="P108" s="38"/>
      <c r="Q108" s="38"/>
      <c r="R108" s="38"/>
      <c r="S108" s="38"/>
      <c r="T108" s="38"/>
      <c r="U108" s="38"/>
    </row>
    <row r="109" spans="1:21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83"/>
      <c r="G109" s="92"/>
      <c r="H109" s="92"/>
      <c r="I109" s="39"/>
      <c r="J109" s="39"/>
      <c r="K109" s="45"/>
      <c r="L109" s="40"/>
      <c r="M109" s="40"/>
      <c r="N109" s="38"/>
      <c r="O109" s="38"/>
      <c r="P109" s="38"/>
      <c r="Q109" s="38"/>
      <c r="R109" s="38"/>
      <c r="S109" s="38"/>
      <c r="T109" s="38"/>
      <c r="U109" s="38"/>
    </row>
    <row r="110" spans="1:21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83"/>
      <c r="G110" s="92"/>
      <c r="H110" s="92"/>
      <c r="I110" s="39"/>
      <c r="J110" s="39"/>
      <c r="K110" s="45"/>
      <c r="L110" s="40"/>
      <c r="M110" s="40"/>
      <c r="N110" s="38"/>
      <c r="O110" s="38"/>
      <c r="P110" s="38"/>
      <c r="Q110" s="38"/>
      <c r="R110" s="38"/>
      <c r="S110" s="38"/>
      <c r="T110" s="38"/>
      <c r="U110" s="38"/>
    </row>
    <row r="111" spans="1:21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83"/>
      <c r="G111" s="92"/>
      <c r="H111" s="92"/>
      <c r="I111" s="39"/>
      <c r="J111" s="39"/>
      <c r="K111" s="45"/>
      <c r="L111" s="40"/>
      <c r="M111" s="40"/>
      <c r="N111" s="38"/>
      <c r="O111" s="38"/>
      <c r="P111" s="38"/>
      <c r="Q111" s="38"/>
      <c r="R111" s="38"/>
      <c r="S111" s="38"/>
      <c r="T111" s="38"/>
      <c r="U111" s="38"/>
    </row>
    <row r="112" spans="1:21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83"/>
      <c r="G112" s="92"/>
      <c r="H112" s="92"/>
      <c r="I112" s="39"/>
      <c r="J112" s="39"/>
      <c r="K112" s="45"/>
      <c r="L112" s="40"/>
      <c r="M112" s="40"/>
      <c r="N112" s="38"/>
      <c r="O112" s="38"/>
      <c r="P112" s="38"/>
      <c r="Q112" s="38"/>
      <c r="R112" s="38"/>
      <c r="S112" s="38"/>
      <c r="T112" s="38"/>
      <c r="U112" s="38"/>
    </row>
    <row r="113" spans="1:21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83"/>
      <c r="G113" s="92"/>
      <c r="H113" s="92"/>
      <c r="I113" s="39"/>
      <c r="J113" s="39"/>
      <c r="K113" s="45"/>
      <c r="L113" s="40"/>
      <c r="M113" s="40"/>
      <c r="N113" s="38"/>
      <c r="O113" s="38"/>
      <c r="P113" s="38"/>
      <c r="Q113" s="38"/>
      <c r="R113" s="38"/>
      <c r="S113" s="38"/>
      <c r="T113" s="38"/>
      <c r="U113" s="38"/>
    </row>
    <row r="114" spans="1:21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83"/>
      <c r="G114" s="92"/>
      <c r="H114" s="92"/>
      <c r="I114" s="39"/>
      <c r="J114" s="39"/>
      <c r="K114" s="45"/>
      <c r="L114" s="40"/>
      <c r="M114" s="40"/>
      <c r="N114" s="38"/>
      <c r="O114" s="38"/>
      <c r="P114" s="38"/>
      <c r="Q114" s="38"/>
      <c r="R114" s="38"/>
      <c r="S114" s="38"/>
      <c r="T114" s="38"/>
      <c r="U114" s="38"/>
    </row>
    <row r="115" spans="1:21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83"/>
      <c r="G115" s="92"/>
      <c r="H115" s="92"/>
      <c r="I115" s="39"/>
      <c r="J115" s="39"/>
      <c r="K115" s="45"/>
      <c r="L115" s="40"/>
      <c r="M115" s="40"/>
      <c r="N115" s="38"/>
      <c r="O115" s="38"/>
      <c r="P115" s="38"/>
      <c r="Q115" s="38"/>
      <c r="R115" s="38"/>
      <c r="S115" s="38"/>
      <c r="T115" s="38"/>
      <c r="U115" s="38"/>
    </row>
    <row r="116" spans="1:21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83"/>
      <c r="G116" s="92"/>
      <c r="H116" s="92"/>
      <c r="I116" s="39"/>
      <c r="J116" s="40"/>
      <c r="K116" s="45"/>
      <c r="L116" s="40"/>
      <c r="M116" s="40"/>
      <c r="N116" s="38"/>
      <c r="O116" s="38"/>
      <c r="P116" s="38"/>
      <c r="Q116" s="38"/>
      <c r="R116" s="38"/>
      <c r="S116" s="38"/>
      <c r="T116" s="38"/>
      <c r="U116" s="38"/>
    </row>
    <row r="117" spans="1:21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83"/>
      <c r="G117" s="92"/>
      <c r="H117" s="92"/>
      <c r="I117" s="39"/>
      <c r="J117" s="39"/>
      <c r="K117" s="45"/>
      <c r="L117" s="40"/>
      <c r="M117" s="40"/>
      <c r="N117" s="38"/>
      <c r="O117" s="38"/>
      <c r="P117" s="38"/>
      <c r="Q117" s="38"/>
      <c r="R117" s="38"/>
      <c r="S117" s="38"/>
      <c r="T117" s="38"/>
      <c r="U117" s="38"/>
    </row>
    <row r="118" spans="2:21" ht="15.75">
      <c r="B118" s="38"/>
      <c r="C118" s="42"/>
      <c r="D118" s="43" t="s">
        <v>139</v>
      </c>
      <c r="E118" s="92">
        <f aca="true" t="shared" si="0" ref="E118:K118">SUM(E3:E117)</f>
        <v>0</v>
      </c>
      <c r="F118" s="92">
        <f>SUM(F3:F117)</f>
        <v>0</v>
      </c>
      <c r="G118" s="92">
        <f t="shared" si="0"/>
        <v>0</v>
      </c>
      <c r="H118" s="92">
        <f t="shared" si="0"/>
        <v>0</v>
      </c>
      <c r="I118" s="92">
        <f t="shared" si="0"/>
        <v>0</v>
      </c>
      <c r="J118" s="92">
        <f t="shared" si="0"/>
        <v>0</v>
      </c>
      <c r="K118" s="96">
        <f t="shared" si="0"/>
        <v>0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2:21" ht="15.75">
      <c r="B119" s="38"/>
      <c r="C119" s="42"/>
      <c r="D119" s="41"/>
      <c r="E119" s="39"/>
      <c r="F119" s="39"/>
      <c r="G119" s="39"/>
      <c r="H119" s="39"/>
      <c r="I119" s="39"/>
      <c r="J119" s="39"/>
      <c r="K119" s="39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3:21" ht="15.75">
      <c r="C120" s="1">
        <f>COUNT(C3:C117)</f>
        <v>115</v>
      </c>
      <c r="D120" s="86">
        <f>COUNT(A3:A117)-COUNTA(M3:M117)</f>
        <v>115</v>
      </c>
      <c r="E120" s="37" t="s">
        <v>175</v>
      </c>
      <c r="F120" s="37" t="s">
        <v>175</v>
      </c>
      <c r="G120" s="38"/>
      <c r="H120" s="38"/>
      <c r="I120" s="38"/>
      <c r="J120" s="64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4:21" ht="15.75">
      <c r="D121" s="86">
        <f>C120-D120</f>
        <v>0</v>
      </c>
      <c r="E121" s="38" t="s">
        <v>174</v>
      </c>
      <c r="F121" s="38" t="s">
        <v>174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ht="15">
      <c r="D122" s="41"/>
    </row>
    <row r="123" spans="4:21" ht="15.75">
      <c r="D123" s="90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4:21" ht="15.75">
      <c r="D124" s="90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6:21" ht="15.75">
      <c r="F125" s="40"/>
      <c r="G125" s="40"/>
      <c r="H125" s="40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6:21" ht="15.75">
      <c r="F126" s="40"/>
      <c r="G126" s="40"/>
      <c r="H126" s="40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6:21" ht="15.75">
      <c r="F127" s="40"/>
      <c r="G127" s="38"/>
      <c r="H127" s="38"/>
      <c r="I127" s="38"/>
      <c r="J127" s="38"/>
      <c r="K127" s="85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6:21" ht="15.75">
      <c r="F128" s="40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6:21" ht="15.75">
      <c r="F129" s="40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6:21" ht="15.75">
      <c r="F130" s="4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6:21" ht="15.75">
      <c r="F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6:21" ht="15.75">
      <c r="F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6:21" ht="15.75">
      <c r="F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6:21" ht="15.75">
      <c r="F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6:21" ht="15.75">
      <c r="F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6:21" ht="15.75">
      <c r="F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6:21" ht="15.75">
      <c r="F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6:21" ht="15.75">
      <c r="F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6:21" ht="15.75">
      <c r="F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6:21" ht="15.75">
      <c r="F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6:21" ht="15.75">
      <c r="F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6:21" ht="15.75">
      <c r="F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6:21" ht="15.75"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6:21" ht="15.75"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6:21" ht="15.75"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6:21" ht="15.75"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6:21" ht="15.75">
      <c r="F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6:21" ht="15.75">
      <c r="F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6:21" ht="15.75">
      <c r="F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6:21" ht="15.75">
      <c r="F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6:21" ht="15.75">
      <c r="F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6:21" ht="15.75">
      <c r="F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6:21" ht="15.75">
      <c r="F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6:21" ht="15.75">
      <c r="F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6:21" ht="15.75">
      <c r="F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6:21" ht="15.75">
      <c r="F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6:21" ht="15.75">
      <c r="F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6:21" ht="15.75">
      <c r="F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6:21" ht="15.75">
      <c r="F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6:21" ht="15.75">
      <c r="F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6:21" ht="15.75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6:21" ht="15.75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6:21" ht="15.75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6:21" ht="15.75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6:21" ht="15.75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6:21" ht="15.75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6:21" ht="15.75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6:21" ht="15.75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6:21" ht="15.75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6:21" ht="15.75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6:21" ht="15.75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6:21" ht="15.75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6:21" ht="15.75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6:21" ht="15.75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6:21" ht="15.75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6:21" ht="15.75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6:21" ht="15.75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6:21" ht="15.75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6:21" ht="15.75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6:21" ht="15.75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6:21" ht="15.75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6:21" ht="15.75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6:21" ht="15.75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6:21" ht="15.75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6:21" ht="15.75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6:21" ht="15.75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6:21" ht="15.75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6:21" ht="15.75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6:21" ht="15.75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6:21" ht="15.75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6:21" ht="15.75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</sheetData>
  <autoFilter ref="A2:L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E118:G118 I118:K118 G3:G117">
    <cfRule type="cellIs" priority="1" dxfId="1" operator="lessThan" stopIfTrue="1">
      <formula>0</formula>
    </cfRule>
  </conditionalFormatting>
  <conditionalFormatting sqref="D3:D117">
    <cfRule type="expression" priority="2" dxfId="2" stopIfTrue="1">
      <formula>M3&lt;1</formula>
    </cfRule>
  </conditionalFormatting>
  <conditionalFormatting sqref="H3:H118">
    <cfRule type="cellIs" priority="3" dxfId="3" operator="lessThan" stopIfTrue="1">
      <formula>0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29" r:id="rId1"/>
  <rowBreaks count="2" manualBreakCount="2">
    <brk id="45" max="11" man="1"/>
    <brk id="8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193"/>
  <sheetViews>
    <sheetView zoomScale="75" zoomScaleNormal="75" zoomScaleSheetLayoutView="70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1.77734375" style="37" customWidth="1"/>
    <col min="5" max="5" width="11.99609375" style="36" customWidth="1"/>
    <col min="6" max="6" width="17.5546875" style="37" customWidth="1"/>
    <col min="7" max="7" width="16.3359375" style="37" customWidth="1"/>
    <col min="8" max="8" width="16.5546875" style="37" customWidth="1"/>
    <col min="9" max="9" width="13.99609375" style="37" customWidth="1"/>
    <col min="10" max="10" width="12.99609375" style="37" customWidth="1"/>
    <col min="11" max="11" width="15.10546875" style="37" bestFit="1" customWidth="1"/>
    <col min="12" max="12" width="13.77734375" style="37" customWidth="1"/>
    <col min="13" max="13" width="19.6640625" style="37" customWidth="1"/>
    <col min="14" max="16384" width="8.88671875" style="37" customWidth="1"/>
  </cols>
  <sheetData>
    <row r="1" spans="1:13" s="59" customFormat="1" ht="17.25" customHeight="1">
      <c r="A1" s="56" t="s">
        <v>118</v>
      </c>
      <c r="B1" s="56" t="s">
        <v>120</v>
      </c>
      <c r="C1" s="56" t="s">
        <v>163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4.25" customHeight="1">
      <c r="A2" s="57" t="s">
        <v>119</v>
      </c>
      <c r="B2" s="57" t="s">
        <v>137</v>
      </c>
      <c r="C2" s="57" t="s">
        <v>172</v>
      </c>
      <c r="D2" s="57" t="s">
        <v>260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21" ht="15.75">
      <c r="A3" s="37">
        <v>3520</v>
      </c>
      <c r="B3" s="36">
        <v>11094</v>
      </c>
      <c r="C3" s="22">
        <v>938585</v>
      </c>
      <c r="D3" s="40" t="s">
        <v>176</v>
      </c>
      <c r="E3" s="39"/>
      <c r="F3" s="83"/>
      <c r="G3" s="92"/>
      <c r="H3" s="92"/>
      <c r="I3" s="83"/>
      <c r="J3" s="40"/>
      <c r="K3" s="45"/>
      <c r="L3" s="40"/>
      <c r="M3" s="40"/>
      <c r="N3" s="38"/>
      <c r="O3" s="38"/>
      <c r="P3" s="38"/>
      <c r="Q3" s="38"/>
      <c r="R3" s="38"/>
      <c r="S3" s="38"/>
      <c r="T3" s="38"/>
      <c r="U3" s="38"/>
    </row>
    <row r="4" spans="1:21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83"/>
      <c r="G4" s="92"/>
      <c r="H4" s="92"/>
      <c r="I4" s="83"/>
      <c r="J4" s="83"/>
      <c r="K4" s="45"/>
      <c r="L4" s="40"/>
      <c r="M4" s="40"/>
      <c r="N4" s="38"/>
      <c r="O4" s="38"/>
      <c r="P4" s="38"/>
      <c r="Q4" s="38"/>
      <c r="R4" s="38"/>
      <c r="S4" s="38"/>
      <c r="T4" s="38"/>
      <c r="U4" s="38"/>
    </row>
    <row r="5" spans="1:21" ht="16.5" thickBot="1">
      <c r="A5" s="37">
        <v>3300</v>
      </c>
      <c r="B5" s="37">
        <v>10040</v>
      </c>
      <c r="C5" s="47">
        <v>938282</v>
      </c>
      <c r="D5" s="40" t="s">
        <v>17</v>
      </c>
      <c r="E5" s="39"/>
      <c r="F5" s="83"/>
      <c r="G5" s="92"/>
      <c r="H5" s="92"/>
      <c r="I5" s="83"/>
      <c r="J5" s="83"/>
      <c r="K5" s="45"/>
      <c r="L5" s="40"/>
      <c r="M5" s="40"/>
      <c r="N5" s="38"/>
      <c r="O5" s="38"/>
      <c r="P5" s="38"/>
      <c r="Q5" s="38"/>
      <c r="R5" s="38"/>
      <c r="S5" s="38"/>
      <c r="T5" s="38"/>
      <c r="U5" s="38"/>
    </row>
    <row r="6" spans="1:21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83"/>
      <c r="G6" s="92"/>
      <c r="H6" s="92"/>
      <c r="I6" s="83"/>
      <c r="J6" s="83"/>
      <c r="K6" s="45"/>
      <c r="L6" s="40"/>
      <c r="M6" s="40"/>
      <c r="N6" s="38"/>
      <c r="O6" s="38"/>
      <c r="P6" s="38"/>
      <c r="Q6" s="38"/>
      <c r="R6" s="38"/>
      <c r="S6" s="38"/>
      <c r="T6" s="38"/>
      <c r="U6" s="38"/>
    </row>
    <row r="7" spans="1:21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83"/>
      <c r="G7" s="92"/>
      <c r="H7" s="92"/>
      <c r="I7" s="83"/>
      <c r="J7" s="40"/>
      <c r="K7" s="45"/>
      <c r="L7" s="40"/>
      <c r="M7" s="40"/>
      <c r="N7" s="38"/>
      <c r="O7" s="38"/>
      <c r="P7" s="38"/>
      <c r="Q7" s="38"/>
      <c r="R7" s="38"/>
      <c r="S7" s="38"/>
      <c r="T7" s="38"/>
      <c r="U7" s="38"/>
    </row>
    <row r="8" spans="1:21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83"/>
      <c r="G8" s="92"/>
      <c r="H8" s="92"/>
      <c r="I8" s="83"/>
      <c r="J8" s="83"/>
      <c r="K8" s="45"/>
      <c r="L8" s="40"/>
      <c r="M8" s="40"/>
      <c r="N8" s="38"/>
      <c r="O8" s="38"/>
      <c r="P8" s="38"/>
      <c r="Q8" s="38"/>
      <c r="R8" s="38"/>
      <c r="S8" s="38"/>
      <c r="T8" s="38"/>
      <c r="U8" s="38"/>
    </row>
    <row r="9" spans="1:21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83"/>
      <c r="G9" s="92"/>
      <c r="H9" s="92"/>
      <c r="I9" s="83"/>
      <c r="J9" s="83"/>
      <c r="K9" s="45"/>
      <c r="L9" s="40"/>
      <c r="M9" s="40"/>
      <c r="N9" s="38"/>
      <c r="O9" s="38"/>
      <c r="P9" s="38"/>
      <c r="Q9" s="38"/>
      <c r="R9" s="38"/>
      <c r="S9" s="38"/>
      <c r="T9" s="38"/>
      <c r="U9" s="38"/>
    </row>
    <row r="10" spans="1:21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83"/>
      <c r="G10" s="92"/>
      <c r="H10" s="92"/>
      <c r="I10" s="83"/>
      <c r="J10" s="83"/>
      <c r="K10" s="45"/>
      <c r="L10" s="40"/>
      <c r="M10" s="40"/>
      <c r="N10" s="38"/>
      <c r="O10" s="38"/>
      <c r="P10" s="38"/>
      <c r="Q10" s="38"/>
      <c r="R10" s="38"/>
      <c r="S10" s="38"/>
      <c r="T10" s="38"/>
      <c r="U10" s="38"/>
    </row>
    <row r="11" spans="1:21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83"/>
      <c r="G11" s="92"/>
      <c r="H11" s="92"/>
      <c r="I11" s="83"/>
      <c r="J11" s="83"/>
      <c r="K11" s="45"/>
      <c r="L11" s="40"/>
      <c r="M11" s="40"/>
      <c r="N11" s="38"/>
      <c r="O11" s="38"/>
      <c r="P11" s="38"/>
      <c r="Q11" s="38"/>
      <c r="R11" s="38"/>
      <c r="S11" s="38"/>
      <c r="T11" s="38"/>
      <c r="U11" s="38"/>
    </row>
    <row r="12" spans="1:21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83"/>
      <c r="G12" s="92"/>
      <c r="H12" s="92"/>
      <c r="I12" s="83"/>
      <c r="J12" s="83"/>
      <c r="K12" s="45"/>
      <c r="L12" s="40"/>
      <c r="M12" s="40"/>
      <c r="N12" s="38"/>
      <c r="O12" s="38"/>
      <c r="P12" s="38"/>
      <c r="Q12" s="38"/>
      <c r="R12" s="38"/>
      <c r="S12" s="38"/>
      <c r="T12" s="38"/>
      <c r="U12" s="38"/>
    </row>
    <row r="13" spans="1:21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83"/>
      <c r="G13" s="92"/>
      <c r="H13" s="92"/>
      <c r="I13" s="83"/>
      <c r="J13" s="83"/>
      <c r="K13" s="45"/>
      <c r="L13" s="40"/>
      <c r="M13" s="40"/>
      <c r="N13" s="38"/>
      <c r="O13" s="38"/>
      <c r="P13" s="38"/>
      <c r="Q13" s="38"/>
      <c r="R13" s="38"/>
      <c r="S13" s="38"/>
      <c r="T13" s="38"/>
      <c r="U13" s="38"/>
    </row>
    <row r="14" spans="1:21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83"/>
      <c r="G14" s="92"/>
      <c r="H14" s="92"/>
      <c r="I14" s="83"/>
      <c r="J14" s="83"/>
      <c r="K14" s="45"/>
      <c r="L14" s="40"/>
      <c r="M14" s="40"/>
      <c r="N14" s="38"/>
      <c r="O14" s="38"/>
      <c r="P14" s="38"/>
      <c r="Q14" s="38"/>
      <c r="R14" s="38"/>
      <c r="S14" s="38"/>
      <c r="T14" s="38"/>
      <c r="U14" s="38"/>
    </row>
    <row r="15" spans="1:21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83"/>
      <c r="G15" s="92"/>
      <c r="H15" s="92"/>
      <c r="I15" s="83"/>
      <c r="J15" s="38"/>
      <c r="K15" s="45"/>
      <c r="L15" s="40"/>
      <c r="M15" s="40"/>
      <c r="N15" s="38"/>
      <c r="O15" s="38"/>
      <c r="P15" s="38"/>
      <c r="Q15" s="38"/>
      <c r="R15" s="38"/>
      <c r="S15" s="38"/>
      <c r="T15" s="38"/>
      <c r="U15" s="38"/>
    </row>
    <row r="16" spans="1:21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83"/>
      <c r="G16" s="92"/>
      <c r="H16" s="92"/>
      <c r="I16" s="83"/>
      <c r="J16" s="40"/>
      <c r="K16" s="45"/>
      <c r="L16" s="40"/>
      <c r="M16" s="40"/>
      <c r="N16" s="38"/>
      <c r="O16" s="38"/>
      <c r="P16" s="38"/>
      <c r="Q16" s="38"/>
      <c r="R16" s="38"/>
      <c r="S16" s="38"/>
      <c r="T16" s="38"/>
      <c r="U16" s="38"/>
    </row>
    <row r="17" spans="1:21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83"/>
      <c r="G17" s="92"/>
      <c r="H17" s="92"/>
      <c r="I17" s="83"/>
      <c r="J17" s="83"/>
      <c r="K17" s="45"/>
      <c r="L17" s="40"/>
      <c r="M17" s="40"/>
      <c r="N17" s="38"/>
      <c r="O17" s="38"/>
      <c r="P17" s="38"/>
      <c r="Q17" s="38"/>
      <c r="R17" s="38"/>
      <c r="S17" s="38"/>
      <c r="T17" s="38"/>
      <c r="U17" s="38"/>
    </row>
    <row r="18" spans="1:21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83"/>
      <c r="G18" s="92"/>
      <c r="H18" s="92"/>
      <c r="I18" s="83"/>
      <c r="J18" s="40"/>
      <c r="K18" s="45"/>
      <c r="L18" s="40"/>
      <c r="M18" s="40"/>
      <c r="N18" s="38"/>
      <c r="O18" s="38"/>
      <c r="P18" s="38"/>
      <c r="Q18" s="38"/>
      <c r="R18" s="38"/>
      <c r="S18" s="38"/>
      <c r="T18" s="38"/>
      <c r="U18" s="38"/>
    </row>
    <row r="19" spans="1:21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83"/>
      <c r="G19" s="92"/>
      <c r="H19" s="92"/>
      <c r="I19" s="83"/>
      <c r="J19" s="83"/>
      <c r="K19" s="45"/>
      <c r="L19" s="40"/>
      <c r="M19" s="40"/>
      <c r="N19" s="42"/>
      <c r="O19" s="38"/>
      <c r="P19" s="38"/>
      <c r="Q19" s="38"/>
      <c r="R19" s="38"/>
      <c r="S19" s="38"/>
      <c r="T19" s="38"/>
      <c r="U19" s="38"/>
    </row>
    <row r="20" spans="1:21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83"/>
      <c r="G20" s="92"/>
      <c r="H20" s="92"/>
      <c r="I20" s="83"/>
      <c r="J20" s="83"/>
      <c r="K20" s="45"/>
      <c r="L20" s="40"/>
      <c r="M20" s="40"/>
      <c r="N20" s="38"/>
      <c r="O20" s="38"/>
      <c r="P20" s="38"/>
      <c r="Q20" s="38"/>
      <c r="R20" s="38"/>
      <c r="S20" s="38"/>
      <c r="T20" s="38"/>
      <c r="U20" s="38"/>
    </row>
    <row r="21" spans="1:21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83"/>
      <c r="G21" s="92"/>
      <c r="H21" s="92"/>
      <c r="I21" s="83"/>
      <c r="J21" s="40"/>
      <c r="K21" s="45"/>
      <c r="L21" s="40"/>
      <c r="M21" s="40"/>
      <c r="N21" s="38"/>
      <c r="O21" s="38"/>
      <c r="P21" s="38"/>
      <c r="Q21" s="38"/>
      <c r="R21" s="38"/>
      <c r="S21" s="38"/>
      <c r="T21" s="38"/>
      <c r="U21" s="38"/>
    </row>
    <row r="22" spans="1:21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83"/>
      <c r="G22" s="92"/>
      <c r="H22" s="92"/>
      <c r="I22" s="83"/>
      <c r="J22" s="40"/>
      <c r="K22" s="45"/>
      <c r="L22" s="40"/>
      <c r="M22" s="40"/>
      <c r="N22" s="38"/>
      <c r="O22" s="38"/>
      <c r="P22" s="38"/>
      <c r="Q22" s="38"/>
      <c r="R22" s="38"/>
      <c r="S22" s="38"/>
      <c r="T22" s="38"/>
      <c r="U22" s="38"/>
    </row>
    <row r="23" spans="1:21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83"/>
      <c r="G23" s="92"/>
      <c r="H23" s="92"/>
      <c r="I23" s="83"/>
      <c r="J23" s="83"/>
      <c r="K23" s="45"/>
      <c r="L23" s="40"/>
      <c r="M23" s="40"/>
      <c r="N23" s="38"/>
      <c r="O23" s="38"/>
      <c r="P23" s="38"/>
      <c r="Q23" s="38"/>
      <c r="R23" s="38"/>
      <c r="S23" s="38"/>
      <c r="T23" s="38"/>
      <c r="U23" s="38"/>
    </row>
    <row r="24" spans="1:21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83"/>
      <c r="G24" s="92"/>
      <c r="H24" s="92"/>
      <c r="I24" s="83"/>
      <c r="J24" s="83"/>
      <c r="K24" s="45"/>
      <c r="L24" s="40"/>
      <c r="M24" s="40"/>
      <c r="N24" s="38"/>
      <c r="O24" s="38"/>
      <c r="P24" s="38"/>
      <c r="Q24" s="38"/>
      <c r="R24" s="38"/>
      <c r="S24" s="38"/>
      <c r="T24" s="38"/>
      <c r="U24" s="38"/>
    </row>
    <row r="25" spans="1:21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83"/>
      <c r="G25" s="92"/>
      <c r="H25" s="92"/>
      <c r="I25" s="83"/>
      <c r="J25" s="83"/>
      <c r="K25" s="45"/>
      <c r="L25" s="40"/>
      <c r="M25" s="40"/>
      <c r="N25" s="38"/>
      <c r="O25" s="38"/>
      <c r="P25" s="38"/>
      <c r="Q25" s="38"/>
      <c r="R25" s="38"/>
      <c r="S25" s="38"/>
      <c r="T25" s="38"/>
      <c r="U25" s="38"/>
    </row>
    <row r="26" spans="1:21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83"/>
      <c r="G26" s="92"/>
      <c r="H26" s="92"/>
      <c r="I26" s="83"/>
      <c r="J26" s="40"/>
      <c r="K26" s="45"/>
      <c r="L26" s="40"/>
      <c r="M26" s="40"/>
      <c r="N26" s="38"/>
      <c r="O26" s="38"/>
      <c r="P26" s="38"/>
      <c r="Q26" s="38"/>
      <c r="R26" s="38"/>
      <c r="S26" s="38"/>
      <c r="T26" s="38"/>
      <c r="U26" s="38"/>
    </row>
    <row r="27" spans="1:21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83"/>
      <c r="G27" s="92"/>
      <c r="H27" s="92"/>
      <c r="I27" s="83"/>
      <c r="J27" s="40"/>
      <c r="K27" s="45"/>
      <c r="L27" s="40"/>
      <c r="M27" s="40"/>
      <c r="N27" s="38"/>
      <c r="O27" s="38"/>
      <c r="P27" s="38"/>
      <c r="Q27" s="38"/>
      <c r="R27" s="38"/>
      <c r="S27" s="38"/>
      <c r="T27" s="38"/>
      <c r="U27" s="38"/>
    </row>
    <row r="28" spans="1:21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83"/>
      <c r="G28" s="92"/>
      <c r="H28" s="92"/>
      <c r="I28" s="83"/>
      <c r="J28" s="83"/>
      <c r="K28" s="45"/>
      <c r="L28" s="40"/>
      <c r="M28" s="40"/>
      <c r="N28" s="38"/>
      <c r="O28" s="38"/>
      <c r="P28" s="38"/>
      <c r="Q28" s="38"/>
      <c r="R28" s="38"/>
      <c r="S28" s="38"/>
      <c r="T28" s="38"/>
      <c r="U28" s="38"/>
    </row>
    <row r="29" spans="1:21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83"/>
      <c r="G29" s="92"/>
      <c r="H29" s="92"/>
      <c r="I29" s="83"/>
      <c r="J29" s="83"/>
      <c r="K29" s="45"/>
      <c r="L29" s="40"/>
      <c r="M29" s="40"/>
      <c r="N29" s="38"/>
      <c r="O29" s="38"/>
      <c r="P29" s="38"/>
      <c r="Q29" s="38"/>
      <c r="R29" s="38"/>
      <c r="S29" s="38"/>
      <c r="T29" s="38"/>
      <c r="U29" s="38"/>
    </row>
    <row r="30" spans="1:21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83"/>
      <c r="G30" s="92"/>
      <c r="H30" s="92"/>
      <c r="I30" s="83"/>
      <c r="J30" s="40"/>
      <c r="K30" s="45"/>
      <c r="L30" s="40"/>
      <c r="M30" s="40"/>
      <c r="N30" s="38"/>
      <c r="O30" s="38"/>
      <c r="P30" s="38"/>
      <c r="Q30" s="38"/>
      <c r="R30" s="38"/>
      <c r="S30" s="38"/>
      <c r="T30" s="38"/>
      <c r="U30" s="38"/>
    </row>
    <row r="31" spans="1:21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83"/>
      <c r="G31" s="92"/>
      <c r="H31" s="92"/>
      <c r="I31" s="83"/>
      <c r="J31" s="83"/>
      <c r="K31" s="45"/>
      <c r="L31" s="40"/>
      <c r="M31" s="40"/>
      <c r="N31" s="38"/>
      <c r="O31" s="38"/>
      <c r="P31" s="38"/>
      <c r="Q31" s="38"/>
      <c r="R31" s="38"/>
      <c r="S31" s="38"/>
      <c r="T31" s="38"/>
      <c r="U31" s="38"/>
    </row>
    <row r="32" spans="1:21" ht="16.5" thickBot="1">
      <c r="A32" s="37">
        <v>3524</v>
      </c>
      <c r="B32" s="37">
        <v>11278</v>
      </c>
      <c r="C32" s="47">
        <v>938590</v>
      </c>
      <c r="D32" s="40" t="s">
        <v>396</v>
      </c>
      <c r="E32" s="39"/>
      <c r="F32" s="83"/>
      <c r="G32" s="92"/>
      <c r="H32" s="92"/>
      <c r="I32" s="83"/>
      <c r="J32" s="83"/>
      <c r="K32" s="45"/>
      <c r="L32" s="40"/>
      <c r="M32" s="40"/>
      <c r="N32" s="38"/>
      <c r="O32" s="38"/>
      <c r="P32" s="38"/>
      <c r="Q32" s="38"/>
      <c r="R32" s="38"/>
      <c r="S32" s="38"/>
      <c r="T32" s="38"/>
      <c r="U32" s="38"/>
    </row>
    <row r="33" spans="1:21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83"/>
      <c r="G33" s="92"/>
      <c r="H33" s="92"/>
      <c r="I33" s="83"/>
      <c r="J33" s="83"/>
      <c r="K33" s="45"/>
      <c r="L33" s="40"/>
      <c r="M33" s="40"/>
      <c r="N33" s="38"/>
      <c r="O33" s="38"/>
      <c r="P33" s="38"/>
      <c r="Q33" s="38"/>
      <c r="R33" s="38"/>
      <c r="S33" s="38"/>
      <c r="T33" s="38"/>
      <c r="U33" s="38"/>
    </row>
    <row r="34" spans="1:21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83"/>
      <c r="G34" s="92"/>
      <c r="H34" s="92"/>
      <c r="I34" s="83"/>
      <c r="J34" s="83"/>
      <c r="K34" s="45"/>
      <c r="L34" s="40"/>
      <c r="M34" s="40"/>
      <c r="N34" s="38"/>
      <c r="O34" s="38"/>
      <c r="P34" s="38"/>
      <c r="Q34" s="38"/>
      <c r="R34" s="38"/>
      <c r="S34" s="38"/>
      <c r="T34" s="38"/>
      <c r="U34" s="38"/>
    </row>
    <row r="35" spans="1:21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83"/>
      <c r="G35" s="92"/>
      <c r="H35" s="92"/>
      <c r="I35" s="83"/>
      <c r="J35" s="83"/>
      <c r="K35" s="45"/>
      <c r="L35" s="40"/>
      <c r="M35" s="40"/>
      <c r="N35" s="38"/>
      <c r="O35" s="38"/>
      <c r="P35" s="38"/>
      <c r="Q35" s="38"/>
      <c r="R35" s="38"/>
      <c r="S35" s="38"/>
      <c r="T35" s="38"/>
      <c r="U35" s="38"/>
    </row>
    <row r="36" spans="1:21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83"/>
      <c r="G36" s="92"/>
      <c r="H36" s="92"/>
      <c r="I36" s="83"/>
      <c r="J36" s="83"/>
      <c r="K36" s="45"/>
      <c r="L36" s="40"/>
      <c r="M36" s="40"/>
      <c r="N36" s="38"/>
      <c r="O36" s="38"/>
      <c r="P36" s="38"/>
      <c r="Q36" s="38"/>
      <c r="R36" s="38"/>
      <c r="S36" s="38"/>
      <c r="T36" s="38"/>
      <c r="U36" s="38"/>
    </row>
    <row r="37" spans="1:21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83"/>
      <c r="G37" s="92"/>
      <c r="H37" s="92"/>
      <c r="I37" s="83"/>
      <c r="J37" s="83"/>
      <c r="K37" s="45"/>
      <c r="L37" s="40"/>
      <c r="M37" s="40"/>
      <c r="N37" s="38"/>
      <c r="O37" s="38"/>
      <c r="P37" s="38"/>
      <c r="Q37" s="38"/>
      <c r="R37" s="38"/>
      <c r="S37" s="38"/>
      <c r="T37" s="38"/>
      <c r="U37" s="38"/>
    </row>
    <row r="38" spans="1:21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83"/>
      <c r="G38" s="92"/>
      <c r="H38" s="92"/>
      <c r="I38" s="83"/>
      <c r="J38" s="40"/>
      <c r="K38" s="45"/>
      <c r="L38" s="40"/>
      <c r="M38" s="40"/>
      <c r="N38" s="38"/>
      <c r="O38" s="38"/>
      <c r="P38" s="38"/>
      <c r="Q38" s="38"/>
      <c r="R38" s="38"/>
      <c r="S38" s="38"/>
      <c r="T38" s="38"/>
      <c r="U38" s="38"/>
    </row>
    <row r="39" spans="1:21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83"/>
      <c r="G39" s="92"/>
      <c r="H39" s="92"/>
      <c r="I39" s="83"/>
      <c r="J39" s="40"/>
      <c r="K39" s="45"/>
      <c r="L39" s="40"/>
      <c r="M39" s="40"/>
      <c r="N39" s="38"/>
      <c r="O39" s="38"/>
      <c r="P39" s="38"/>
      <c r="Q39" s="38"/>
      <c r="R39" s="38"/>
      <c r="S39" s="38"/>
      <c r="T39" s="38"/>
      <c r="U39" s="38"/>
    </row>
    <row r="40" spans="1:21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83"/>
      <c r="G40" s="92"/>
      <c r="H40" s="92"/>
      <c r="I40" s="83"/>
      <c r="J40" s="83"/>
      <c r="K40" s="45"/>
      <c r="L40" s="40"/>
      <c r="M40" s="40"/>
      <c r="N40" s="38"/>
      <c r="O40" s="38"/>
      <c r="P40" s="38"/>
      <c r="Q40" s="38"/>
      <c r="R40" s="38"/>
      <c r="S40" s="38"/>
      <c r="T40" s="38"/>
      <c r="U40" s="38"/>
    </row>
    <row r="41" spans="1:21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83"/>
      <c r="G41" s="92"/>
      <c r="H41" s="92"/>
      <c r="I41" s="83"/>
      <c r="J41" s="83"/>
      <c r="K41" s="45"/>
      <c r="L41" s="40"/>
      <c r="M41" s="40"/>
      <c r="N41" s="38"/>
      <c r="O41" s="38"/>
      <c r="P41" s="38"/>
      <c r="Q41" s="38"/>
      <c r="R41" s="38"/>
      <c r="S41" s="38"/>
      <c r="T41" s="38"/>
      <c r="U41" s="38"/>
    </row>
    <row r="42" spans="1:21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83"/>
      <c r="G42" s="92"/>
      <c r="H42" s="92"/>
      <c r="I42" s="83"/>
      <c r="J42" s="83"/>
      <c r="K42" s="45"/>
      <c r="L42" s="40"/>
      <c r="M42" s="40"/>
      <c r="N42" s="38"/>
      <c r="O42" s="38"/>
      <c r="P42" s="38"/>
      <c r="Q42" s="38"/>
      <c r="R42" s="38"/>
      <c r="S42" s="38"/>
      <c r="T42" s="38"/>
      <c r="U42" s="38"/>
    </row>
    <row r="43" spans="1:21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83"/>
      <c r="G43" s="92"/>
      <c r="H43" s="92"/>
      <c r="I43" s="83"/>
      <c r="J43" s="83"/>
      <c r="K43" s="45"/>
      <c r="L43" s="40"/>
      <c r="M43" s="40"/>
      <c r="N43" s="38"/>
      <c r="O43" s="38"/>
      <c r="P43" s="38"/>
      <c r="Q43" s="38"/>
      <c r="R43" s="38"/>
      <c r="S43" s="38"/>
      <c r="T43" s="38"/>
      <c r="U43" s="38"/>
    </row>
    <row r="44" spans="1:21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83"/>
      <c r="G44" s="92"/>
      <c r="H44" s="92"/>
      <c r="I44" s="83"/>
      <c r="J44" s="83"/>
      <c r="K44" s="45"/>
      <c r="L44" s="40"/>
      <c r="M44" s="40"/>
      <c r="N44" s="38"/>
      <c r="O44" s="38"/>
      <c r="P44" s="38"/>
      <c r="Q44" s="38"/>
      <c r="R44" s="38"/>
      <c r="S44" s="38"/>
      <c r="T44" s="38"/>
      <c r="U44" s="38"/>
    </row>
    <row r="45" spans="1:21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83"/>
      <c r="G45" s="92"/>
      <c r="H45" s="92"/>
      <c r="I45" s="83"/>
      <c r="J45" s="83"/>
      <c r="K45" s="45"/>
      <c r="L45" s="40"/>
      <c r="M45" s="40"/>
      <c r="N45" s="38"/>
      <c r="O45" s="38"/>
      <c r="P45" s="38"/>
      <c r="Q45" s="38"/>
      <c r="R45" s="38"/>
      <c r="S45" s="38"/>
      <c r="T45" s="38"/>
      <c r="U45" s="38"/>
    </row>
    <row r="46" spans="1:21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83"/>
      <c r="G46" s="92"/>
      <c r="H46" s="92"/>
      <c r="I46" s="83"/>
      <c r="J46" s="83"/>
      <c r="K46" s="45"/>
      <c r="L46" s="40"/>
      <c r="M46" s="40"/>
      <c r="N46" s="38"/>
      <c r="O46" s="38"/>
      <c r="P46" s="38"/>
      <c r="Q46" s="38"/>
      <c r="R46" s="38"/>
      <c r="S46" s="38"/>
      <c r="T46" s="38"/>
      <c r="U46" s="38"/>
    </row>
    <row r="47" spans="1:21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83"/>
      <c r="G47" s="92"/>
      <c r="H47" s="92"/>
      <c r="I47" s="83"/>
      <c r="J47" s="83"/>
      <c r="K47" s="45"/>
      <c r="L47" s="40"/>
      <c r="M47" s="40"/>
      <c r="N47" s="38"/>
      <c r="O47" s="38"/>
      <c r="P47" s="38"/>
      <c r="Q47" s="38"/>
      <c r="R47" s="38"/>
      <c r="S47" s="38"/>
      <c r="T47" s="38"/>
      <c r="U47" s="38"/>
    </row>
    <row r="48" spans="1:21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83"/>
      <c r="G48" s="92"/>
      <c r="H48" s="92"/>
      <c r="I48" s="83"/>
      <c r="J48" s="40"/>
      <c r="K48" s="45"/>
      <c r="L48" s="40"/>
      <c r="M48" s="40"/>
      <c r="N48" s="38"/>
      <c r="O48" s="38"/>
      <c r="P48" s="38"/>
      <c r="Q48" s="38"/>
      <c r="R48" s="38"/>
      <c r="S48" s="38"/>
      <c r="T48" s="38"/>
      <c r="U48" s="38"/>
    </row>
    <row r="49" spans="1:21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83"/>
      <c r="G49" s="92"/>
      <c r="H49" s="92"/>
      <c r="I49" s="83"/>
      <c r="J49" s="83"/>
      <c r="K49" s="45"/>
      <c r="L49" s="40"/>
      <c r="M49" s="40"/>
      <c r="N49" s="38"/>
      <c r="O49" s="38"/>
      <c r="P49" s="38"/>
      <c r="Q49" s="38"/>
      <c r="R49" s="38"/>
      <c r="S49" s="38"/>
      <c r="T49" s="38"/>
      <c r="U49" s="38"/>
    </row>
    <row r="50" spans="1:21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83"/>
      <c r="G50" s="92"/>
      <c r="H50" s="92"/>
      <c r="I50" s="83"/>
      <c r="J50" s="83"/>
      <c r="K50" s="45"/>
      <c r="L50" s="40"/>
      <c r="M50" s="40"/>
      <c r="N50" s="38"/>
      <c r="O50" s="38"/>
      <c r="P50" s="38"/>
      <c r="Q50" s="38"/>
      <c r="R50" s="38"/>
      <c r="S50" s="38"/>
      <c r="T50" s="38"/>
      <c r="U50" s="38"/>
    </row>
    <row r="51" spans="1:21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83"/>
      <c r="G51" s="92"/>
      <c r="H51" s="92"/>
      <c r="I51" s="83"/>
      <c r="J51" s="83"/>
      <c r="K51" s="45"/>
      <c r="L51" s="40"/>
      <c r="M51" s="40"/>
      <c r="N51" s="38"/>
      <c r="O51" s="38"/>
      <c r="P51" s="38"/>
      <c r="Q51" s="38"/>
      <c r="R51" s="38"/>
      <c r="S51" s="38"/>
      <c r="T51" s="38"/>
      <c r="U51" s="38"/>
    </row>
    <row r="52" spans="1:21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83"/>
      <c r="G52" s="92"/>
      <c r="H52" s="92"/>
      <c r="I52" s="83"/>
      <c r="J52" s="83"/>
      <c r="K52" s="45"/>
      <c r="L52" s="40"/>
      <c r="M52" s="40"/>
      <c r="N52" s="38"/>
      <c r="O52" s="38"/>
      <c r="P52" s="38"/>
      <c r="Q52" s="38"/>
      <c r="R52" s="38"/>
      <c r="S52" s="38"/>
      <c r="T52" s="38"/>
      <c r="U52" s="38"/>
    </row>
    <row r="53" spans="1:21" ht="16.5" thickBot="1">
      <c r="A53" s="37">
        <v>2042</v>
      </c>
      <c r="B53" s="37">
        <v>10079</v>
      </c>
      <c r="C53" s="47">
        <v>938180</v>
      </c>
      <c r="D53" s="40" t="s">
        <v>63</v>
      </c>
      <c r="E53" s="39"/>
      <c r="F53" s="83"/>
      <c r="G53" s="92"/>
      <c r="H53" s="92"/>
      <c r="I53" s="83"/>
      <c r="J53" s="83"/>
      <c r="K53" s="45"/>
      <c r="L53" s="40"/>
      <c r="M53" s="40"/>
      <c r="N53" s="38"/>
      <c r="O53" s="38"/>
      <c r="P53" s="38"/>
      <c r="Q53" s="38"/>
      <c r="R53" s="38"/>
      <c r="S53" s="38"/>
      <c r="T53" s="38"/>
      <c r="U53" s="38"/>
    </row>
    <row r="54" spans="1:21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83"/>
      <c r="G54" s="92"/>
      <c r="H54" s="92"/>
      <c r="I54" s="83"/>
      <c r="J54" s="83"/>
      <c r="K54" s="45"/>
      <c r="L54" s="40"/>
      <c r="M54" s="40"/>
      <c r="N54" s="38"/>
      <c r="O54" s="38"/>
      <c r="P54" s="38"/>
      <c r="Q54" s="38"/>
      <c r="R54" s="38"/>
      <c r="S54" s="38"/>
      <c r="T54" s="38"/>
      <c r="U54" s="38"/>
    </row>
    <row r="55" spans="1:21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83"/>
      <c r="G55" s="92"/>
      <c r="H55" s="92"/>
      <c r="I55" s="83"/>
      <c r="J55" s="83"/>
      <c r="K55" s="45"/>
      <c r="L55" s="40"/>
      <c r="M55" s="40"/>
      <c r="N55" s="38"/>
      <c r="O55" s="38"/>
      <c r="P55" s="38"/>
      <c r="Q55" s="38"/>
      <c r="R55" s="38"/>
      <c r="S55" s="38"/>
      <c r="T55" s="38"/>
      <c r="U55" s="38"/>
    </row>
    <row r="56" spans="1:21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83"/>
      <c r="G56" s="92"/>
      <c r="H56" s="92"/>
      <c r="I56" s="83"/>
      <c r="J56" s="83"/>
      <c r="K56" s="45"/>
      <c r="L56" s="40"/>
      <c r="M56" s="40"/>
      <c r="N56" s="38"/>
      <c r="O56" s="38"/>
      <c r="P56" s="38"/>
      <c r="Q56" s="38"/>
      <c r="R56" s="38"/>
      <c r="S56" s="38"/>
      <c r="T56" s="38"/>
      <c r="U56" s="38"/>
    </row>
    <row r="57" spans="1:21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83"/>
      <c r="G57" s="92"/>
      <c r="H57" s="92"/>
      <c r="I57" s="83"/>
      <c r="J57" s="83"/>
      <c r="K57" s="45"/>
      <c r="L57" s="40"/>
      <c r="M57" s="40"/>
      <c r="N57" s="38"/>
      <c r="O57" s="38"/>
      <c r="P57" s="38"/>
      <c r="Q57" s="38"/>
      <c r="R57" s="38"/>
      <c r="S57" s="38"/>
      <c r="T57" s="38"/>
      <c r="U57" s="38"/>
    </row>
    <row r="58" spans="1:21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83"/>
      <c r="G58" s="92"/>
      <c r="H58" s="92"/>
      <c r="I58" s="83"/>
      <c r="J58" s="83"/>
      <c r="K58" s="45"/>
      <c r="L58" s="40"/>
      <c r="M58" s="40"/>
      <c r="N58" s="38"/>
      <c r="O58" s="38"/>
      <c r="P58" s="38"/>
      <c r="Q58" s="38"/>
      <c r="R58" s="38"/>
      <c r="S58" s="38"/>
      <c r="T58" s="38"/>
      <c r="U58" s="38"/>
    </row>
    <row r="59" spans="1:21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83"/>
      <c r="G59" s="92"/>
      <c r="H59" s="92"/>
      <c r="I59" s="83"/>
      <c r="J59" s="83"/>
      <c r="K59" s="45"/>
      <c r="L59" s="40"/>
      <c r="M59" s="40"/>
      <c r="N59" s="38"/>
      <c r="O59" s="38"/>
      <c r="P59" s="38"/>
      <c r="Q59" s="38"/>
      <c r="R59" s="38"/>
      <c r="S59" s="38"/>
      <c r="T59" s="38"/>
      <c r="U59" s="38"/>
    </row>
    <row r="60" spans="1:21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83"/>
      <c r="G60" s="92"/>
      <c r="H60" s="92"/>
      <c r="I60" s="83"/>
      <c r="J60" s="83"/>
      <c r="K60" s="45"/>
      <c r="L60" s="40"/>
      <c r="M60" s="40"/>
      <c r="N60" s="38"/>
      <c r="O60" s="38"/>
      <c r="P60" s="38"/>
      <c r="Q60" s="38"/>
      <c r="R60" s="38"/>
      <c r="S60" s="38"/>
      <c r="T60" s="38"/>
      <c r="U60" s="38"/>
    </row>
    <row r="61" spans="1:21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83"/>
      <c r="G61" s="92"/>
      <c r="H61" s="92"/>
      <c r="I61" s="83"/>
      <c r="J61" s="83"/>
      <c r="K61" s="45"/>
      <c r="L61" s="40"/>
      <c r="M61" s="40"/>
      <c r="N61" s="38"/>
      <c r="O61" s="38"/>
      <c r="P61" s="38"/>
      <c r="Q61" s="38"/>
      <c r="R61" s="38"/>
      <c r="S61" s="38"/>
      <c r="T61" s="38"/>
      <c r="U61" s="38"/>
    </row>
    <row r="62" spans="1:21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83"/>
      <c r="G62" s="92"/>
      <c r="H62" s="92"/>
      <c r="I62" s="83"/>
      <c r="J62" s="83"/>
      <c r="K62" s="45"/>
      <c r="L62" s="40"/>
      <c r="M62" s="40"/>
      <c r="N62" s="38"/>
      <c r="O62" s="38"/>
      <c r="P62" s="38"/>
      <c r="Q62" s="38"/>
      <c r="R62" s="38"/>
      <c r="S62" s="38"/>
      <c r="T62" s="38"/>
      <c r="U62" s="38"/>
    </row>
    <row r="63" spans="1:21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83"/>
      <c r="G63" s="92"/>
      <c r="H63" s="92"/>
      <c r="I63" s="83"/>
      <c r="J63" s="83"/>
      <c r="K63" s="45"/>
      <c r="L63" s="40"/>
      <c r="M63" s="40"/>
      <c r="N63" s="38"/>
      <c r="O63" s="38"/>
      <c r="P63" s="38"/>
      <c r="Q63" s="38"/>
      <c r="R63" s="38"/>
      <c r="S63" s="38"/>
      <c r="T63" s="38"/>
      <c r="U63" s="38"/>
    </row>
    <row r="64" spans="1:21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83"/>
      <c r="G64" s="92"/>
      <c r="H64" s="92"/>
      <c r="I64" s="83"/>
      <c r="J64" s="83"/>
      <c r="K64" s="45"/>
      <c r="L64" s="40"/>
      <c r="M64" s="40"/>
      <c r="N64" s="38"/>
      <c r="O64" s="38"/>
      <c r="P64" s="38"/>
      <c r="Q64" s="38"/>
      <c r="R64" s="38"/>
      <c r="S64" s="38"/>
      <c r="T64" s="38"/>
      <c r="U64" s="38"/>
    </row>
    <row r="65" spans="1:21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83"/>
      <c r="G65" s="92"/>
      <c r="H65" s="92"/>
      <c r="I65" s="83"/>
      <c r="J65" s="83"/>
      <c r="K65" s="45"/>
      <c r="L65" s="40"/>
      <c r="M65" s="40"/>
      <c r="N65" s="38"/>
      <c r="O65" s="38"/>
      <c r="P65" s="38"/>
      <c r="Q65" s="38"/>
      <c r="R65" s="38"/>
      <c r="S65" s="38"/>
      <c r="T65" s="38"/>
      <c r="U65" s="38"/>
    </row>
    <row r="66" spans="1:21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83"/>
      <c r="G66" s="92"/>
      <c r="H66" s="92"/>
      <c r="I66" s="83"/>
      <c r="J66" s="83"/>
      <c r="K66" s="45"/>
      <c r="L66" s="40"/>
      <c r="M66" s="40"/>
      <c r="N66" s="38"/>
      <c r="O66" s="38"/>
      <c r="P66" s="38"/>
      <c r="Q66" s="38"/>
      <c r="R66" s="38"/>
      <c r="S66" s="38"/>
      <c r="T66" s="38"/>
      <c r="U66" s="38"/>
    </row>
    <row r="67" spans="1:21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83"/>
      <c r="G67" s="92"/>
      <c r="H67" s="92"/>
      <c r="I67" s="83"/>
      <c r="J67" s="83"/>
      <c r="K67" s="45"/>
      <c r="L67" s="40"/>
      <c r="M67" s="40"/>
      <c r="N67" s="38"/>
      <c r="O67" s="38"/>
      <c r="P67" s="38"/>
      <c r="Q67" s="38"/>
      <c r="R67" s="38"/>
      <c r="S67" s="38"/>
      <c r="T67" s="38"/>
      <c r="U67" s="38"/>
    </row>
    <row r="68" spans="1:21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83"/>
      <c r="G68" s="92"/>
      <c r="H68" s="92"/>
      <c r="I68" s="83"/>
      <c r="J68" s="83"/>
      <c r="K68" s="45"/>
      <c r="L68" s="40"/>
      <c r="M68" s="40"/>
      <c r="N68" s="38"/>
      <c r="O68" s="60"/>
      <c r="P68" s="38"/>
      <c r="Q68" s="38"/>
      <c r="R68" s="38"/>
      <c r="S68" s="38"/>
      <c r="T68" s="38"/>
      <c r="U68" s="38"/>
    </row>
    <row r="69" spans="1:21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83"/>
      <c r="G69" s="92"/>
      <c r="H69" s="92"/>
      <c r="I69" s="83"/>
      <c r="J69" s="83"/>
      <c r="K69" s="45"/>
      <c r="L69" s="40"/>
      <c r="M69" s="40"/>
      <c r="N69" s="38"/>
      <c r="O69" s="38"/>
      <c r="P69" s="38"/>
      <c r="Q69" s="38"/>
      <c r="R69" s="38"/>
      <c r="S69" s="38"/>
      <c r="T69" s="38"/>
      <c r="U69" s="38"/>
    </row>
    <row r="70" spans="1:21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83"/>
      <c r="G70" s="92"/>
      <c r="H70" s="92"/>
      <c r="I70" s="83"/>
      <c r="J70" s="83"/>
      <c r="K70" s="45"/>
      <c r="L70" s="40"/>
      <c r="M70" s="40"/>
      <c r="N70" s="38"/>
      <c r="O70" s="38"/>
      <c r="P70" s="38"/>
      <c r="Q70" s="38"/>
      <c r="R70" s="38"/>
      <c r="S70" s="38"/>
      <c r="T70" s="38"/>
      <c r="U70" s="38"/>
    </row>
    <row r="71" spans="1:21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83"/>
      <c r="G71" s="92"/>
      <c r="H71" s="92"/>
      <c r="I71" s="83"/>
      <c r="J71" s="83"/>
      <c r="K71" s="45"/>
      <c r="L71" s="40"/>
      <c r="M71" s="40"/>
      <c r="N71" s="38"/>
      <c r="O71" s="38"/>
      <c r="P71" s="38"/>
      <c r="Q71" s="38"/>
      <c r="R71" s="38"/>
      <c r="S71" s="38"/>
      <c r="T71" s="38"/>
      <c r="U71" s="38"/>
    </row>
    <row r="72" spans="1:21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83"/>
      <c r="G72" s="92"/>
      <c r="H72" s="92"/>
      <c r="I72" s="83"/>
      <c r="J72" s="83"/>
      <c r="K72" s="45"/>
      <c r="L72" s="40"/>
      <c r="M72" s="40"/>
      <c r="N72" s="38"/>
      <c r="O72" s="38"/>
      <c r="P72" s="38"/>
      <c r="Q72" s="38"/>
      <c r="R72" s="38"/>
      <c r="S72" s="38"/>
      <c r="T72" s="38"/>
      <c r="U72" s="38"/>
    </row>
    <row r="73" spans="1:21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83"/>
      <c r="G73" s="92"/>
      <c r="H73" s="92"/>
      <c r="I73" s="83"/>
      <c r="J73" s="83"/>
      <c r="K73" s="45"/>
      <c r="L73" s="40"/>
      <c r="M73" s="40"/>
      <c r="N73" s="38"/>
      <c r="O73" s="38"/>
      <c r="P73" s="38"/>
      <c r="Q73" s="38"/>
      <c r="R73" s="38"/>
      <c r="S73" s="38"/>
      <c r="T73" s="38"/>
      <c r="U73" s="38"/>
    </row>
    <row r="74" spans="1:21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83"/>
      <c r="G74" s="92"/>
      <c r="H74" s="92"/>
      <c r="I74" s="83"/>
      <c r="J74" s="83"/>
      <c r="K74" s="45"/>
      <c r="L74" s="40"/>
      <c r="M74" s="40"/>
      <c r="N74" s="38"/>
      <c r="O74" s="38"/>
      <c r="P74" s="38"/>
      <c r="Q74" s="38"/>
      <c r="R74" s="38"/>
      <c r="S74" s="38"/>
      <c r="T74" s="38"/>
      <c r="U74" s="38"/>
    </row>
    <row r="75" spans="1:21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83"/>
      <c r="G75" s="92"/>
      <c r="H75" s="92"/>
      <c r="I75" s="83"/>
      <c r="J75" s="83"/>
      <c r="K75" s="45"/>
      <c r="L75" s="40"/>
      <c r="M75" s="40"/>
      <c r="N75" s="38"/>
      <c r="O75" s="38"/>
      <c r="P75" s="38"/>
      <c r="Q75" s="38"/>
      <c r="R75" s="38"/>
      <c r="S75" s="38"/>
      <c r="T75" s="38"/>
      <c r="U75" s="38"/>
    </row>
    <row r="76" spans="1:21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83"/>
      <c r="G76" s="92"/>
      <c r="H76" s="92"/>
      <c r="I76" s="83"/>
      <c r="J76" s="83"/>
      <c r="K76" s="45"/>
      <c r="L76" s="40"/>
      <c r="M76" s="40"/>
      <c r="N76" s="38"/>
      <c r="O76" s="38"/>
      <c r="P76" s="38"/>
      <c r="Q76" s="38"/>
      <c r="R76" s="38"/>
      <c r="S76" s="38"/>
      <c r="T76" s="38"/>
      <c r="U76" s="38"/>
    </row>
    <row r="77" spans="1:21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83"/>
      <c r="G77" s="92"/>
      <c r="H77" s="92"/>
      <c r="I77" s="83"/>
      <c r="J77" s="83"/>
      <c r="K77" s="45"/>
      <c r="L77" s="40"/>
      <c r="M77" s="40"/>
      <c r="N77" s="38"/>
      <c r="O77" s="38"/>
      <c r="P77" s="38"/>
      <c r="Q77" s="38"/>
      <c r="R77" s="38"/>
      <c r="S77" s="38"/>
      <c r="T77" s="38"/>
      <c r="U77" s="38"/>
    </row>
    <row r="78" spans="1:21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83"/>
      <c r="G78" s="92"/>
      <c r="H78" s="92"/>
      <c r="I78" s="83"/>
      <c r="J78" s="83"/>
      <c r="K78" s="45"/>
      <c r="L78" s="40"/>
      <c r="M78" s="40"/>
      <c r="N78" s="38"/>
      <c r="O78" s="38"/>
      <c r="P78" s="38"/>
      <c r="Q78" s="38"/>
      <c r="R78" s="38"/>
      <c r="S78" s="38"/>
      <c r="T78" s="38"/>
      <c r="U78" s="38"/>
    </row>
    <row r="79" spans="1:21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83"/>
      <c r="G79" s="92"/>
      <c r="H79" s="92"/>
      <c r="I79" s="83"/>
      <c r="J79" s="40"/>
      <c r="K79" s="45"/>
      <c r="L79" s="40"/>
      <c r="M79" s="40"/>
      <c r="N79" s="38"/>
      <c r="O79" s="38"/>
      <c r="P79" s="38"/>
      <c r="Q79" s="38"/>
      <c r="R79" s="38"/>
      <c r="S79" s="38"/>
      <c r="T79" s="38"/>
      <c r="U79" s="38"/>
    </row>
    <row r="80" spans="1:21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83"/>
      <c r="G80" s="92"/>
      <c r="H80" s="92"/>
      <c r="I80" s="83"/>
      <c r="J80" s="83"/>
      <c r="K80" s="45"/>
      <c r="L80" s="40"/>
      <c r="M80" s="40"/>
      <c r="N80" s="38"/>
      <c r="O80" s="38"/>
      <c r="P80" s="38"/>
      <c r="Q80" s="38"/>
      <c r="R80" s="38"/>
      <c r="S80" s="38"/>
      <c r="T80" s="38"/>
      <c r="U80" s="38"/>
    </row>
    <row r="81" spans="1:21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83"/>
      <c r="G81" s="92"/>
      <c r="H81" s="92"/>
      <c r="I81" s="83"/>
      <c r="J81" s="83"/>
      <c r="K81" s="45"/>
      <c r="L81" s="40"/>
      <c r="M81" s="40"/>
      <c r="N81" s="38"/>
      <c r="O81" s="38"/>
      <c r="P81" s="38"/>
      <c r="Q81" s="38"/>
      <c r="R81" s="38"/>
      <c r="S81" s="38"/>
      <c r="T81" s="38"/>
      <c r="U81" s="38"/>
    </row>
    <row r="82" spans="1:21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83"/>
      <c r="G82" s="92"/>
      <c r="H82" s="92"/>
      <c r="I82" s="83"/>
      <c r="J82" s="83"/>
      <c r="K82" s="45"/>
      <c r="L82" s="40"/>
      <c r="M82" s="40"/>
      <c r="N82" s="38"/>
      <c r="O82" s="38"/>
      <c r="P82" s="38"/>
      <c r="Q82" s="38"/>
      <c r="R82" s="38"/>
      <c r="S82" s="38"/>
      <c r="T82" s="38"/>
      <c r="U82" s="38"/>
    </row>
    <row r="83" spans="1:21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83"/>
      <c r="G83" s="92"/>
      <c r="H83" s="92"/>
      <c r="I83" s="83"/>
      <c r="J83" s="83"/>
      <c r="K83" s="45"/>
      <c r="L83" s="40"/>
      <c r="M83" s="40"/>
      <c r="N83" s="38"/>
      <c r="O83" s="38"/>
      <c r="P83" s="38"/>
      <c r="Q83" s="38"/>
      <c r="R83" s="38"/>
      <c r="S83" s="38"/>
      <c r="T83" s="38"/>
      <c r="U83" s="38"/>
    </row>
    <row r="84" spans="1:21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83"/>
      <c r="G84" s="92"/>
      <c r="H84" s="92"/>
      <c r="I84" s="83"/>
      <c r="J84" s="83"/>
      <c r="K84" s="45"/>
      <c r="L84" s="40"/>
      <c r="M84" s="40"/>
      <c r="N84" s="38"/>
      <c r="O84" s="38"/>
      <c r="P84" s="38"/>
      <c r="Q84" s="38"/>
      <c r="R84" s="38"/>
      <c r="S84" s="38"/>
      <c r="T84" s="38"/>
      <c r="U84" s="38"/>
    </row>
    <row r="85" spans="1:21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83"/>
      <c r="G85" s="92"/>
      <c r="H85" s="92"/>
      <c r="I85" s="83"/>
      <c r="J85" s="83"/>
      <c r="K85" s="45"/>
      <c r="L85" s="40"/>
      <c r="M85" s="40"/>
      <c r="N85" s="38"/>
      <c r="O85" s="38"/>
      <c r="P85" s="38"/>
      <c r="Q85" s="38"/>
      <c r="R85" s="38"/>
      <c r="S85" s="38"/>
      <c r="T85" s="38"/>
      <c r="U85" s="38"/>
    </row>
    <row r="86" spans="1:21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83"/>
      <c r="G86" s="92"/>
      <c r="H86" s="92"/>
      <c r="I86" s="83"/>
      <c r="J86" s="83"/>
      <c r="K86" s="45"/>
      <c r="L86" s="40"/>
      <c r="M86" s="40"/>
      <c r="N86" s="38"/>
      <c r="O86" s="38"/>
      <c r="P86" s="38"/>
      <c r="Q86" s="38"/>
      <c r="R86" s="38"/>
      <c r="S86" s="38"/>
      <c r="T86" s="38"/>
      <c r="U86" s="38"/>
    </row>
    <row r="87" spans="1:21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83"/>
      <c r="G87" s="92"/>
      <c r="H87" s="92"/>
      <c r="I87" s="83"/>
      <c r="J87" s="83"/>
      <c r="K87" s="45"/>
      <c r="L87" s="40"/>
      <c r="M87" s="40"/>
      <c r="N87" s="38"/>
      <c r="O87" s="38"/>
      <c r="P87" s="38"/>
      <c r="Q87" s="38"/>
      <c r="R87" s="38"/>
      <c r="S87" s="38"/>
      <c r="T87" s="38"/>
      <c r="U87" s="38"/>
    </row>
    <row r="88" spans="1:21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83"/>
      <c r="G88" s="92"/>
      <c r="H88" s="92"/>
      <c r="I88" s="83"/>
      <c r="J88" s="83"/>
      <c r="K88" s="45"/>
      <c r="L88" s="40"/>
      <c r="M88" s="40"/>
      <c r="N88" s="38"/>
      <c r="O88" s="38"/>
      <c r="P88" s="38"/>
      <c r="Q88" s="38"/>
      <c r="R88" s="38"/>
      <c r="S88" s="38"/>
      <c r="T88" s="38"/>
      <c r="U88" s="38"/>
    </row>
    <row r="89" spans="1:21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83"/>
      <c r="G89" s="92"/>
      <c r="H89" s="92"/>
      <c r="I89" s="83"/>
      <c r="J89" s="83"/>
      <c r="K89" s="45"/>
      <c r="L89" s="40"/>
      <c r="M89" s="40"/>
      <c r="N89" s="38"/>
      <c r="O89" s="38"/>
      <c r="P89" s="38"/>
      <c r="Q89" s="38"/>
      <c r="R89" s="38"/>
      <c r="S89" s="38"/>
      <c r="T89" s="38"/>
      <c r="U89" s="38"/>
    </row>
    <row r="90" spans="1:21" ht="16.5" thickBot="1">
      <c r="A90" s="37">
        <v>5406</v>
      </c>
      <c r="B90" s="37">
        <v>10136</v>
      </c>
      <c r="C90" s="47">
        <v>938530</v>
      </c>
      <c r="D90" s="40" t="s">
        <v>96</v>
      </c>
      <c r="E90" s="39"/>
      <c r="F90" s="83"/>
      <c r="G90" s="92"/>
      <c r="H90" s="92"/>
      <c r="I90" s="38"/>
      <c r="J90" s="83"/>
      <c r="K90" s="45"/>
      <c r="L90" s="40"/>
      <c r="M90" s="40"/>
      <c r="N90" s="38"/>
      <c r="O90" s="38"/>
      <c r="P90" s="38"/>
      <c r="Q90" s="38"/>
      <c r="R90" s="38"/>
      <c r="S90" s="38"/>
      <c r="T90" s="38"/>
      <c r="U90" s="38"/>
    </row>
    <row r="91" spans="1:21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83"/>
      <c r="G91" s="92"/>
      <c r="H91" s="92"/>
      <c r="I91" s="83"/>
      <c r="J91" s="83"/>
      <c r="K91" s="45"/>
      <c r="L91" s="40"/>
      <c r="M91" s="40"/>
      <c r="N91" s="38"/>
      <c r="O91" s="38"/>
      <c r="P91" s="38"/>
      <c r="Q91" s="38"/>
      <c r="R91" s="38"/>
      <c r="S91" s="38"/>
      <c r="T91" s="38"/>
      <c r="U91" s="38"/>
    </row>
    <row r="92" spans="1:21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83"/>
      <c r="G92" s="92"/>
      <c r="H92" s="92"/>
      <c r="I92" s="83"/>
      <c r="J92" s="83"/>
      <c r="K92" s="45"/>
      <c r="L92" s="40"/>
      <c r="M92" s="40"/>
      <c r="N92" s="38"/>
      <c r="O92" s="38"/>
      <c r="P92" s="38"/>
      <c r="Q92" s="38"/>
      <c r="R92" s="38"/>
      <c r="S92" s="38"/>
      <c r="T92" s="38"/>
      <c r="U92" s="38"/>
    </row>
    <row r="93" spans="1:21" ht="16.5" thickBot="1">
      <c r="A93" s="37">
        <v>4215</v>
      </c>
      <c r="B93" s="37">
        <v>10138</v>
      </c>
      <c r="C93" s="47">
        <v>938475</v>
      </c>
      <c r="D93" s="40" t="s">
        <v>99</v>
      </c>
      <c r="E93" s="39"/>
      <c r="F93" s="83"/>
      <c r="G93" s="92"/>
      <c r="H93" s="92"/>
      <c r="I93" s="83"/>
      <c r="J93" s="83"/>
      <c r="K93" s="45"/>
      <c r="L93" s="40"/>
      <c r="M93" s="40"/>
      <c r="N93" s="38"/>
      <c r="O93" s="38"/>
      <c r="P93" s="38"/>
      <c r="Q93" s="38"/>
      <c r="R93" s="38"/>
      <c r="S93" s="38"/>
      <c r="T93" s="38"/>
      <c r="U93" s="38"/>
    </row>
    <row r="94" spans="1:21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83"/>
      <c r="G94" s="92"/>
      <c r="H94" s="92"/>
      <c r="I94" s="83"/>
      <c r="J94" s="83"/>
      <c r="K94" s="45"/>
      <c r="L94" s="40"/>
      <c r="M94" s="40"/>
      <c r="N94" s="38"/>
      <c r="O94" s="38"/>
      <c r="P94" s="38"/>
      <c r="Q94" s="38"/>
      <c r="R94" s="38"/>
      <c r="S94" s="38"/>
      <c r="T94" s="38"/>
      <c r="U94" s="38"/>
    </row>
    <row r="95" spans="1:21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83"/>
      <c r="G95" s="92"/>
      <c r="H95" s="92"/>
      <c r="I95" s="83"/>
      <c r="J95" s="83"/>
      <c r="K95" s="45"/>
      <c r="L95" s="40"/>
      <c r="M95" s="40"/>
      <c r="N95" s="38"/>
      <c r="O95" s="38"/>
      <c r="P95" s="38"/>
      <c r="Q95" s="38"/>
      <c r="R95" s="38"/>
      <c r="S95" s="38"/>
      <c r="T95" s="38"/>
      <c r="U95" s="38"/>
    </row>
    <row r="96" spans="1:21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83"/>
      <c r="G96" s="92"/>
      <c r="H96" s="92"/>
      <c r="I96" s="83"/>
      <c r="J96" s="83"/>
      <c r="K96" s="45"/>
      <c r="L96" s="40"/>
      <c r="M96" s="40"/>
      <c r="N96" s="38"/>
      <c r="O96" s="38"/>
      <c r="P96" s="38"/>
      <c r="Q96" s="38"/>
      <c r="R96" s="38"/>
      <c r="S96" s="38"/>
      <c r="T96" s="38"/>
      <c r="U96" s="38"/>
    </row>
    <row r="97" spans="1:21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83"/>
      <c r="G97" s="92"/>
      <c r="H97" s="92"/>
      <c r="I97" s="83"/>
      <c r="J97" s="83"/>
      <c r="K97" s="45"/>
      <c r="L97" s="40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83"/>
      <c r="G98" s="92"/>
      <c r="H98" s="92"/>
      <c r="I98" s="83"/>
      <c r="J98" s="83"/>
      <c r="K98" s="45"/>
      <c r="L98" s="40"/>
      <c r="M98" s="40"/>
      <c r="N98" s="38"/>
      <c r="O98" s="38"/>
      <c r="P98" s="38"/>
      <c r="Q98" s="38"/>
      <c r="R98" s="38"/>
      <c r="S98" s="38"/>
      <c r="T98" s="38"/>
      <c r="U98" s="38"/>
    </row>
    <row r="99" spans="1:21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83"/>
      <c r="G99" s="92"/>
      <c r="H99" s="92"/>
      <c r="I99" s="83"/>
      <c r="J99" s="83"/>
      <c r="K99" s="45"/>
      <c r="L99" s="40"/>
      <c r="M99" s="40"/>
      <c r="N99" s="38"/>
      <c r="O99" s="38"/>
      <c r="P99" s="38"/>
      <c r="Q99" s="38"/>
      <c r="R99" s="38"/>
      <c r="S99" s="38"/>
      <c r="T99" s="38"/>
      <c r="U99" s="38"/>
    </row>
    <row r="100" spans="1:21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83"/>
      <c r="G100" s="92"/>
      <c r="H100" s="92"/>
      <c r="I100" s="83"/>
      <c r="J100" s="96"/>
      <c r="K100" s="45"/>
      <c r="L100" s="40"/>
      <c r="M100" s="40"/>
      <c r="N100" s="38"/>
      <c r="O100" s="38"/>
      <c r="P100" s="38"/>
      <c r="Q100" s="38"/>
      <c r="R100" s="38"/>
      <c r="S100" s="38"/>
      <c r="T100" s="38"/>
      <c r="U100" s="38"/>
    </row>
    <row r="101" spans="1:21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83"/>
      <c r="G101" s="92"/>
      <c r="H101" s="92"/>
      <c r="I101" s="83"/>
      <c r="J101" s="83"/>
      <c r="K101" s="45"/>
      <c r="L101" s="40"/>
      <c r="M101" s="40"/>
      <c r="N101" s="38"/>
      <c r="O101" s="38"/>
      <c r="P101" s="38"/>
      <c r="Q101" s="38"/>
      <c r="R101" s="38"/>
      <c r="S101" s="38"/>
      <c r="T101" s="38"/>
      <c r="U101" s="38"/>
    </row>
    <row r="102" spans="1:21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83"/>
      <c r="G102" s="92"/>
      <c r="H102" s="92"/>
      <c r="I102" s="83"/>
      <c r="J102" s="83"/>
      <c r="K102" s="45"/>
      <c r="L102" s="40"/>
      <c r="M102" s="40"/>
      <c r="N102" s="38"/>
      <c r="O102" s="38"/>
      <c r="P102" s="38"/>
      <c r="Q102" s="38"/>
      <c r="R102" s="38"/>
      <c r="S102" s="38"/>
      <c r="T102" s="38"/>
      <c r="U102" s="38"/>
    </row>
    <row r="103" spans="1:21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83"/>
      <c r="G103" s="92"/>
      <c r="H103" s="92"/>
      <c r="I103" s="83"/>
      <c r="J103" s="83"/>
      <c r="K103" s="45"/>
      <c r="L103" s="40"/>
      <c r="M103" s="40"/>
      <c r="N103" s="38"/>
      <c r="O103" s="38"/>
      <c r="P103" s="38"/>
      <c r="Q103" s="38"/>
      <c r="R103" s="38"/>
      <c r="S103" s="38"/>
      <c r="T103" s="38"/>
      <c r="U103" s="38"/>
    </row>
    <row r="104" spans="1:21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39"/>
      <c r="F104" s="83"/>
      <c r="G104" s="92"/>
      <c r="H104" s="92"/>
      <c r="I104" s="83"/>
      <c r="J104" s="83"/>
      <c r="K104" s="45"/>
      <c r="L104" s="40"/>
      <c r="M104" s="40"/>
      <c r="N104" s="38"/>
      <c r="O104" s="38"/>
      <c r="P104" s="38"/>
      <c r="Q104" s="38"/>
      <c r="R104" s="38"/>
      <c r="S104" s="38"/>
      <c r="T104" s="38"/>
      <c r="U104" s="38"/>
    </row>
    <row r="105" spans="1:21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83"/>
      <c r="G105" s="92"/>
      <c r="H105" s="92"/>
      <c r="I105" s="83"/>
      <c r="J105" s="83"/>
      <c r="K105" s="45"/>
      <c r="L105" s="40"/>
      <c r="M105" s="40"/>
      <c r="N105" s="38"/>
      <c r="O105" s="38"/>
      <c r="P105" s="38"/>
      <c r="Q105" s="38"/>
      <c r="R105" s="38"/>
      <c r="S105" s="38"/>
      <c r="T105" s="38"/>
      <c r="U105" s="38"/>
    </row>
    <row r="106" spans="1:21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83"/>
      <c r="G106" s="92"/>
      <c r="H106" s="92"/>
      <c r="I106" s="83"/>
      <c r="J106" s="40"/>
      <c r="K106" s="45"/>
      <c r="L106" s="40"/>
      <c r="M106" s="40"/>
      <c r="N106" s="38"/>
      <c r="O106" s="38"/>
      <c r="P106" s="38"/>
      <c r="Q106" s="38"/>
      <c r="R106" s="38"/>
      <c r="S106" s="38"/>
      <c r="T106" s="38"/>
      <c r="U106" s="38"/>
    </row>
    <row r="107" spans="1:21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83"/>
      <c r="G107" s="92"/>
      <c r="H107" s="92"/>
      <c r="I107" s="83"/>
      <c r="J107" s="83"/>
      <c r="K107" s="45"/>
      <c r="L107" s="40"/>
      <c r="M107" s="40"/>
      <c r="N107" s="38"/>
      <c r="O107" s="38"/>
      <c r="P107" s="38"/>
      <c r="Q107" s="38"/>
      <c r="R107" s="38"/>
      <c r="S107" s="38"/>
      <c r="T107" s="38"/>
      <c r="U107" s="38"/>
    </row>
    <row r="108" spans="1:21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83"/>
      <c r="G108" s="92"/>
      <c r="H108" s="92"/>
      <c r="I108" s="83"/>
      <c r="J108" s="83"/>
      <c r="K108" s="45"/>
      <c r="L108" s="40"/>
      <c r="M108" s="40"/>
      <c r="N108" s="38"/>
      <c r="O108" s="38"/>
      <c r="P108" s="38"/>
      <c r="Q108" s="38"/>
      <c r="R108" s="38"/>
      <c r="S108" s="38"/>
      <c r="T108" s="38"/>
      <c r="U108" s="38"/>
    </row>
    <row r="109" spans="1:21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83"/>
      <c r="G109" s="92"/>
      <c r="H109" s="92"/>
      <c r="I109" s="83"/>
      <c r="J109" s="83"/>
      <c r="K109" s="45"/>
      <c r="L109" s="40"/>
      <c r="M109" s="40"/>
      <c r="N109" s="38"/>
      <c r="O109" s="38"/>
      <c r="P109" s="38"/>
      <c r="Q109" s="38"/>
      <c r="R109" s="38"/>
      <c r="S109" s="38"/>
      <c r="T109" s="38"/>
      <c r="U109" s="38"/>
    </row>
    <row r="110" spans="1:21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83"/>
      <c r="G110" s="92"/>
      <c r="H110" s="92"/>
      <c r="I110" s="83"/>
      <c r="J110" s="83"/>
      <c r="K110" s="45"/>
      <c r="L110" s="40"/>
      <c r="M110" s="40"/>
      <c r="N110" s="38"/>
      <c r="O110" s="38"/>
      <c r="P110" s="38"/>
      <c r="Q110" s="38"/>
      <c r="R110" s="38"/>
      <c r="S110" s="38"/>
      <c r="T110" s="38"/>
      <c r="U110" s="38"/>
    </row>
    <row r="111" spans="1:21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83"/>
      <c r="G111" s="92"/>
      <c r="H111" s="92"/>
      <c r="I111" s="83"/>
      <c r="J111" s="83"/>
      <c r="K111" s="45"/>
      <c r="L111" s="40"/>
      <c r="M111" s="40"/>
      <c r="N111" s="38"/>
      <c r="O111" s="38"/>
      <c r="P111" s="38"/>
      <c r="Q111" s="38"/>
      <c r="R111" s="38"/>
      <c r="S111" s="38"/>
      <c r="T111" s="38"/>
      <c r="U111" s="38"/>
    </row>
    <row r="112" spans="1:21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83"/>
      <c r="G112" s="92"/>
      <c r="H112" s="92"/>
      <c r="I112" s="83"/>
      <c r="J112" s="83"/>
      <c r="K112" s="45"/>
      <c r="L112" s="40"/>
      <c r="M112" s="40"/>
      <c r="N112" s="38"/>
      <c r="O112" s="38"/>
      <c r="P112" s="38"/>
      <c r="Q112" s="38"/>
      <c r="R112" s="38"/>
      <c r="S112" s="38"/>
      <c r="T112" s="38"/>
      <c r="U112" s="38"/>
    </row>
    <row r="113" spans="1:21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83"/>
      <c r="G113" s="92"/>
      <c r="H113" s="92"/>
      <c r="I113" s="83"/>
      <c r="J113" s="83"/>
      <c r="K113" s="45"/>
      <c r="L113" s="40"/>
      <c r="M113" s="40"/>
      <c r="N113" s="38"/>
      <c r="O113" s="38"/>
      <c r="P113" s="38"/>
      <c r="Q113" s="38"/>
      <c r="R113" s="38"/>
      <c r="S113" s="38"/>
      <c r="T113" s="38"/>
      <c r="U113" s="38"/>
    </row>
    <row r="114" spans="1:21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83"/>
      <c r="G114" s="92"/>
      <c r="H114" s="92"/>
      <c r="I114" s="83"/>
      <c r="J114" s="83"/>
      <c r="K114" s="45"/>
      <c r="L114" s="40"/>
      <c r="M114" s="40"/>
      <c r="N114" s="38"/>
      <c r="O114" s="38"/>
      <c r="P114" s="38"/>
      <c r="Q114" s="38"/>
      <c r="R114" s="38"/>
      <c r="S114" s="38"/>
      <c r="T114" s="38"/>
      <c r="U114" s="38"/>
    </row>
    <row r="115" spans="1:21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83"/>
      <c r="G115" s="92"/>
      <c r="H115" s="92"/>
      <c r="I115" s="83"/>
      <c r="J115" s="83"/>
      <c r="K115" s="45"/>
      <c r="L115" s="40"/>
      <c r="M115" s="40"/>
      <c r="N115" s="38"/>
      <c r="O115" s="38"/>
      <c r="P115" s="38"/>
      <c r="Q115" s="38"/>
      <c r="R115" s="38"/>
      <c r="S115" s="38"/>
      <c r="T115" s="38"/>
      <c r="U115" s="38"/>
    </row>
    <row r="116" spans="1:21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83"/>
      <c r="G116" s="92"/>
      <c r="H116" s="92"/>
      <c r="I116" s="83"/>
      <c r="J116" s="83"/>
      <c r="K116" s="45"/>
      <c r="L116" s="40"/>
      <c r="M116" s="40"/>
      <c r="N116" s="38"/>
      <c r="O116" s="38"/>
      <c r="P116" s="38"/>
      <c r="Q116" s="38"/>
      <c r="R116" s="38"/>
      <c r="S116" s="38"/>
      <c r="T116" s="38"/>
      <c r="U116" s="38"/>
    </row>
    <row r="117" spans="1:21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83"/>
      <c r="G117" s="92"/>
      <c r="H117" s="92"/>
      <c r="I117" s="83"/>
      <c r="J117" s="38"/>
      <c r="K117" s="45"/>
      <c r="L117" s="40"/>
      <c r="M117" s="40"/>
      <c r="N117" s="38"/>
      <c r="O117" s="38"/>
      <c r="P117" s="38"/>
      <c r="Q117" s="38"/>
      <c r="R117" s="38"/>
      <c r="S117" s="38"/>
      <c r="T117" s="38"/>
      <c r="U117" s="38"/>
    </row>
    <row r="118" spans="2:21" ht="15.75">
      <c r="B118" s="38"/>
      <c r="C118" s="42"/>
      <c r="D118" s="43" t="s">
        <v>139</v>
      </c>
      <c r="E118" s="92">
        <f aca="true" t="shared" si="0" ref="E118:K118">SUM(E3:E117)</f>
        <v>0</v>
      </c>
      <c r="F118" s="96">
        <f t="shared" si="0"/>
        <v>0</v>
      </c>
      <c r="G118" s="96">
        <f t="shared" si="0"/>
        <v>0</v>
      </c>
      <c r="H118" s="96">
        <f t="shared" si="0"/>
        <v>0</v>
      </c>
      <c r="I118" s="96">
        <f t="shared" si="0"/>
        <v>0</v>
      </c>
      <c r="J118" s="96">
        <f t="shared" si="0"/>
        <v>0</v>
      </c>
      <c r="K118" s="96">
        <f t="shared" si="0"/>
        <v>0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2:21" ht="15.75">
      <c r="B119" s="38"/>
      <c r="C119" s="42"/>
      <c r="D119" s="41"/>
      <c r="E119" s="39"/>
      <c r="F119" s="83"/>
      <c r="G119" s="83"/>
      <c r="H119" s="83"/>
      <c r="I119" s="83"/>
      <c r="J119" s="64"/>
      <c r="K119" s="39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3:21" ht="15.75">
      <c r="C120" s="1">
        <f>COUNT(C3:C117)</f>
        <v>115</v>
      </c>
      <c r="D120" s="86">
        <f>COUNT(A3:A117)-COUNTA(M3:M117)</f>
        <v>115</v>
      </c>
      <c r="E120" s="37" t="s">
        <v>175</v>
      </c>
      <c r="F120" s="37" t="s">
        <v>175</v>
      </c>
      <c r="G120" s="64"/>
      <c r="H120" s="64"/>
      <c r="I120" s="64"/>
      <c r="J120" s="64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4:21" ht="15.75">
      <c r="D121" s="86">
        <f>C120-D120</f>
        <v>0</v>
      </c>
      <c r="E121" s="38" t="s">
        <v>174</v>
      </c>
      <c r="F121" s="38" t="s">
        <v>174</v>
      </c>
      <c r="G121" s="64"/>
      <c r="H121" s="64"/>
      <c r="I121" s="64"/>
      <c r="J121" s="64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4:21" ht="15.75">
      <c r="D122" s="41"/>
      <c r="F122" s="83"/>
      <c r="G122" s="83"/>
      <c r="H122" s="83"/>
      <c r="I122" s="64"/>
      <c r="J122" s="38"/>
      <c r="K122" s="85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6:21" ht="15.75">
      <c r="F123" s="40"/>
      <c r="G123" s="40"/>
      <c r="H123" s="40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6:21" ht="15.75">
      <c r="F124" s="40"/>
      <c r="G124" s="40"/>
      <c r="H124" s="40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6:21" ht="15.75">
      <c r="F125" s="40"/>
      <c r="G125" s="40"/>
      <c r="H125" s="40"/>
      <c r="I125" s="38"/>
      <c r="J125" s="38"/>
      <c r="K125" s="85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6:21" ht="15.75">
      <c r="F126" s="40"/>
      <c r="G126" s="40"/>
      <c r="H126" s="40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6:21" ht="15.75">
      <c r="F127" s="40"/>
      <c r="G127" s="40"/>
      <c r="H127" s="40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6:21" ht="15.75">
      <c r="F128" s="40"/>
      <c r="G128" s="40"/>
      <c r="H128" s="40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6:21" ht="15.75">
      <c r="F129" s="40"/>
      <c r="G129" s="38"/>
      <c r="H129" s="38"/>
      <c r="I129" s="38"/>
      <c r="J129" s="38"/>
      <c r="K129" s="85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6:21" ht="15.75">
      <c r="F130" s="4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6:21" ht="15.75">
      <c r="F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6:21" ht="15.75">
      <c r="F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6:21" ht="15.75">
      <c r="F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6:21" ht="15.75">
      <c r="F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6:21" ht="15.75">
      <c r="F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6:21" ht="15.75">
      <c r="F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6:21" ht="15.75">
      <c r="F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6:21" ht="15.75">
      <c r="F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6:21" ht="15.75">
      <c r="F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6:21" ht="15.75">
      <c r="F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6:21" ht="15.75">
      <c r="F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6:21" ht="15.75">
      <c r="F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6:21" ht="15.75"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6:21" ht="15.75"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6:21" ht="15.75"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6:21" ht="15.75"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6:21" ht="15.75">
      <c r="F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6:21" ht="15.75">
      <c r="F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6:21" ht="15.75">
      <c r="F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6:21" ht="15.75">
      <c r="F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6:21" ht="15.75">
      <c r="F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6:21" ht="15.75">
      <c r="F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6:21" ht="15.75">
      <c r="F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6:21" ht="15.75">
      <c r="F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6:21" ht="15.75">
      <c r="F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6:21" ht="15.75">
      <c r="F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6:21" ht="15.75">
      <c r="F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6:21" ht="15.75">
      <c r="F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6:21" ht="15.75">
      <c r="F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6:21" ht="15.75">
      <c r="F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6:21" ht="15.75">
      <c r="F161" s="40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6:21" ht="15.75">
      <c r="F162" s="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6:21" ht="15.75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6:21" ht="15.75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6:21" ht="15.75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6:21" ht="15.75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6:21" ht="15.75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6:21" ht="15.75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6:21" ht="15.75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6:21" ht="15.75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6:21" ht="15.75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6:21" ht="15.75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6:21" ht="15.75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6:21" ht="15.75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6:21" ht="15.75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6:21" ht="15.75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6:21" ht="15.75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6:21" ht="15.75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6:21" ht="15.75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6:21" ht="15.75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6:21" ht="15.75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6:21" ht="15.75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6:21" ht="15.75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6:21" ht="15.75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6:21" ht="15.75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6:21" ht="15.75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6:21" ht="15.75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6:21" ht="15.75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6:21" ht="15.75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6:21" ht="15.75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6:21" ht="15.75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6:21" ht="15.75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spans="6:21" ht="15.75">
      <c r="F193" s="38"/>
      <c r="G193" s="38"/>
      <c r="H193" s="38"/>
      <c r="I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</sheetData>
  <sheetProtection/>
  <autoFilter ref="A2:U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I118:K118 E118:G118 J100 G3:G117">
    <cfRule type="cellIs" priority="1" dxfId="1" operator="lessThan" stopIfTrue="1">
      <formula>0</formula>
    </cfRule>
  </conditionalFormatting>
  <conditionalFormatting sqref="D3:D117">
    <cfRule type="expression" priority="2" dxfId="2" stopIfTrue="1">
      <formula>M3&lt;1</formula>
    </cfRule>
  </conditionalFormatting>
  <conditionalFormatting sqref="H3:H118">
    <cfRule type="cellIs" priority="3" dxfId="3" operator="lessThan" stopIfTrue="1">
      <formula>0</formula>
    </cfRule>
  </conditionalFormatting>
  <printOptions horizontalCentered="1"/>
  <pageMargins left="0" right="0" top="0.3937007874015748" bottom="0.3937007874015748" header="0" footer="0"/>
  <pageSetup fitToHeight="3" fitToWidth="1" horizontalDpi="600" verticalDpi="600" orientation="landscape" paperSize="9" scale="67" r:id="rId1"/>
  <headerFooter alignWithMargins="0">
    <oddHeader>&amp;CCASH BOOK RECONCILIATION 2007-08</oddHeader>
    <oddFooter>&amp;L&amp;Z&amp;F.SA&amp;R&amp;D  &amp;P/&amp;N</oddFooter>
  </headerFooter>
  <rowBreaks count="1" manualBreakCount="1">
    <brk id="8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33"/>
    <pageSetUpPr fitToPage="1"/>
  </sheetPr>
  <dimension ref="A1:U193"/>
  <sheetViews>
    <sheetView zoomScale="75" zoomScaleNormal="75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3.4453125" style="37" customWidth="1"/>
    <col min="5" max="5" width="1.5625" style="36" customWidth="1"/>
    <col min="6" max="6" width="13.99609375" style="37" customWidth="1"/>
    <col min="7" max="7" width="15.5546875" style="37" customWidth="1"/>
    <col min="8" max="8" width="18.6640625" style="37" customWidth="1"/>
    <col min="9" max="9" width="15.4453125" style="37" customWidth="1"/>
    <col min="10" max="10" width="12.77734375" style="37" customWidth="1"/>
    <col min="11" max="11" width="16.3359375" style="37" customWidth="1"/>
    <col min="12" max="12" width="11.21484375" style="37" customWidth="1"/>
    <col min="13" max="13" width="19.88671875" style="37" customWidth="1"/>
    <col min="14" max="16384" width="8.88671875" style="37" customWidth="1"/>
  </cols>
  <sheetData>
    <row r="1" spans="1:13" s="59" customFormat="1" ht="15.75" customHeight="1">
      <c r="A1" s="56" t="s">
        <v>118</v>
      </c>
      <c r="B1" s="56" t="s">
        <v>120</v>
      </c>
      <c r="C1" s="56" t="s">
        <v>163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6.5" customHeight="1">
      <c r="A2" s="57" t="s">
        <v>119</v>
      </c>
      <c r="B2" s="57" t="s">
        <v>137</v>
      </c>
      <c r="C2" s="57" t="s">
        <v>172</v>
      </c>
      <c r="D2" s="57" t="s">
        <v>259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21" ht="15.75">
      <c r="A3" s="38">
        <v>3520</v>
      </c>
      <c r="B3" s="36">
        <v>11094</v>
      </c>
      <c r="C3" s="22">
        <v>938585</v>
      </c>
      <c r="D3" s="40" t="s">
        <v>176</v>
      </c>
      <c r="E3" s="39"/>
      <c r="F3" s="83">
        <f>5273.67-53.45</f>
        <v>5220.22</v>
      </c>
      <c r="G3" s="92">
        <v>1412.27</v>
      </c>
      <c r="H3" s="92">
        <v>217520.83</v>
      </c>
      <c r="I3" s="40"/>
      <c r="J3" s="40"/>
      <c r="K3" s="45"/>
      <c r="L3" s="40" t="s">
        <v>405</v>
      </c>
      <c r="M3" s="40">
        <v>100774819</v>
      </c>
      <c r="N3" s="38"/>
      <c r="O3" s="38"/>
      <c r="P3" s="38"/>
      <c r="Q3" s="38"/>
      <c r="R3" s="38"/>
      <c r="S3" s="38"/>
      <c r="T3" s="38"/>
      <c r="U3" s="38"/>
    </row>
    <row r="4" spans="1:21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83">
        <f>3156.74-18.64</f>
        <v>3138.1</v>
      </c>
      <c r="G4" s="92">
        <v>3283.89</v>
      </c>
      <c r="H4" s="92">
        <v>126749.21</v>
      </c>
      <c r="I4" s="40"/>
      <c r="J4" s="40"/>
      <c r="K4" s="45"/>
      <c r="L4" s="40" t="s">
        <v>412</v>
      </c>
      <c r="M4" s="40">
        <v>100776244</v>
      </c>
      <c r="N4" s="38"/>
      <c r="O4" s="38"/>
      <c r="P4" s="38"/>
      <c r="Q4" s="38"/>
      <c r="R4" s="38"/>
      <c r="S4" s="38"/>
      <c r="T4" s="38"/>
      <c r="U4" s="38"/>
    </row>
    <row r="5" spans="1:21" ht="16.5" thickBot="1">
      <c r="A5" s="37">
        <v>3300</v>
      </c>
      <c r="B5" s="37">
        <v>10040</v>
      </c>
      <c r="C5" s="47">
        <v>938282</v>
      </c>
      <c r="D5" s="40" t="s">
        <v>17</v>
      </c>
      <c r="E5" s="39"/>
      <c r="F5" s="83">
        <v>3576.96</v>
      </c>
      <c r="G5" s="92">
        <v>-37323.54</v>
      </c>
      <c r="H5" s="92">
        <v>113939.12</v>
      </c>
      <c r="I5" s="40"/>
      <c r="J5" s="40"/>
      <c r="K5" s="45"/>
      <c r="L5" s="40" t="s">
        <v>409</v>
      </c>
      <c r="M5" s="40">
        <v>100776238</v>
      </c>
      <c r="N5" s="38"/>
      <c r="O5" s="38"/>
      <c r="P5" s="38"/>
      <c r="Q5" s="38"/>
      <c r="R5" s="38"/>
      <c r="S5" s="38"/>
      <c r="T5" s="38"/>
      <c r="U5" s="38"/>
    </row>
    <row r="6" spans="1:21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83">
        <v>632.46</v>
      </c>
      <c r="G6" s="92">
        <v>-6709.35</v>
      </c>
      <c r="H6" s="92">
        <v>151627.73</v>
      </c>
      <c r="I6" s="40"/>
      <c r="J6" s="40"/>
      <c r="K6" s="45"/>
      <c r="L6" s="40" t="s">
        <v>413</v>
      </c>
      <c r="M6" s="40">
        <v>100776458</v>
      </c>
      <c r="N6" s="38"/>
      <c r="O6" s="38"/>
      <c r="P6" s="38"/>
      <c r="Q6" s="38"/>
      <c r="R6" s="38"/>
      <c r="S6" s="38"/>
      <c r="T6" s="38"/>
      <c r="U6" s="38"/>
    </row>
    <row r="7" spans="1:21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83">
        <f>472.48-16.14</f>
        <v>456.34000000000003</v>
      </c>
      <c r="G7" s="92">
        <v>-10200.83</v>
      </c>
      <c r="H7" s="92">
        <v>66247.8</v>
      </c>
      <c r="I7" s="40"/>
      <c r="J7" s="40"/>
      <c r="K7" s="45"/>
      <c r="L7" s="40" t="s">
        <v>403</v>
      </c>
      <c r="M7" s="40">
        <v>100773109</v>
      </c>
      <c r="N7" s="38"/>
      <c r="O7" s="38"/>
      <c r="P7" s="38"/>
      <c r="Q7" s="38"/>
      <c r="R7" s="38"/>
      <c r="S7" s="38"/>
      <c r="T7" s="38"/>
      <c r="U7" s="38"/>
    </row>
    <row r="8" spans="1:21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83">
        <v>7558.12</v>
      </c>
      <c r="G8" s="92">
        <v>-38333.82</v>
      </c>
      <c r="H8" s="92">
        <v>266259.32</v>
      </c>
      <c r="I8" s="40"/>
      <c r="J8" s="40"/>
      <c r="K8" s="45"/>
      <c r="L8" s="40" t="s">
        <v>405</v>
      </c>
      <c r="M8" s="40">
        <v>100774293</v>
      </c>
      <c r="N8" s="38"/>
      <c r="O8" s="38"/>
      <c r="P8" s="38"/>
      <c r="Q8" s="38"/>
      <c r="R8" s="38"/>
      <c r="S8" s="38"/>
      <c r="T8" s="38"/>
      <c r="U8" s="38"/>
    </row>
    <row r="9" spans="1:21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83">
        <v>4861.96</v>
      </c>
      <c r="G9" s="92">
        <v>-36302.59</v>
      </c>
      <c r="H9" s="92">
        <v>49114.09</v>
      </c>
      <c r="I9" s="40"/>
      <c r="J9" s="40"/>
      <c r="K9" s="45"/>
      <c r="L9" s="40" t="s">
        <v>401</v>
      </c>
      <c r="M9" s="40">
        <v>100772520</v>
      </c>
      <c r="N9" s="38"/>
      <c r="O9" s="38"/>
      <c r="P9" s="38"/>
      <c r="Q9" s="38"/>
      <c r="R9" s="38"/>
      <c r="S9" s="38"/>
      <c r="T9" s="38"/>
      <c r="U9" s="38"/>
    </row>
    <row r="10" spans="1:21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83">
        <f>5927.63-51.56</f>
        <v>5876.07</v>
      </c>
      <c r="G10" s="92">
        <v>-32402.25</v>
      </c>
      <c r="H10" s="92">
        <v>333980.19</v>
      </c>
      <c r="I10" s="40"/>
      <c r="J10" s="40"/>
      <c r="K10" s="45"/>
      <c r="L10" s="40" t="s">
        <v>404</v>
      </c>
      <c r="M10" s="40">
        <v>100774245</v>
      </c>
      <c r="N10" s="38"/>
      <c r="O10" s="38"/>
      <c r="P10" s="38"/>
      <c r="Q10" s="38"/>
      <c r="R10" s="38"/>
      <c r="S10" s="38"/>
      <c r="T10" s="38"/>
      <c r="U10" s="38"/>
    </row>
    <row r="11" spans="1:21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83">
        <f>1008.96-7.81</f>
        <v>1001.1500000000001</v>
      </c>
      <c r="G11" s="92">
        <v>12758.39</v>
      </c>
      <c r="H11" s="92">
        <v>79129.6</v>
      </c>
      <c r="I11" s="40"/>
      <c r="J11" s="40"/>
      <c r="K11" s="45"/>
      <c r="L11" s="40" t="s">
        <v>413</v>
      </c>
      <c r="M11" s="40">
        <v>100776273</v>
      </c>
      <c r="N11" s="38"/>
      <c r="O11" s="38"/>
      <c r="P11" s="38"/>
      <c r="Q11" s="38"/>
      <c r="R11" s="38"/>
      <c r="S11" s="38"/>
      <c r="T11" s="38"/>
      <c r="U11" s="38"/>
    </row>
    <row r="12" spans="1:21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83">
        <f>2701-51.62</f>
        <v>2649.38</v>
      </c>
      <c r="G12" s="92">
        <v>-40541.68</v>
      </c>
      <c r="H12" s="92">
        <v>287685.16</v>
      </c>
      <c r="I12" s="40"/>
      <c r="J12" s="40"/>
      <c r="K12" s="45"/>
      <c r="L12" s="40" t="s">
        <v>407</v>
      </c>
      <c r="M12" s="40">
        <v>100774847</v>
      </c>
      <c r="N12" s="38"/>
      <c r="O12" s="38"/>
      <c r="P12" s="38"/>
      <c r="Q12" s="38"/>
      <c r="R12" s="38"/>
      <c r="S12" s="38"/>
      <c r="T12" s="38"/>
      <c r="U12" s="38"/>
    </row>
    <row r="13" spans="1:21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83">
        <f>5367.83-85.1</f>
        <v>5282.73</v>
      </c>
      <c r="G13" s="92">
        <v>2022.83</v>
      </c>
      <c r="H13" s="92">
        <v>204050.68</v>
      </c>
      <c r="I13" s="40"/>
      <c r="J13" s="40"/>
      <c r="K13" s="45"/>
      <c r="L13" s="40" t="s">
        <v>399</v>
      </c>
      <c r="M13" s="40">
        <v>100770736</v>
      </c>
      <c r="N13" s="38"/>
      <c r="O13" s="38"/>
      <c r="P13" s="38"/>
      <c r="Q13" s="38"/>
      <c r="R13" s="38"/>
      <c r="S13" s="38"/>
      <c r="T13" s="38"/>
      <c r="U13" s="38"/>
    </row>
    <row r="14" spans="1:21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83">
        <f>4631.76-16.17</f>
        <v>4615.59</v>
      </c>
      <c r="G14" s="92">
        <v>-4219.55</v>
      </c>
      <c r="H14" s="92">
        <v>175001.43</v>
      </c>
      <c r="I14" s="40"/>
      <c r="J14" s="40"/>
      <c r="K14" s="45"/>
      <c r="L14" s="40" t="s">
        <v>404</v>
      </c>
      <c r="M14" s="40">
        <v>100774236</v>
      </c>
      <c r="N14" s="38"/>
      <c r="O14" s="38"/>
      <c r="P14" s="38"/>
      <c r="Q14" s="38"/>
      <c r="R14" s="38"/>
      <c r="S14" s="38"/>
      <c r="T14" s="38"/>
      <c r="U14" s="38"/>
    </row>
    <row r="15" spans="1:21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83">
        <f>8551.22-76.14</f>
        <v>8475.08</v>
      </c>
      <c r="G15" s="92">
        <v>1229.05</v>
      </c>
      <c r="H15" s="92">
        <v>186804.49</v>
      </c>
      <c r="I15" s="40"/>
      <c r="J15" s="40"/>
      <c r="K15" s="45"/>
      <c r="L15" s="40" t="s">
        <v>422</v>
      </c>
      <c r="M15" s="40">
        <v>100777314</v>
      </c>
      <c r="N15" s="38"/>
      <c r="O15" s="38"/>
      <c r="P15" s="38"/>
      <c r="Q15" s="38"/>
      <c r="R15" s="38"/>
      <c r="S15" s="38"/>
      <c r="T15" s="38"/>
      <c r="U15" s="38"/>
    </row>
    <row r="16" spans="1:21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83">
        <v>4707.9</v>
      </c>
      <c r="G16" s="92">
        <v>12319.99</v>
      </c>
      <c r="H16" s="92">
        <v>183288.78</v>
      </c>
      <c r="I16" s="40"/>
      <c r="J16" s="40"/>
      <c r="K16" s="45"/>
      <c r="L16" s="40" t="s">
        <v>402</v>
      </c>
      <c r="M16" s="40">
        <v>100773062</v>
      </c>
      <c r="N16" s="38"/>
      <c r="O16" s="38"/>
      <c r="P16" s="38"/>
      <c r="Q16" s="38"/>
      <c r="R16" s="38"/>
      <c r="S16" s="38"/>
      <c r="T16" s="38"/>
      <c r="U16" s="38"/>
    </row>
    <row r="17" spans="1:21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83">
        <f>4778.4-54.15</f>
        <v>4724.25</v>
      </c>
      <c r="G17" s="92">
        <v>-33841.6</v>
      </c>
      <c r="H17" s="92">
        <v>448053.29</v>
      </c>
      <c r="I17" s="40"/>
      <c r="J17" s="40"/>
      <c r="K17" s="45"/>
      <c r="L17" s="40" t="s">
        <v>405</v>
      </c>
      <c r="M17" s="40">
        <v>100774309</v>
      </c>
      <c r="N17" s="38"/>
      <c r="O17" s="38"/>
      <c r="P17" s="38"/>
      <c r="Q17" s="38"/>
      <c r="R17" s="38"/>
      <c r="S17" s="38"/>
      <c r="T17" s="38"/>
      <c r="U17" s="38"/>
    </row>
    <row r="18" spans="1:21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83">
        <f>807.73-87.86</f>
        <v>719.87</v>
      </c>
      <c r="G18" s="92">
        <v>-19965.05</v>
      </c>
      <c r="H18" s="92">
        <v>150071.71</v>
      </c>
      <c r="I18" s="40"/>
      <c r="J18" s="40"/>
      <c r="K18" s="45"/>
      <c r="L18" s="40" t="s">
        <v>407</v>
      </c>
      <c r="M18" s="40">
        <v>100775289</v>
      </c>
      <c r="N18" s="38"/>
      <c r="O18" s="38"/>
      <c r="P18" s="38"/>
      <c r="Q18" s="38"/>
      <c r="R18" s="38"/>
      <c r="S18" s="38"/>
      <c r="T18" s="38"/>
      <c r="U18" s="38"/>
    </row>
    <row r="19" spans="1:21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83">
        <v>1040.06</v>
      </c>
      <c r="G19" s="92">
        <v>-4936.71</v>
      </c>
      <c r="H19" s="92">
        <v>124072.71</v>
      </c>
      <c r="I19" s="40"/>
      <c r="J19" s="146" t="s">
        <v>410</v>
      </c>
      <c r="K19" s="45"/>
      <c r="L19" s="40" t="s">
        <v>409</v>
      </c>
      <c r="M19" s="40" t="s">
        <v>411</v>
      </c>
      <c r="N19" s="42"/>
      <c r="O19" s="38"/>
      <c r="P19" s="38"/>
      <c r="Q19" s="38"/>
      <c r="R19" s="38"/>
      <c r="S19" s="38"/>
      <c r="T19" s="38"/>
      <c r="U19" s="38"/>
    </row>
    <row r="20" spans="1:21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83">
        <f>8386.61-5.93</f>
        <v>8380.68</v>
      </c>
      <c r="G20" s="92">
        <v>112883.25</v>
      </c>
      <c r="H20" s="92">
        <v>200391.81</v>
      </c>
      <c r="I20" s="40"/>
      <c r="J20" s="40"/>
      <c r="K20" s="45"/>
      <c r="L20" s="40" t="s">
        <v>404</v>
      </c>
      <c r="M20" s="40">
        <v>100774241</v>
      </c>
      <c r="N20" s="38"/>
      <c r="O20" s="38"/>
      <c r="P20" s="38"/>
      <c r="Q20" s="38"/>
      <c r="R20" s="38"/>
      <c r="S20" s="38"/>
      <c r="T20" s="38"/>
      <c r="U20" s="38"/>
    </row>
    <row r="21" spans="1:21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83">
        <f>5410.18-5.44</f>
        <v>5404.740000000001</v>
      </c>
      <c r="G21" s="92">
        <v>-24926.73</v>
      </c>
      <c r="H21" s="92">
        <v>476656.86</v>
      </c>
      <c r="I21" s="40"/>
      <c r="J21" s="40"/>
      <c r="K21" s="45"/>
      <c r="L21" s="40" t="s">
        <v>403</v>
      </c>
      <c r="M21" s="40">
        <v>100773111</v>
      </c>
      <c r="N21" s="38"/>
      <c r="O21" s="38"/>
      <c r="P21" s="38"/>
      <c r="Q21" s="38"/>
      <c r="R21" s="38"/>
      <c r="S21" s="38"/>
      <c r="T21" s="38"/>
      <c r="U21" s="38"/>
    </row>
    <row r="22" spans="1:21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83">
        <f>7121.7-70.62</f>
        <v>7051.08</v>
      </c>
      <c r="G22" s="92">
        <v>63718.79</v>
      </c>
      <c r="H22" s="92">
        <v>291168.46</v>
      </c>
      <c r="I22" s="40"/>
      <c r="J22" s="40"/>
      <c r="K22" s="45"/>
      <c r="L22" s="40" t="s">
        <v>419</v>
      </c>
      <c r="M22" s="40">
        <v>100776535</v>
      </c>
      <c r="N22" s="38"/>
      <c r="O22" s="38"/>
      <c r="P22" s="38"/>
      <c r="Q22" s="38"/>
      <c r="R22" s="38"/>
      <c r="S22" s="38"/>
      <c r="T22" s="38"/>
      <c r="U22" s="38"/>
    </row>
    <row r="23" spans="1:21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83">
        <f>4587.28-8.38</f>
        <v>4578.9</v>
      </c>
      <c r="G23" s="92">
        <v>6704.09</v>
      </c>
      <c r="H23" s="92">
        <v>88978.04</v>
      </c>
      <c r="I23" s="40"/>
      <c r="J23" s="146" t="s">
        <v>420</v>
      </c>
      <c r="K23" s="45"/>
      <c r="L23" s="40" t="s">
        <v>403</v>
      </c>
      <c r="M23" s="40" t="s">
        <v>421</v>
      </c>
      <c r="N23" s="38"/>
      <c r="O23" s="38"/>
      <c r="P23" s="38"/>
      <c r="Q23" s="38"/>
      <c r="R23" s="38"/>
      <c r="S23" s="38"/>
      <c r="T23" s="38"/>
      <c r="U23" s="38"/>
    </row>
    <row r="24" spans="1:21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83">
        <v>3352.96</v>
      </c>
      <c r="G24" s="92">
        <v>-35088.97</v>
      </c>
      <c r="H24" s="92">
        <v>170483.28</v>
      </c>
      <c r="I24" s="40"/>
      <c r="J24" s="40"/>
      <c r="K24" s="45"/>
      <c r="L24" s="40" t="s">
        <v>405</v>
      </c>
      <c r="M24" s="40">
        <v>100774259</v>
      </c>
      <c r="N24" s="38"/>
      <c r="O24" s="38"/>
      <c r="P24" s="38"/>
      <c r="Q24" s="38"/>
      <c r="R24" s="38"/>
      <c r="S24" s="38"/>
      <c r="T24" s="38"/>
      <c r="U24" s="38"/>
    </row>
    <row r="25" spans="1:21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83">
        <v>10330.83</v>
      </c>
      <c r="G25" s="92">
        <v>35832.61</v>
      </c>
      <c r="H25" s="92">
        <v>386516.18</v>
      </c>
      <c r="I25" s="40"/>
      <c r="J25" s="146" t="s">
        <v>415</v>
      </c>
      <c r="K25" s="45"/>
      <c r="L25" s="40" t="s">
        <v>413</v>
      </c>
      <c r="M25" s="40" t="s">
        <v>416</v>
      </c>
      <c r="N25" s="38"/>
      <c r="O25" s="38"/>
      <c r="P25" s="38"/>
      <c r="Q25" s="38"/>
      <c r="R25" s="38"/>
      <c r="S25" s="38"/>
      <c r="T25" s="38"/>
      <c r="U25" s="38"/>
    </row>
    <row r="26" spans="1:21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83">
        <f>5102.79-41.08</f>
        <v>5061.71</v>
      </c>
      <c r="G26" s="92">
        <v>-65980.68</v>
      </c>
      <c r="H26" s="92">
        <v>182702.8</v>
      </c>
      <c r="I26" s="40"/>
      <c r="J26" s="40"/>
      <c r="K26" s="45"/>
      <c r="L26" s="40" t="s">
        <v>422</v>
      </c>
      <c r="M26" s="40">
        <v>100777315</v>
      </c>
      <c r="N26" s="38"/>
      <c r="O26" s="38"/>
      <c r="P26" s="38"/>
      <c r="Q26" s="38"/>
      <c r="R26" s="38"/>
      <c r="S26" s="38"/>
      <c r="T26" s="38"/>
      <c r="U26" s="38"/>
    </row>
    <row r="27" spans="1:21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83"/>
      <c r="G27" s="92"/>
      <c r="H27" s="92"/>
      <c r="I27" s="155" t="s">
        <v>417</v>
      </c>
      <c r="J27" s="40"/>
      <c r="K27" s="45"/>
      <c r="L27" s="40"/>
      <c r="M27" s="40"/>
      <c r="N27" s="38"/>
      <c r="O27" s="38"/>
      <c r="P27" s="38"/>
      <c r="Q27" s="38"/>
      <c r="R27" s="38"/>
      <c r="S27" s="38"/>
      <c r="T27" s="38"/>
      <c r="U27" s="38"/>
    </row>
    <row r="28" spans="1:21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83">
        <f>6680.37-10.14</f>
        <v>6670.23</v>
      </c>
      <c r="G28" s="92">
        <v>-11218.7</v>
      </c>
      <c r="H28" s="92">
        <v>179346.24</v>
      </c>
      <c r="I28" s="40"/>
      <c r="J28" s="40"/>
      <c r="K28" s="45"/>
      <c r="L28" s="40" t="s">
        <v>409</v>
      </c>
      <c r="M28" s="40">
        <v>100776237</v>
      </c>
      <c r="N28" s="38"/>
      <c r="O28" s="38"/>
      <c r="P28" s="38"/>
      <c r="Q28" s="38"/>
      <c r="R28" s="38"/>
      <c r="S28" s="38"/>
      <c r="T28" s="38"/>
      <c r="U28" s="38"/>
    </row>
    <row r="29" spans="1:21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83">
        <f>7557.79-55.42</f>
        <v>7502.37</v>
      </c>
      <c r="G29" s="92">
        <v>-100254.72</v>
      </c>
      <c r="H29" s="92">
        <v>130079.38</v>
      </c>
      <c r="I29" s="40"/>
      <c r="J29" s="40"/>
      <c r="K29" s="45"/>
      <c r="L29" s="40" t="s">
        <v>423</v>
      </c>
      <c r="M29" s="40">
        <v>100777324</v>
      </c>
      <c r="N29" s="38"/>
      <c r="O29" s="38"/>
      <c r="P29" s="38"/>
      <c r="Q29" s="38"/>
      <c r="R29" s="38"/>
      <c r="S29" s="38"/>
      <c r="T29" s="38"/>
      <c r="U29" s="38"/>
    </row>
    <row r="30" spans="1:21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83">
        <v>2018.48</v>
      </c>
      <c r="G30" s="92">
        <v>31308.52</v>
      </c>
      <c r="H30" s="92">
        <v>249077.14</v>
      </c>
      <c r="I30" s="40"/>
      <c r="J30" s="40"/>
      <c r="K30" s="45"/>
      <c r="L30" s="40" t="s">
        <v>409</v>
      </c>
      <c r="M30" s="40">
        <v>100776221</v>
      </c>
      <c r="N30" s="38"/>
      <c r="O30" s="38"/>
      <c r="P30" s="38"/>
      <c r="Q30" s="38"/>
      <c r="R30" s="38"/>
      <c r="S30" s="38"/>
      <c r="T30" s="38"/>
      <c r="U30" s="38"/>
    </row>
    <row r="31" spans="1:21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83">
        <v>4463.01</v>
      </c>
      <c r="G31" s="92">
        <v>-8391.98</v>
      </c>
      <c r="H31" s="92">
        <v>199843.24</v>
      </c>
      <c r="I31" s="40"/>
      <c r="J31" s="40"/>
      <c r="K31" s="45"/>
      <c r="L31" s="40" t="s">
        <v>413</v>
      </c>
      <c r="M31" s="40">
        <v>100776892</v>
      </c>
      <c r="N31" s="38"/>
      <c r="O31" s="38"/>
      <c r="P31" s="38"/>
      <c r="Q31" s="38"/>
      <c r="R31" s="38"/>
      <c r="S31" s="38"/>
      <c r="T31" s="38"/>
      <c r="U31" s="38"/>
    </row>
    <row r="32" spans="1:21" ht="16.5" thickBot="1">
      <c r="A32" s="37">
        <v>3524</v>
      </c>
      <c r="B32" s="37">
        <v>11278</v>
      </c>
      <c r="C32" s="47">
        <v>938590</v>
      </c>
      <c r="D32" s="40" t="s">
        <v>396</v>
      </c>
      <c r="E32" s="40"/>
      <c r="F32" s="83">
        <v>986.8</v>
      </c>
      <c r="G32" s="92">
        <v>-20018.36</v>
      </c>
      <c r="H32" s="92">
        <v>21005.16</v>
      </c>
      <c r="I32" s="40"/>
      <c r="J32" s="40"/>
      <c r="K32" s="45"/>
      <c r="L32" s="40" t="s">
        <v>419</v>
      </c>
      <c r="M32" s="40">
        <v>100776881</v>
      </c>
      <c r="N32" s="38"/>
      <c r="O32" s="38"/>
      <c r="P32" s="38"/>
      <c r="Q32" s="38"/>
      <c r="R32" s="38"/>
      <c r="S32" s="38"/>
      <c r="T32" s="38"/>
      <c r="U32" s="38"/>
    </row>
    <row r="33" spans="1:21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83">
        <v>7241.14</v>
      </c>
      <c r="G33" s="92">
        <v>29286.14</v>
      </c>
      <c r="H33" s="92">
        <v>224079.53</v>
      </c>
      <c r="I33" s="40"/>
      <c r="J33" s="40"/>
      <c r="K33" s="45"/>
      <c r="L33" s="40" t="s">
        <v>409</v>
      </c>
      <c r="M33" s="40">
        <v>100775803</v>
      </c>
      <c r="N33" s="38"/>
      <c r="O33" s="38"/>
      <c r="P33" s="38"/>
      <c r="Q33" s="38"/>
      <c r="R33" s="38"/>
      <c r="S33" s="38"/>
      <c r="T33" s="38"/>
      <c r="U33" s="38"/>
    </row>
    <row r="34" spans="1:21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83">
        <v>2583.73</v>
      </c>
      <c r="G34" s="92">
        <v>-24951.13</v>
      </c>
      <c r="H34" s="92">
        <v>232727.5</v>
      </c>
      <c r="I34" s="40"/>
      <c r="J34" s="40"/>
      <c r="K34" s="45"/>
      <c r="L34" s="40" t="s">
        <v>404</v>
      </c>
      <c r="M34" s="40">
        <v>100773687</v>
      </c>
      <c r="N34" s="38"/>
      <c r="O34" s="38"/>
      <c r="P34" s="38"/>
      <c r="Q34" s="38"/>
      <c r="R34" s="38"/>
      <c r="S34" s="38"/>
      <c r="T34" s="38"/>
      <c r="U34" s="38"/>
    </row>
    <row r="35" spans="1:21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83">
        <v>5421.02</v>
      </c>
      <c r="G35" s="92">
        <v>-19063.26</v>
      </c>
      <c r="H35" s="92">
        <v>276770.2</v>
      </c>
      <c r="I35" s="40"/>
      <c r="J35" s="40"/>
      <c r="K35" s="45"/>
      <c r="L35" s="40" t="s">
        <v>407</v>
      </c>
      <c r="M35" s="40">
        <v>100775294</v>
      </c>
      <c r="N35" s="38"/>
      <c r="O35" s="38"/>
      <c r="P35" s="38"/>
      <c r="Q35" s="38"/>
      <c r="R35" s="38"/>
      <c r="S35" s="38"/>
      <c r="T35" s="38"/>
      <c r="U35" s="38"/>
    </row>
    <row r="36" spans="1:21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83">
        <f>2001.17-26.62</f>
        <v>1974.5500000000002</v>
      </c>
      <c r="G36" s="92">
        <v>276.91</v>
      </c>
      <c r="H36" s="92">
        <v>85844.67</v>
      </c>
      <c r="I36" s="40"/>
      <c r="J36" s="40"/>
      <c r="K36" s="45"/>
      <c r="L36" s="40" t="s">
        <v>403</v>
      </c>
      <c r="M36" s="40">
        <v>100773121</v>
      </c>
      <c r="N36" s="38"/>
      <c r="O36" s="38"/>
      <c r="P36" s="38"/>
      <c r="Q36" s="38"/>
      <c r="R36" s="38"/>
      <c r="S36" s="38"/>
      <c r="T36" s="38"/>
      <c r="U36" s="38"/>
    </row>
    <row r="37" spans="1:21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83">
        <f>4471.3-6.1</f>
        <v>4465.2</v>
      </c>
      <c r="G37" s="92">
        <v>-154351.54</v>
      </c>
      <c r="H37" s="92">
        <v>284355.21</v>
      </c>
      <c r="I37" s="40"/>
      <c r="J37" s="40"/>
      <c r="K37" s="45"/>
      <c r="L37" s="40" t="s">
        <v>403</v>
      </c>
      <c r="M37" s="40">
        <v>100773638</v>
      </c>
      <c r="N37" s="38"/>
      <c r="O37" s="38"/>
      <c r="P37" s="38"/>
      <c r="Q37" s="38"/>
      <c r="R37" s="38"/>
      <c r="S37" s="38"/>
      <c r="T37" s="38"/>
      <c r="U37" s="38"/>
    </row>
    <row r="38" spans="1:21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83">
        <v>11263.39</v>
      </c>
      <c r="G38" s="92">
        <v>106687.85</v>
      </c>
      <c r="H38" s="92">
        <v>138533.12</v>
      </c>
      <c r="I38" s="83"/>
      <c r="J38" s="40"/>
      <c r="K38" s="45"/>
      <c r="L38" s="40" t="s">
        <v>413</v>
      </c>
      <c r="M38" s="40">
        <v>100776481</v>
      </c>
      <c r="N38" s="38"/>
      <c r="O38" s="38"/>
      <c r="P38" s="38"/>
      <c r="Q38" s="38"/>
      <c r="R38" s="38"/>
      <c r="S38" s="38"/>
      <c r="T38" s="38"/>
      <c r="U38" s="38"/>
    </row>
    <row r="39" spans="1:21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83">
        <v>267.71</v>
      </c>
      <c r="G39" s="92">
        <v>-4711.88</v>
      </c>
      <c r="H39" s="92">
        <v>118159.27</v>
      </c>
      <c r="I39" s="40"/>
      <c r="J39" s="92"/>
      <c r="K39" s="45"/>
      <c r="L39" s="40" t="s">
        <v>407</v>
      </c>
      <c r="M39" s="40">
        <v>100775295</v>
      </c>
      <c r="N39" s="38"/>
      <c r="O39" s="38"/>
      <c r="P39" s="38"/>
      <c r="Q39" s="38"/>
      <c r="R39" s="38"/>
      <c r="S39" s="38"/>
      <c r="T39" s="38"/>
      <c r="U39" s="38"/>
    </row>
    <row r="40" spans="1:21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83">
        <v>4011.09</v>
      </c>
      <c r="G40" s="92">
        <v>14660.38</v>
      </c>
      <c r="H40" s="92">
        <v>8552.48</v>
      </c>
      <c r="I40" s="40"/>
      <c r="J40" s="38"/>
      <c r="K40" s="45"/>
      <c r="L40" s="40" t="s">
        <v>408</v>
      </c>
      <c r="M40" s="40">
        <v>100775770</v>
      </c>
      <c r="N40" s="38"/>
      <c r="O40" s="38"/>
      <c r="P40" s="38"/>
      <c r="Q40" s="38"/>
      <c r="R40" s="38"/>
      <c r="S40" s="38"/>
      <c r="T40" s="38"/>
      <c r="U40" s="38"/>
    </row>
    <row r="41" spans="1:21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83">
        <v>2696.41</v>
      </c>
      <c r="G41" s="92">
        <v>-24923.14</v>
      </c>
      <c r="H41" s="92">
        <v>121989.24</v>
      </c>
      <c r="I41" s="40"/>
      <c r="J41" s="40"/>
      <c r="K41" s="45"/>
      <c r="L41" s="40" t="s">
        <v>405</v>
      </c>
      <c r="M41" s="40">
        <v>100774820</v>
      </c>
      <c r="N41" s="38"/>
      <c r="O41" s="38"/>
      <c r="P41" s="38"/>
      <c r="Q41" s="38"/>
      <c r="R41" s="38"/>
      <c r="S41" s="38"/>
      <c r="T41" s="38"/>
      <c r="U41" s="38"/>
    </row>
    <row r="42" spans="1:21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83">
        <v>9244.63</v>
      </c>
      <c r="G42" s="92">
        <v>17755.63</v>
      </c>
      <c r="H42" s="92">
        <v>80034.28</v>
      </c>
      <c r="I42" s="40"/>
      <c r="J42" s="40"/>
      <c r="K42" s="45"/>
      <c r="L42" s="40" t="s">
        <v>409</v>
      </c>
      <c r="M42" s="40">
        <v>100776231</v>
      </c>
      <c r="N42" s="38"/>
      <c r="O42" s="38"/>
      <c r="P42" s="38"/>
      <c r="Q42" s="38"/>
      <c r="R42" s="38"/>
      <c r="S42" s="38"/>
      <c r="T42" s="38"/>
      <c r="U42" s="38"/>
    </row>
    <row r="43" spans="1:21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83">
        <v>2899.1</v>
      </c>
      <c r="G43" s="92">
        <v>-17783.14</v>
      </c>
      <c r="H43" s="92">
        <v>120776.29</v>
      </c>
      <c r="I43" s="40"/>
      <c r="J43" s="40"/>
      <c r="K43" s="45"/>
      <c r="L43" s="40" t="s">
        <v>401</v>
      </c>
      <c r="M43" s="40">
        <v>100772512</v>
      </c>
      <c r="N43" s="38"/>
      <c r="O43" s="38"/>
      <c r="P43" s="38"/>
      <c r="Q43" s="38"/>
      <c r="R43" s="38"/>
      <c r="S43" s="38"/>
      <c r="T43" s="38"/>
      <c r="U43" s="38"/>
    </row>
    <row r="44" spans="1:21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83">
        <f>8282.09-34.26</f>
        <v>8247.83</v>
      </c>
      <c r="G44" s="92">
        <v>-33900.98</v>
      </c>
      <c r="H44" s="92">
        <v>382436.5</v>
      </c>
      <c r="I44" s="40"/>
      <c r="J44" s="40"/>
      <c r="K44" s="45"/>
      <c r="L44" s="40" t="s">
        <v>408</v>
      </c>
      <c r="M44" s="40">
        <v>100775769</v>
      </c>
      <c r="N44" s="38"/>
      <c r="O44" s="38"/>
      <c r="P44" s="38"/>
      <c r="Q44" s="38"/>
      <c r="R44" s="38"/>
      <c r="S44" s="38"/>
      <c r="T44" s="38"/>
      <c r="U44" s="38"/>
    </row>
    <row r="45" spans="1:21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83">
        <v>953.07</v>
      </c>
      <c r="G45" s="92">
        <v>-16219.69</v>
      </c>
      <c r="H45" s="92">
        <v>40382.99</v>
      </c>
      <c r="I45" s="40"/>
      <c r="J45" s="40"/>
      <c r="K45" s="45"/>
      <c r="L45" s="40" t="s">
        <v>409</v>
      </c>
      <c r="M45" s="40">
        <v>100776234</v>
      </c>
      <c r="N45" s="38"/>
      <c r="O45" s="38"/>
      <c r="P45" s="38"/>
      <c r="Q45" s="38"/>
      <c r="R45" s="38"/>
      <c r="S45" s="38"/>
      <c r="T45" s="38"/>
      <c r="U45" s="38"/>
    </row>
    <row r="46" spans="1:21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83">
        <v>1823.83</v>
      </c>
      <c r="G46" s="92">
        <v>719.97</v>
      </c>
      <c r="H46" s="92">
        <v>207706.01</v>
      </c>
      <c r="I46" s="40"/>
      <c r="J46" s="40"/>
      <c r="K46" s="45"/>
      <c r="L46" s="40" t="s">
        <v>407</v>
      </c>
      <c r="M46" s="40">
        <v>100775312</v>
      </c>
      <c r="N46" s="38"/>
      <c r="O46" s="38"/>
      <c r="P46" s="38"/>
      <c r="Q46" s="38"/>
      <c r="R46" s="38"/>
      <c r="S46" s="38"/>
      <c r="T46" s="38"/>
      <c r="U46" s="38"/>
    </row>
    <row r="47" spans="1:21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83">
        <f>4909.99-9.07</f>
        <v>4900.92</v>
      </c>
      <c r="G47" s="92">
        <v>-10831.04</v>
      </c>
      <c r="H47" s="92">
        <v>204161.44</v>
      </c>
      <c r="I47" s="40"/>
      <c r="J47" s="40"/>
      <c r="K47" s="45"/>
      <c r="L47" s="40" t="s">
        <v>407</v>
      </c>
      <c r="M47" s="40">
        <v>100774833</v>
      </c>
      <c r="N47" s="38"/>
      <c r="O47" s="38"/>
      <c r="P47" s="38"/>
      <c r="Q47" s="38"/>
      <c r="R47" s="38"/>
      <c r="S47" s="38"/>
      <c r="T47" s="38"/>
      <c r="U47" s="38"/>
    </row>
    <row r="48" spans="1:21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83">
        <f>2929.16-8.33</f>
        <v>2920.83</v>
      </c>
      <c r="G48" s="92">
        <v>180731.5</v>
      </c>
      <c r="H48" s="92">
        <v>208933.28</v>
      </c>
      <c r="I48" s="40"/>
      <c r="J48" s="40"/>
      <c r="K48" s="45"/>
      <c r="L48" s="40" t="s">
        <v>404</v>
      </c>
      <c r="M48" s="40">
        <v>100773676</v>
      </c>
      <c r="N48" s="38"/>
      <c r="O48" s="38"/>
      <c r="P48" s="38"/>
      <c r="Q48" s="38"/>
      <c r="R48" s="38"/>
      <c r="S48" s="38"/>
      <c r="T48" s="38"/>
      <c r="U48" s="38"/>
    </row>
    <row r="49" spans="1:21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83">
        <v>2081.82</v>
      </c>
      <c r="G49" s="92">
        <v>-46990.98</v>
      </c>
      <c r="H49" s="92">
        <v>116536.25</v>
      </c>
      <c r="I49" s="40"/>
      <c r="J49" s="40"/>
      <c r="K49" s="45"/>
      <c r="L49" s="40" t="s">
        <v>413</v>
      </c>
      <c r="M49" s="40">
        <v>100776264</v>
      </c>
      <c r="N49" s="38"/>
      <c r="O49" s="38"/>
      <c r="P49" s="38"/>
      <c r="Q49" s="38"/>
      <c r="R49" s="38"/>
      <c r="S49" s="38"/>
      <c r="T49" s="38"/>
      <c r="U49" s="38"/>
    </row>
    <row r="50" spans="1:21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83">
        <v>1338.72</v>
      </c>
      <c r="G50" s="92">
        <v>-31691.47</v>
      </c>
      <c r="H50" s="92">
        <v>57465.08</v>
      </c>
      <c r="I50" s="40"/>
      <c r="J50" s="40"/>
      <c r="K50" s="45"/>
      <c r="L50" s="40" t="s">
        <v>407</v>
      </c>
      <c r="M50" s="40">
        <v>100775306</v>
      </c>
      <c r="N50" s="38"/>
      <c r="O50" s="38"/>
      <c r="P50" s="38"/>
      <c r="Q50" s="38"/>
      <c r="R50" s="38"/>
      <c r="S50" s="38"/>
      <c r="T50" s="38"/>
      <c r="U50" s="38"/>
    </row>
    <row r="51" spans="1:21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83">
        <f>2578.02-3.84</f>
        <v>2574.18</v>
      </c>
      <c r="G51" s="92">
        <v>-10639.48</v>
      </c>
      <c r="H51" s="92">
        <v>106020.94</v>
      </c>
      <c r="I51" s="40"/>
      <c r="J51" s="40"/>
      <c r="K51" s="45"/>
      <c r="L51" s="40" t="s">
        <v>409</v>
      </c>
      <c r="M51" s="40">
        <v>100776227</v>
      </c>
      <c r="N51" s="38"/>
      <c r="O51" s="38"/>
      <c r="P51" s="38"/>
      <c r="Q51" s="38"/>
      <c r="R51" s="38"/>
      <c r="S51" s="38"/>
      <c r="T51" s="38"/>
      <c r="U51" s="38"/>
    </row>
    <row r="52" spans="1:21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83">
        <v>1533.2</v>
      </c>
      <c r="G52" s="92">
        <v>-13491.41</v>
      </c>
      <c r="H52" s="92">
        <v>66845.78</v>
      </c>
      <c r="I52" s="40"/>
      <c r="J52" s="40"/>
      <c r="K52" s="45"/>
      <c r="L52" s="40" t="s">
        <v>408</v>
      </c>
      <c r="M52" s="40">
        <v>100775773</v>
      </c>
      <c r="N52" s="38"/>
      <c r="O52" s="38"/>
      <c r="P52" s="38"/>
      <c r="Q52" s="38"/>
      <c r="R52" s="38"/>
      <c r="S52" s="38"/>
      <c r="T52" s="38"/>
      <c r="U52" s="38"/>
    </row>
    <row r="53" spans="1:21" ht="16.5" thickBot="1">
      <c r="A53" s="37">
        <v>2042</v>
      </c>
      <c r="B53" s="37">
        <v>10079</v>
      </c>
      <c r="C53" s="47">
        <v>938180</v>
      </c>
      <c r="D53" s="40" t="s">
        <v>63</v>
      </c>
      <c r="E53" s="39"/>
      <c r="F53" s="83">
        <v>5841.67</v>
      </c>
      <c r="G53" s="92">
        <v>30019.29</v>
      </c>
      <c r="H53" s="92">
        <v>148269.46</v>
      </c>
      <c r="I53" s="40"/>
      <c r="J53" s="40"/>
      <c r="K53" s="45"/>
      <c r="L53" s="40" t="s">
        <v>413</v>
      </c>
      <c r="M53" s="40">
        <v>100776461</v>
      </c>
      <c r="N53" s="38"/>
      <c r="O53" s="38"/>
      <c r="P53" s="38"/>
      <c r="Q53" s="38"/>
      <c r="R53" s="38"/>
      <c r="S53" s="38"/>
      <c r="T53" s="38"/>
      <c r="U53" s="38"/>
    </row>
    <row r="54" spans="1:21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83">
        <v>606.64</v>
      </c>
      <c r="G54" s="92">
        <v>-13611.77</v>
      </c>
      <c r="H54" s="92">
        <v>123437.87</v>
      </c>
      <c r="I54" s="40"/>
      <c r="J54" s="40"/>
      <c r="K54" s="45"/>
      <c r="L54" s="40" t="s">
        <v>408</v>
      </c>
      <c r="M54" s="40">
        <v>100775319</v>
      </c>
      <c r="N54" s="38"/>
      <c r="O54" s="38"/>
      <c r="P54" s="38"/>
      <c r="Q54" s="38"/>
      <c r="R54" s="38"/>
      <c r="S54" s="38"/>
      <c r="T54" s="38"/>
      <c r="U54" s="38"/>
    </row>
    <row r="55" spans="1:21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83">
        <v>5339.5</v>
      </c>
      <c r="G55" s="92">
        <v>-8318.39</v>
      </c>
      <c r="H55" s="92">
        <v>129741.4</v>
      </c>
      <c r="I55" s="40"/>
      <c r="J55" s="40"/>
      <c r="K55" s="45"/>
      <c r="L55" s="40" t="s">
        <v>404</v>
      </c>
      <c r="M55" s="40">
        <v>100773695</v>
      </c>
      <c r="N55" s="38"/>
      <c r="O55" s="38"/>
      <c r="P55" s="38"/>
      <c r="Q55" s="38"/>
      <c r="R55" s="38"/>
      <c r="S55" s="38"/>
      <c r="T55" s="38"/>
      <c r="U55" s="38"/>
    </row>
    <row r="56" spans="1:21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83">
        <v>4927.71</v>
      </c>
      <c r="G56" s="92">
        <v>-40514.27</v>
      </c>
      <c r="H56" s="92">
        <v>233985.92</v>
      </c>
      <c r="I56" s="40"/>
      <c r="J56" s="40"/>
      <c r="K56" s="45"/>
      <c r="L56" s="40" t="s">
        <v>403</v>
      </c>
      <c r="M56" s="40">
        <v>100773634</v>
      </c>
      <c r="N56" s="38"/>
      <c r="O56" s="38"/>
      <c r="P56" s="38"/>
      <c r="Q56" s="38"/>
      <c r="R56" s="38"/>
      <c r="S56" s="38"/>
      <c r="T56" s="38"/>
      <c r="U56" s="38"/>
    </row>
    <row r="57" spans="1:21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83">
        <f>12699.61-31.78</f>
        <v>12667.83</v>
      </c>
      <c r="G57" s="92">
        <v>8882.16</v>
      </c>
      <c r="H57" s="92">
        <v>195903.77</v>
      </c>
      <c r="I57" s="40"/>
      <c r="J57" s="40"/>
      <c r="K57" s="45"/>
      <c r="L57" s="40" t="s">
        <v>407</v>
      </c>
      <c r="M57" s="40">
        <v>100775296</v>
      </c>
      <c r="N57" s="38"/>
      <c r="O57" s="38"/>
      <c r="P57" s="38"/>
      <c r="Q57" s="38"/>
      <c r="R57" s="38"/>
      <c r="S57" s="38"/>
      <c r="T57" s="38"/>
      <c r="U57" s="38"/>
    </row>
    <row r="58" spans="1:21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83">
        <f>2986.73-39.17</f>
        <v>2947.56</v>
      </c>
      <c r="G58" s="92">
        <v>-98514.69</v>
      </c>
      <c r="H58" s="92">
        <v>237818.96</v>
      </c>
      <c r="I58" s="40"/>
      <c r="J58" s="40"/>
      <c r="K58" s="45"/>
      <c r="L58" s="40" t="s">
        <v>413</v>
      </c>
      <c r="M58" s="40">
        <v>100776475</v>
      </c>
      <c r="N58" s="38"/>
      <c r="O58" s="38"/>
      <c r="P58" s="38"/>
      <c r="Q58" s="38"/>
      <c r="R58" s="38"/>
      <c r="S58" s="38"/>
      <c r="T58" s="38"/>
      <c r="U58" s="38"/>
    </row>
    <row r="59" spans="1:21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83">
        <f>2231.44-49.1</f>
        <v>2182.34</v>
      </c>
      <c r="G59" s="92">
        <v>-15153.21</v>
      </c>
      <c r="H59" s="92">
        <v>134807.39</v>
      </c>
      <c r="I59" s="40"/>
      <c r="J59" s="40"/>
      <c r="K59" s="45"/>
      <c r="L59" s="40" t="s">
        <v>405</v>
      </c>
      <c r="M59" s="40">
        <v>100774814</v>
      </c>
      <c r="N59" s="38"/>
      <c r="O59" s="38"/>
      <c r="P59" s="38"/>
      <c r="Q59" s="38"/>
      <c r="R59" s="38"/>
      <c r="S59" s="38"/>
      <c r="T59" s="38"/>
      <c r="U59" s="38"/>
    </row>
    <row r="60" spans="1:21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83">
        <v>4109.96</v>
      </c>
      <c r="G60" s="92">
        <v>-5648.93</v>
      </c>
      <c r="H60" s="92">
        <v>23542.53</v>
      </c>
      <c r="I60" s="40"/>
      <c r="J60" s="40"/>
      <c r="K60" s="45"/>
      <c r="L60" s="40" t="s">
        <v>413</v>
      </c>
      <c r="M60" s="40">
        <v>100776252</v>
      </c>
      <c r="N60" s="38"/>
      <c r="O60" s="38"/>
      <c r="P60" s="38"/>
      <c r="Q60" s="38"/>
      <c r="R60" s="38"/>
      <c r="S60" s="38"/>
      <c r="T60" s="38"/>
      <c r="U60" s="38"/>
    </row>
    <row r="61" spans="1:21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83">
        <f>7344.78-120.17</f>
        <v>7224.61</v>
      </c>
      <c r="G61" s="92">
        <v>-30234.82</v>
      </c>
      <c r="H61" s="92">
        <v>90179.21</v>
      </c>
      <c r="I61" s="40"/>
      <c r="J61" s="40"/>
      <c r="K61" s="45"/>
      <c r="L61" s="40" t="s">
        <v>405</v>
      </c>
      <c r="M61" s="40">
        <v>100774265</v>
      </c>
      <c r="N61" s="38"/>
      <c r="O61" s="38"/>
      <c r="P61" s="38"/>
      <c r="Q61" s="38"/>
      <c r="R61" s="38"/>
      <c r="S61" s="38"/>
      <c r="T61" s="38"/>
      <c r="U61" s="38"/>
    </row>
    <row r="62" spans="1:21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83">
        <f>1949.54-24.61</f>
        <v>1924.93</v>
      </c>
      <c r="G62" s="92">
        <v>19646.33</v>
      </c>
      <c r="H62" s="92">
        <v>80553</v>
      </c>
      <c r="I62" s="40"/>
      <c r="J62" s="40"/>
      <c r="K62" s="45"/>
      <c r="L62" s="40" t="s">
        <v>413</v>
      </c>
      <c r="M62" s="40">
        <v>100776286</v>
      </c>
      <c r="N62" s="38"/>
      <c r="O62" s="38"/>
      <c r="P62" s="38"/>
      <c r="Q62" s="38"/>
      <c r="R62" s="38"/>
      <c r="S62" s="38"/>
      <c r="T62" s="38"/>
      <c r="U62" s="38"/>
    </row>
    <row r="63" spans="1:21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83">
        <f>2633.38-15.67</f>
        <v>2617.71</v>
      </c>
      <c r="G63" s="92">
        <v>-33718.51</v>
      </c>
      <c r="H63" s="92">
        <v>268977.72</v>
      </c>
      <c r="I63" s="40"/>
      <c r="J63" s="40"/>
      <c r="K63" s="45"/>
      <c r="L63" s="40" t="s">
        <v>409</v>
      </c>
      <c r="M63" s="40">
        <v>100776233</v>
      </c>
      <c r="N63" s="38"/>
      <c r="O63" s="38"/>
      <c r="P63" s="38"/>
      <c r="Q63" s="38"/>
      <c r="R63" s="38"/>
      <c r="S63" s="38"/>
      <c r="T63" s="38"/>
      <c r="U63" s="38"/>
    </row>
    <row r="64" spans="1:21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83">
        <v>2922.14</v>
      </c>
      <c r="G64" s="92">
        <v>-21045.95</v>
      </c>
      <c r="H64" s="92">
        <v>243281.49</v>
      </c>
      <c r="I64" s="40"/>
      <c r="J64" s="40"/>
      <c r="K64" s="45"/>
      <c r="L64" s="40" t="s">
        <v>404</v>
      </c>
      <c r="M64" s="40">
        <v>100773680</v>
      </c>
      <c r="N64" s="38"/>
      <c r="O64" s="38"/>
      <c r="P64" s="38"/>
      <c r="Q64" s="38"/>
      <c r="R64" s="38"/>
      <c r="S64" s="38"/>
      <c r="T64" s="38"/>
      <c r="U64" s="38"/>
    </row>
    <row r="65" spans="1:21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83">
        <f>1547.78-5.83</f>
        <v>1541.95</v>
      </c>
      <c r="G65" s="92">
        <v>-20370.95</v>
      </c>
      <c r="H65" s="92">
        <v>216348.81</v>
      </c>
      <c r="I65" s="40"/>
      <c r="J65" s="40"/>
      <c r="K65" s="45"/>
      <c r="L65" s="40" t="s">
        <v>404</v>
      </c>
      <c r="M65" s="40">
        <v>100773682</v>
      </c>
      <c r="N65" s="38"/>
      <c r="O65" s="38"/>
      <c r="P65" s="38"/>
      <c r="Q65" s="38"/>
      <c r="R65" s="38"/>
      <c r="S65" s="38"/>
      <c r="T65" s="38"/>
      <c r="U65" s="38"/>
    </row>
    <row r="66" spans="1:21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83">
        <v>892.66</v>
      </c>
      <c r="G66" s="92">
        <v>-29986.4</v>
      </c>
      <c r="H66" s="92">
        <v>223374.48</v>
      </c>
      <c r="I66" s="40"/>
      <c r="J66" s="40"/>
      <c r="K66" s="45"/>
      <c r="L66" s="40" t="s">
        <v>403</v>
      </c>
      <c r="M66" s="40">
        <v>100773087</v>
      </c>
      <c r="N66" s="38"/>
      <c r="O66" s="38"/>
      <c r="P66" s="38"/>
      <c r="Q66" s="38"/>
      <c r="R66" s="38"/>
      <c r="S66" s="38"/>
      <c r="T66" s="38"/>
      <c r="U66" s="38"/>
    </row>
    <row r="67" spans="1:21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83">
        <f>4032.06-17.36</f>
        <v>4014.7</v>
      </c>
      <c r="G67" s="92">
        <v>-14714.41</v>
      </c>
      <c r="H67" s="92">
        <v>62711.28</v>
      </c>
      <c r="I67" s="40"/>
      <c r="J67" s="40"/>
      <c r="K67" s="45"/>
      <c r="L67" s="40" t="s">
        <v>419</v>
      </c>
      <c r="M67" s="40">
        <v>100776887</v>
      </c>
      <c r="N67" s="38"/>
      <c r="O67" s="38"/>
      <c r="P67" s="38"/>
      <c r="Q67" s="38"/>
      <c r="R67" s="38"/>
      <c r="S67" s="38"/>
      <c r="T67" s="38"/>
      <c r="U67" s="38"/>
    </row>
    <row r="68" spans="1:21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83">
        <v>2112.94</v>
      </c>
      <c r="G68" s="92">
        <v>-22042.26</v>
      </c>
      <c r="H68" s="92">
        <v>196460.65</v>
      </c>
      <c r="I68" s="40"/>
      <c r="J68" s="40"/>
      <c r="K68" s="45"/>
      <c r="L68" s="40" t="s">
        <v>405</v>
      </c>
      <c r="M68" s="40">
        <v>100774815</v>
      </c>
      <c r="N68" s="38"/>
      <c r="O68" s="60"/>
      <c r="P68" s="38"/>
      <c r="Q68" s="38"/>
      <c r="R68" s="38"/>
      <c r="S68" s="38"/>
      <c r="T68" s="38"/>
      <c r="U68" s="38"/>
    </row>
    <row r="69" spans="1:21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83">
        <f>2757.42-14.54</f>
        <v>2742.88</v>
      </c>
      <c r="G69" s="92">
        <v>-6903.18</v>
      </c>
      <c r="H69" s="92">
        <v>142728.24</v>
      </c>
      <c r="I69" s="40"/>
      <c r="J69" s="40"/>
      <c r="K69" s="45"/>
      <c r="L69" s="40" t="s">
        <v>405</v>
      </c>
      <c r="M69" s="40">
        <v>100774805</v>
      </c>
      <c r="N69" s="38"/>
      <c r="O69" s="38"/>
      <c r="P69" s="38"/>
      <c r="Q69" s="38"/>
      <c r="R69" s="38"/>
      <c r="S69" s="38"/>
      <c r="T69" s="38"/>
      <c r="U69" s="38"/>
    </row>
    <row r="70" spans="1:21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83">
        <v>543.24</v>
      </c>
      <c r="G70" s="92">
        <v>10899.27</v>
      </c>
      <c r="H70" s="92">
        <v>162858.31</v>
      </c>
      <c r="I70" s="40"/>
      <c r="J70" s="40"/>
      <c r="K70" s="45"/>
      <c r="L70" s="40" t="s">
        <v>405</v>
      </c>
      <c r="M70" s="40">
        <v>100774810</v>
      </c>
      <c r="N70" s="38"/>
      <c r="O70" s="38"/>
      <c r="P70" s="38"/>
      <c r="Q70" s="38"/>
      <c r="R70" s="38"/>
      <c r="S70" s="38"/>
      <c r="T70" s="38"/>
      <c r="U70" s="38"/>
    </row>
    <row r="71" spans="1:21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83">
        <f>1834.04-9.01</f>
        <v>1825.03</v>
      </c>
      <c r="G71" s="92">
        <v>13980.89</v>
      </c>
      <c r="H71" s="92">
        <v>25765.7</v>
      </c>
      <c r="I71" s="40"/>
      <c r="J71" s="40"/>
      <c r="K71" s="45"/>
      <c r="L71" s="40" t="s">
        <v>409</v>
      </c>
      <c r="M71" s="40">
        <v>100776241</v>
      </c>
      <c r="N71" s="38"/>
      <c r="O71" s="38"/>
      <c r="P71" s="38"/>
      <c r="Q71" s="38"/>
      <c r="R71" s="38"/>
      <c r="S71" s="38"/>
      <c r="T71" s="38"/>
      <c r="U71" s="38"/>
    </row>
    <row r="72" spans="1:21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83">
        <f>1606.34-7.94</f>
        <v>1598.3999999999999</v>
      </c>
      <c r="G72" s="92">
        <v>-11300.1</v>
      </c>
      <c r="H72" s="92">
        <v>114950.31</v>
      </c>
      <c r="I72" s="40"/>
      <c r="J72" s="40"/>
      <c r="K72" s="45"/>
      <c r="L72" s="40" t="s">
        <v>401</v>
      </c>
      <c r="M72" s="40">
        <v>100772534</v>
      </c>
      <c r="N72" s="38"/>
      <c r="O72" s="38"/>
      <c r="P72" s="38"/>
      <c r="Q72" s="38"/>
      <c r="R72" s="38"/>
      <c r="S72" s="38"/>
      <c r="T72" s="38"/>
      <c r="U72" s="38"/>
    </row>
    <row r="73" spans="1:21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83">
        <v>1871.37</v>
      </c>
      <c r="G73" s="92">
        <v>-3856.25</v>
      </c>
      <c r="H73" s="92">
        <v>144543.99</v>
      </c>
      <c r="I73" s="40"/>
      <c r="J73" s="40"/>
      <c r="K73" s="45"/>
      <c r="L73" s="40" t="s">
        <v>408</v>
      </c>
      <c r="M73" s="40">
        <v>100775325</v>
      </c>
      <c r="N73" s="38"/>
      <c r="O73" s="38"/>
      <c r="P73" s="38"/>
      <c r="Q73" s="38"/>
      <c r="R73" s="38"/>
      <c r="S73" s="38"/>
      <c r="T73" s="38"/>
      <c r="U73" s="38"/>
    </row>
    <row r="74" spans="1:21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83">
        <v>1719.81</v>
      </c>
      <c r="G74" s="92">
        <v>-37405.72</v>
      </c>
      <c r="H74" s="92">
        <v>218494.27</v>
      </c>
      <c r="I74" s="40"/>
      <c r="J74" s="40"/>
      <c r="K74" s="45"/>
      <c r="L74" s="40" t="s">
        <v>403</v>
      </c>
      <c r="M74" s="40">
        <v>100773657</v>
      </c>
      <c r="N74" s="38"/>
      <c r="O74" s="38"/>
      <c r="P74" s="38"/>
      <c r="Q74" s="38"/>
      <c r="R74" s="38"/>
      <c r="S74" s="38"/>
      <c r="T74" s="38"/>
      <c r="U74" s="38"/>
    </row>
    <row r="75" spans="1:21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83">
        <v>4495.49</v>
      </c>
      <c r="G75" s="92">
        <v>-27505.26</v>
      </c>
      <c r="H75" s="92">
        <v>193340.85</v>
      </c>
      <c r="I75" s="40"/>
      <c r="J75" s="40"/>
      <c r="K75" s="45"/>
      <c r="L75" s="40" t="s">
        <v>409</v>
      </c>
      <c r="M75" s="40">
        <v>100775779</v>
      </c>
      <c r="N75" s="38"/>
      <c r="O75" s="38"/>
      <c r="P75" s="38"/>
      <c r="Q75" s="38"/>
      <c r="R75" s="38"/>
      <c r="S75" s="38"/>
      <c r="T75" s="38"/>
      <c r="U75" s="38"/>
    </row>
    <row r="76" spans="1:21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83">
        <f>5164.51-24.94</f>
        <v>5139.570000000001</v>
      </c>
      <c r="G76" s="92">
        <v>14893.47</v>
      </c>
      <c r="H76" s="92">
        <v>117239.4</v>
      </c>
      <c r="I76" s="40"/>
      <c r="J76" s="40"/>
      <c r="K76" s="45"/>
      <c r="L76" s="40" t="s">
        <v>407</v>
      </c>
      <c r="M76" s="40">
        <v>100775293</v>
      </c>
      <c r="N76" s="38"/>
      <c r="O76" s="38"/>
      <c r="P76" s="38"/>
      <c r="Q76" s="38"/>
      <c r="R76" s="38"/>
      <c r="S76" s="38"/>
      <c r="T76" s="38"/>
      <c r="U76" s="38"/>
    </row>
    <row r="77" spans="1:21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83">
        <f>1389.64-20.97</f>
        <v>1368.67</v>
      </c>
      <c r="G77" s="92">
        <v>-15208.19</v>
      </c>
      <c r="H77" s="92">
        <v>121990.92</v>
      </c>
      <c r="I77" s="40"/>
      <c r="J77" s="40"/>
      <c r="K77" s="45"/>
      <c r="L77" s="40" t="s">
        <v>403</v>
      </c>
      <c r="M77" s="40">
        <v>100773670</v>
      </c>
      <c r="N77" s="38"/>
      <c r="O77" s="38"/>
      <c r="P77" s="38"/>
      <c r="Q77" s="38"/>
      <c r="R77" s="38"/>
      <c r="S77" s="38"/>
      <c r="T77" s="38"/>
      <c r="U77" s="38"/>
    </row>
    <row r="78" spans="1:21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83">
        <v>1930.13</v>
      </c>
      <c r="G78" s="92">
        <v>-62.92</v>
      </c>
      <c r="H78" s="92">
        <v>85377.51</v>
      </c>
      <c r="I78" s="40"/>
      <c r="J78" s="40"/>
      <c r="K78" s="45"/>
      <c r="L78" s="40" t="s">
        <v>408</v>
      </c>
      <c r="M78" s="40">
        <v>100775772</v>
      </c>
      <c r="N78" s="38"/>
      <c r="O78" s="38"/>
      <c r="P78" s="38"/>
      <c r="Q78" s="38"/>
      <c r="R78" s="38"/>
      <c r="S78" s="38"/>
      <c r="T78" s="38"/>
      <c r="U78" s="38"/>
    </row>
    <row r="79" spans="1:21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83">
        <f>2940.94-2.08</f>
        <v>2938.86</v>
      </c>
      <c r="G79" s="92">
        <v>911.58</v>
      </c>
      <c r="H79" s="92">
        <v>84640.3</v>
      </c>
      <c r="I79" s="40"/>
      <c r="J79" s="40"/>
      <c r="K79" s="45"/>
      <c r="L79" s="40" t="s">
        <v>405</v>
      </c>
      <c r="M79" s="40">
        <v>100774251</v>
      </c>
      <c r="N79" s="38"/>
      <c r="O79" s="38"/>
      <c r="P79" s="38"/>
      <c r="Q79" s="38"/>
      <c r="R79" s="38"/>
      <c r="S79" s="38"/>
      <c r="T79" s="38"/>
      <c r="U79" s="38"/>
    </row>
    <row r="80" spans="1:21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83">
        <f>5463.06-18.61</f>
        <v>5444.450000000001</v>
      </c>
      <c r="G80" s="92">
        <v>33581.92</v>
      </c>
      <c r="H80" s="92">
        <v>319158.63</v>
      </c>
      <c r="I80" s="40"/>
      <c r="J80" s="40"/>
      <c r="K80" s="45"/>
      <c r="L80" s="40" t="s">
        <v>405</v>
      </c>
      <c r="M80" s="40">
        <v>100774242</v>
      </c>
      <c r="N80" s="38"/>
      <c r="O80" s="38"/>
      <c r="P80" s="38"/>
      <c r="Q80" s="38"/>
      <c r="R80" s="38"/>
      <c r="S80" s="38"/>
      <c r="T80" s="38"/>
      <c r="U80" s="38"/>
    </row>
    <row r="81" spans="1:21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83">
        <f>2179.8-27.41</f>
        <v>2152.3900000000003</v>
      </c>
      <c r="G81" s="92">
        <v>21588.31</v>
      </c>
      <c r="H81" s="92">
        <v>136105.04</v>
      </c>
      <c r="I81" s="40"/>
      <c r="J81" s="40"/>
      <c r="K81" s="45"/>
      <c r="L81" s="40" t="s">
        <v>413</v>
      </c>
      <c r="M81" s="40">
        <v>100776483</v>
      </c>
      <c r="N81" s="38"/>
      <c r="O81" s="38"/>
      <c r="P81" s="38"/>
      <c r="Q81" s="38"/>
      <c r="R81" s="38"/>
      <c r="S81" s="38"/>
      <c r="T81" s="38"/>
      <c r="U81" s="38"/>
    </row>
    <row r="82" spans="1:21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83">
        <f>1651.89-19.01</f>
        <v>1632.88</v>
      </c>
      <c r="G82" s="92">
        <v>-2247.06</v>
      </c>
      <c r="H82" s="92">
        <v>64509.25</v>
      </c>
      <c r="I82" s="40"/>
      <c r="J82" s="40"/>
      <c r="K82" s="45"/>
      <c r="L82" s="40" t="s">
        <v>409</v>
      </c>
      <c r="M82" s="40">
        <v>100775805</v>
      </c>
      <c r="N82" s="38"/>
      <c r="O82" s="38"/>
      <c r="P82" s="38"/>
      <c r="Q82" s="38"/>
      <c r="R82" s="38"/>
      <c r="S82" s="38"/>
      <c r="T82" s="38"/>
      <c r="U82" s="38"/>
    </row>
    <row r="83" spans="1:21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83">
        <f>2054.41-57.83</f>
        <v>1996.58</v>
      </c>
      <c r="G83" s="92">
        <v>-15332.74</v>
      </c>
      <c r="H83" s="92">
        <v>117752.22</v>
      </c>
      <c r="I83" s="40"/>
      <c r="J83" s="146" t="s">
        <v>248</v>
      </c>
      <c r="K83" s="45"/>
      <c r="L83" s="40" t="s">
        <v>404</v>
      </c>
      <c r="M83" s="40" t="s">
        <v>406</v>
      </c>
      <c r="N83" s="38"/>
      <c r="O83" s="38"/>
      <c r="P83" s="38"/>
      <c r="Q83" s="38"/>
      <c r="R83" s="38"/>
      <c r="S83" s="38"/>
      <c r="T83" s="38"/>
      <c r="U83" s="38"/>
    </row>
    <row r="84" spans="1:21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83">
        <v>7343.89</v>
      </c>
      <c r="G84" s="92">
        <v>-21017.98</v>
      </c>
      <c r="H84" s="92">
        <v>209688.51</v>
      </c>
      <c r="I84" s="40"/>
      <c r="J84" s="40"/>
      <c r="K84" s="45"/>
      <c r="L84" s="40" t="s">
        <v>408</v>
      </c>
      <c r="M84" s="40">
        <v>100775331</v>
      </c>
      <c r="N84" s="38"/>
      <c r="O84" s="38"/>
      <c r="P84" s="38"/>
      <c r="Q84" s="38"/>
      <c r="R84" s="38"/>
      <c r="S84" s="38"/>
      <c r="T84" s="38"/>
      <c r="U84" s="38"/>
    </row>
    <row r="85" spans="1:21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83">
        <v>939.68</v>
      </c>
      <c r="G85" s="92">
        <v>-36875.46</v>
      </c>
      <c r="H85" s="92">
        <v>208711.28</v>
      </c>
      <c r="I85" s="40"/>
      <c r="J85" s="40"/>
      <c r="K85" s="45"/>
      <c r="L85" s="40" t="s">
        <v>400</v>
      </c>
      <c r="M85" s="40">
        <v>100770808</v>
      </c>
      <c r="N85" s="38"/>
      <c r="O85" s="38"/>
      <c r="P85" s="38"/>
      <c r="Q85" s="38"/>
      <c r="R85" s="38"/>
      <c r="S85" s="38"/>
      <c r="T85" s="38"/>
      <c r="U85" s="38"/>
    </row>
    <row r="86" spans="1:21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83">
        <f>5475.1-24.15</f>
        <v>5450.950000000001</v>
      </c>
      <c r="G86" s="92">
        <v>-38319.44</v>
      </c>
      <c r="H86" s="92">
        <v>331454.72</v>
      </c>
      <c r="I86" s="40"/>
      <c r="J86" s="40"/>
      <c r="K86" s="45"/>
      <c r="L86" s="40" t="s">
        <v>405</v>
      </c>
      <c r="M86" s="40">
        <v>100774808</v>
      </c>
      <c r="N86" s="38"/>
      <c r="O86" s="38"/>
      <c r="P86" s="38"/>
      <c r="Q86" s="38"/>
      <c r="R86" s="38"/>
      <c r="S86" s="38"/>
      <c r="T86" s="38"/>
      <c r="U86" s="38"/>
    </row>
    <row r="87" spans="1:21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83">
        <f>4650.79-64.34</f>
        <v>4586.45</v>
      </c>
      <c r="G87" s="92">
        <v>-29351.93</v>
      </c>
      <c r="H87" s="92">
        <v>429004.64</v>
      </c>
      <c r="I87" s="40"/>
      <c r="J87" s="40"/>
      <c r="K87" s="45"/>
      <c r="L87" s="40" t="s">
        <v>405</v>
      </c>
      <c r="M87" s="40">
        <v>100774255</v>
      </c>
      <c r="N87" s="38"/>
      <c r="O87" s="38"/>
      <c r="P87" s="38"/>
      <c r="Q87" s="38"/>
      <c r="R87" s="38"/>
      <c r="S87" s="38"/>
      <c r="T87" s="38"/>
      <c r="U87" s="38"/>
    </row>
    <row r="88" spans="1:21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83">
        <f>3918.61-6.15</f>
        <v>3912.46</v>
      </c>
      <c r="G88" s="92">
        <v>-61933.8</v>
      </c>
      <c r="H88" s="92">
        <v>245536.26</v>
      </c>
      <c r="I88" s="40"/>
      <c r="J88" s="40"/>
      <c r="K88" s="45"/>
      <c r="L88" s="40" t="s">
        <v>403</v>
      </c>
      <c r="M88" s="40">
        <v>100773650</v>
      </c>
      <c r="N88" s="38"/>
      <c r="O88" s="38"/>
      <c r="P88" s="38"/>
      <c r="Q88" s="38"/>
      <c r="R88" s="38"/>
      <c r="S88" s="38"/>
      <c r="T88" s="38"/>
      <c r="U88" s="38"/>
    </row>
    <row r="89" spans="1:21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83">
        <v>2597.52</v>
      </c>
      <c r="G89" s="92">
        <v>4422.49</v>
      </c>
      <c r="H89" s="92">
        <v>197229.13</v>
      </c>
      <c r="I89" s="40"/>
      <c r="J89" s="40"/>
      <c r="K89" s="45"/>
      <c r="L89" s="40" t="s">
        <v>413</v>
      </c>
      <c r="M89" s="40">
        <v>100776288</v>
      </c>
      <c r="N89" s="38"/>
      <c r="O89" s="38"/>
      <c r="P89" s="38"/>
      <c r="Q89" s="38"/>
      <c r="R89" s="38"/>
      <c r="S89" s="38"/>
      <c r="T89" s="38"/>
      <c r="U89" s="38"/>
    </row>
    <row r="90" spans="1:21" ht="16.5" thickBot="1">
      <c r="A90" s="37">
        <v>5406</v>
      </c>
      <c r="B90" s="37">
        <v>10136</v>
      </c>
      <c r="C90" s="47">
        <v>938530</v>
      </c>
      <c r="D90" s="40" t="s">
        <v>389</v>
      </c>
      <c r="E90" s="168"/>
      <c r="F90" s="148"/>
      <c r="G90" s="149"/>
      <c r="H90" s="149"/>
      <c r="I90" s="40"/>
      <c r="J90" s="40"/>
      <c r="K90" s="45"/>
      <c r="L90" s="40"/>
      <c r="M90" s="149" t="s">
        <v>414</v>
      </c>
      <c r="N90" s="38"/>
      <c r="O90" s="38"/>
      <c r="P90" s="38"/>
      <c r="Q90" s="38"/>
      <c r="R90" s="38"/>
      <c r="S90" s="38"/>
      <c r="T90" s="38"/>
      <c r="U90" s="38"/>
    </row>
    <row r="91" spans="1:21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92">
        <v>8479.77</v>
      </c>
      <c r="G91" s="92">
        <v>74787.46</v>
      </c>
      <c r="H91" s="92">
        <v>236128.04</v>
      </c>
      <c r="I91" s="40"/>
      <c r="J91" s="40"/>
      <c r="K91" s="45"/>
      <c r="L91" s="40" t="s">
        <v>413</v>
      </c>
      <c r="M91" s="40">
        <v>100776496</v>
      </c>
      <c r="N91" s="38"/>
      <c r="O91" s="38"/>
      <c r="P91" s="38"/>
      <c r="Q91" s="38"/>
      <c r="R91" s="38"/>
      <c r="S91" s="38"/>
      <c r="T91" s="38"/>
      <c r="U91" s="38"/>
    </row>
    <row r="92" spans="1:21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83">
        <v>9984.47</v>
      </c>
      <c r="G92" s="92">
        <v>-95590.05</v>
      </c>
      <c r="H92" s="92">
        <v>368273.34</v>
      </c>
      <c r="I92" s="40"/>
      <c r="J92" s="40"/>
      <c r="K92" s="45"/>
      <c r="L92" s="100" t="s">
        <v>404</v>
      </c>
      <c r="M92" s="40">
        <v>100774214</v>
      </c>
      <c r="N92" s="38"/>
      <c r="O92" s="38"/>
      <c r="P92" s="38"/>
      <c r="Q92" s="38"/>
      <c r="R92" s="38"/>
      <c r="S92" s="38"/>
      <c r="T92" s="38"/>
      <c r="U92" s="38"/>
    </row>
    <row r="93" spans="1:21" ht="16.5" thickBot="1">
      <c r="A93" s="37">
        <v>4215</v>
      </c>
      <c r="B93" s="37">
        <v>10138</v>
      </c>
      <c r="C93" s="47">
        <v>938475</v>
      </c>
      <c r="D93" s="40" t="s">
        <v>387</v>
      </c>
      <c r="E93" s="39"/>
      <c r="F93" s="83">
        <v>2435.73</v>
      </c>
      <c r="G93" s="92">
        <v>24249.7</v>
      </c>
      <c r="H93" s="92">
        <v>294940.03</v>
      </c>
      <c r="I93" s="40"/>
      <c r="J93" s="40"/>
      <c r="K93" s="45"/>
      <c r="L93" s="40" t="s">
        <v>413</v>
      </c>
      <c r="M93" s="40">
        <v>100776469</v>
      </c>
      <c r="N93" s="38"/>
      <c r="O93" s="38"/>
      <c r="P93" s="38"/>
      <c r="Q93" s="38"/>
      <c r="R93" s="38"/>
      <c r="S93" s="38"/>
      <c r="T93" s="38"/>
      <c r="U93" s="38"/>
    </row>
    <row r="94" spans="1:21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83">
        <f>10576.7-15.44</f>
        <v>10561.26</v>
      </c>
      <c r="G94" s="92">
        <v>-86847.57</v>
      </c>
      <c r="H94" s="92">
        <v>843662.89</v>
      </c>
      <c r="I94" s="40"/>
      <c r="J94" s="40"/>
      <c r="K94" s="45"/>
      <c r="L94" s="40" t="s">
        <v>404</v>
      </c>
      <c r="M94" s="40">
        <v>100774219</v>
      </c>
      <c r="N94" s="38"/>
      <c r="O94" s="38"/>
      <c r="P94" s="38"/>
      <c r="Q94" s="38"/>
      <c r="R94" s="38"/>
      <c r="S94" s="38"/>
      <c r="T94" s="38"/>
      <c r="U94" s="38"/>
    </row>
    <row r="95" spans="1:21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83">
        <f>18740.05-264.73</f>
        <v>18475.32</v>
      </c>
      <c r="G95" s="92">
        <v>263021.87</v>
      </c>
      <c r="H95" s="92">
        <v>436423.67</v>
      </c>
      <c r="I95" s="40"/>
      <c r="J95" s="40"/>
      <c r="K95" s="45"/>
      <c r="L95" s="40" t="s">
        <v>413</v>
      </c>
      <c r="M95" s="40">
        <v>100776864</v>
      </c>
      <c r="N95" s="38"/>
      <c r="O95" s="38"/>
      <c r="P95" s="38"/>
      <c r="Q95" s="38"/>
      <c r="R95" s="38"/>
      <c r="S95" s="38"/>
      <c r="T95" s="38"/>
      <c r="U95" s="38"/>
    </row>
    <row r="96" spans="1:21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83">
        <v>31809.16</v>
      </c>
      <c r="G96" s="92">
        <v>492765.33</v>
      </c>
      <c r="H96" s="92">
        <v>612999.86</v>
      </c>
      <c r="I96" s="40"/>
      <c r="J96" s="40"/>
      <c r="K96" s="45"/>
      <c r="L96" s="40" t="s">
        <v>400</v>
      </c>
      <c r="M96" s="40">
        <v>100771985</v>
      </c>
      <c r="N96" s="38"/>
      <c r="O96" s="38"/>
      <c r="P96" s="38"/>
      <c r="Q96" s="38"/>
      <c r="R96" s="38"/>
      <c r="S96" s="38"/>
      <c r="T96" s="38"/>
      <c r="U96" s="38"/>
    </row>
    <row r="97" spans="1:21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83">
        <v>13971.28</v>
      </c>
      <c r="G97" s="92">
        <v>127826.81</v>
      </c>
      <c r="H97" s="92">
        <v>178327.24</v>
      </c>
      <c r="I97" s="40"/>
      <c r="J97" s="38"/>
      <c r="K97" s="45"/>
      <c r="L97" s="40" t="s">
        <v>413</v>
      </c>
      <c r="M97" s="40">
        <v>100776247</v>
      </c>
      <c r="N97" s="38"/>
      <c r="O97" s="38"/>
      <c r="P97" s="38"/>
      <c r="Q97" s="38"/>
      <c r="R97" s="38"/>
      <c r="S97" s="38"/>
      <c r="T97" s="38"/>
      <c r="U97" s="38"/>
    </row>
    <row r="98" spans="1:21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83"/>
      <c r="G98" s="92"/>
      <c r="H98" s="92"/>
      <c r="I98" s="169" t="s">
        <v>418</v>
      </c>
      <c r="J98" s="38"/>
      <c r="K98" s="45"/>
      <c r="L98" s="40"/>
      <c r="M98" s="40"/>
      <c r="N98" s="38"/>
      <c r="O98" s="38"/>
      <c r="P98" s="38"/>
      <c r="Q98" s="38"/>
      <c r="R98" s="38"/>
      <c r="S98" s="38"/>
      <c r="T98" s="38"/>
      <c r="U98" s="38"/>
    </row>
    <row r="99" spans="1:21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83">
        <v>11368.19</v>
      </c>
      <c r="G99" s="92">
        <v>66864.5</v>
      </c>
      <c r="H99" s="92">
        <v>684717.61</v>
      </c>
      <c r="I99" s="40"/>
      <c r="J99" s="40"/>
      <c r="K99" s="45"/>
      <c r="L99" s="40" t="s">
        <v>413</v>
      </c>
      <c r="M99" s="40">
        <v>100776250</v>
      </c>
      <c r="N99" s="38"/>
      <c r="O99" s="38"/>
      <c r="P99" s="38"/>
      <c r="Q99" s="38"/>
      <c r="R99" s="38"/>
      <c r="S99" s="38"/>
      <c r="T99" s="38"/>
      <c r="U99" s="38"/>
    </row>
    <row r="100" spans="1:21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83">
        <v>13971.9</v>
      </c>
      <c r="G100" s="92">
        <v>-56284.22</v>
      </c>
      <c r="H100" s="92">
        <v>168691.68</v>
      </c>
      <c r="I100" s="40"/>
      <c r="J100" s="40"/>
      <c r="K100" s="45"/>
      <c r="L100" s="40" t="s">
        <v>409</v>
      </c>
      <c r="M100" s="40">
        <v>100776214</v>
      </c>
      <c r="N100" s="38"/>
      <c r="O100" s="38"/>
      <c r="P100" s="38"/>
      <c r="Q100" s="38"/>
      <c r="R100" s="38"/>
      <c r="S100" s="38"/>
      <c r="T100" s="38"/>
      <c r="U100" s="38"/>
    </row>
    <row r="101" spans="1:21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83">
        <v>15516.88</v>
      </c>
      <c r="G101" s="92">
        <v>-47851.66</v>
      </c>
      <c r="H101" s="92">
        <v>737901.54</v>
      </c>
      <c r="I101" s="40"/>
      <c r="J101" s="40"/>
      <c r="K101" s="45"/>
      <c r="L101" s="40" t="s">
        <v>419</v>
      </c>
      <c r="M101" s="40">
        <v>100776888</v>
      </c>
      <c r="N101" s="38"/>
      <c r="O101" s="38"/>
      <c r="P101" s="38"/>
      <c r="Q101" s="38"/>
      <c r="R101" s="38"/>
      <c r="S101" s="38"/>
      <c r="T101" s="38"/>
      <c r="U101" s="38"/>
    </row>
    <row r="102" spans="1:21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83">
        <f>37676.41-1.19</f>
        <v>37675.22</v>
      </c>
      <c r="G102" s="92">
        <v>107329.72</v>
      </c>
      <c r="H102" s="92">
        <v>960494.75</v>
      </c>
      <c r="I102" s="40"/>
      <c r="J102" s="40"/>
      <c r="K102" s="45"/>
      <c r="L102" s="40" t="s">
        <v>413</v>
      </c>
      <c r="M102" s="40">
        <v>100776480</v>
      </c>
      <c r="N102" s="38"/>
      <c r="O102" s="38"/>
      <c r="P102" s="38"/>
      <c r="Q102" s="38"/>
      <c r="R102" s="38"/>
      <c r="S102" s="38"/>
      <c r="T102" s="38"/>
      <c r="U102" s="38"/>
    </row>
    <row r="103" spans="1:21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83">
        <v>8949.39</v>
      </c>
      <c r="G103" s="92">
        <v>58093.14</v>
      </c>
      <c r="H103" s="92">
        <v>443316.77</v>
      </c>
      <c r="I103" s="40"/>
      <c r="J103" s="40"/>
      <c r="K103" s="45"/>
      <c r="L103" s="40" t="s">
        <v>409</v>
      </c>
      <c r="M103" s="40">
        <v>100776240</v>
      </c>
      <c r="N103" s="38"/>
      <c r="O103" s="38"/>
      <c r="P103" s="38"/>
      <c r="Q103" s="38"/>
      <c r="R103" s="38"/>
      <c r="S103" s="38"/>
      <c r="T103" s="38"/>
      <c r="U103" s="38"/>
    </row>
    <row r="104" spans="1:21" ht="16.5" thickBot="1">
      <c r="A104" s="37">
        <v>5401</v>
      </c>
      <c r="B104" s="37">
        <v>10149</v>
      </c>
      <c r="C104" s="47">
        <v>938505</v>
      </c>
      <c r="D104" s="40" t="s">
        <v>388</v>
      </c>
      <c r="E104" s="168"/>
      <c r="F104" s="148"/>
      <c r="G104" s="149"/>
      <c r="H104" s="149"/>
      <c r="I104" s="40"/>
      <c r="J104" s="40"/>
      <c r="K104" s="45"/>
      <c r="L104" s="40"/>
      <c r="M104" s="149" t="s">
        <v>414</v>
      </c>
      <c r="N104" s="38"/>
      <c r="O104" s="38"/>
      <c r="P104" s="38"/>
      <c r="Q104" s="38"/>
      <c r="R104" s="38"/>
      <c r="S104" s="38"/>
      <c r="T104" s="38"/>
      <c r="U104" s="38"/>
    </row>
    <row r="105" spans="1:21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83">
        <v>24692.96</v>
      </c>
      <c r="G105" s="92">
        <v>-82016.09</v>
      </c>
      <c r="H105" s="92">
        <v>1205866.89</v>
      </c>
      <c r="I105" s="40"/>
      <c r="J105" s="40"/>
      <c r="K105" s="45"/>
      <c r="L105" s="40" t="s">
        <v>413</v>
      </c>
      <c r="M105" s="40">
        <v>100776464</v>
      </c>
      <c r="N105" s="38"/>
      <c r="O105" s="38"/>
      <c r="P105" s="38"/>
      <c r="Q105" s="38"/>
      <c r="R105" s="38"/>
      <c r="S105" s="38"/>
      <c r="T105" s="38"/>
      <c r="U105" s="38"/>
    </row>
    <row r="106" spans="1:21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83">
        <f>5526.44-82.45</f>
        <v>5443.99</v>
      </c>
      <c r="G106" s="92">
        <v>8961.73</v>
      </c>
      <c r="H106" s="92">
        <v>497160.08</v>
      </c>
      <c r="I106" s="40"/>
      <c r="J106" s="40"/>
      <c r="K106" s="45"/>
      <c r="L106" s="40" t="s">
        <v>413</v>
      </c>
      <c r="M106" s="40">
        <v>100776499</v>
      </c>
      <c r="N106" s="38"/>
      <c r="O106" s="38"/>
      <c r="P106" s="38"/>
      <c r="Q106" s="38"/>
      <c r="R106" s="38"/>
      <c r="S106" s="38"/>
      <c r="T106" s="38"/>
      <c r="U106" s="38"/>
    </row>
    <row r="107" spans="1:21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83">
        <v>6232.68</v>
      </c>
      <c r="G107" s="92">
        <v>77658.15</v>
      </c>
      <c r="H107" s="92">
        <v>645605.38</v>
      </c>
      <c r="I107" s="40"/>
      <c r="J107" s="40"/>
      <c r="K107" s="45"/>
      <c r="L107" s="40" t="s">
        <v>419</v>
      </c>
      <c r="M107" s="40">
        <v>100776889</v>
      </c>
      <c r="N107" s="38"/>
      <c r="O107" s="38"/>
      <c r="P107" s="38"/>
      <c r="Q107" s="38"/>
      <c r="R107" s="38"/>
      <c r="S107" s="38"/>
      <c r="T107" s="38"/>
      <c r="U107" s="38"/>
    </row>
    <row r="108" spans="1:21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64">
        <f>3634.4-118.48</f>
        <v>3515.92</v>
      </c>
      <c r="G108" s="64">
        <v>-15223.07</v>
      </c>
      <c r="H108" s="92">
        <v>223025.99</v>
      </c>
      <c r="I108" s="40"/>
      <c r="J108" s="40"/>
      <c r="K108" s="45"/>
      <c r="L108" s="40" t="s">
        <v>409</v>
      </c>
      <c r="M108" s="40">
        <v>100776212</v>
      </c>
      <c r="N108" s="38"/>
      <c r="O108" s="38"/>
      <c r="P108" s="38"/>
      <c r="Q108" s="38"/>
      <c r="R108" s="38"/>
      <c r="S108" s="38"/>
      <c r="T108" s="38"/>
      <c r="U108" s="38"/>
    </row>
    <row r="109" spans="1:21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83">
        <f>23049.17-79.56</f>
        <v>22969.609999999997</v>
      </c>
      <c r="G109" s="92">
        <v>126580.89</v>
      </c>
      <c r="H109" s="92">
        <v>992560.93</v>
      </c>
      <c r="I109" s="40"/>
      <c r="J109" s="40"/>
      <c r="K109" s="45"/>
      <c r="L109" s="40" t="s">
        <v>409</v>
      </c>
      <c r="M109" s="40">
        <v>100775807</v>
      </c>
      <c r="N109" s="38"/>
      <c r="O109" s="38"/>
      <c r="P109" s="38"/>
      <c r="Q109" s="38"/>
      <c r="R109" s="38"/>
      <c r="S109" s="38"/>
      <c r="T109" s="38"/>
      <c r="U109" s="38"/>
    </row>
    <row r="110" spans="1:21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83">
        <f>4186.88-8.65</f>
        <v>4178.2300000000005</v>
      </c>
      <c r="G110" s="92">
        <v>23618.34</v>
      </c>
      <c r="H110" s="92">
        <v>167121.12</v>
      </c>
      <c r="I110" s="40"/>
      <c r="J110" s="40"/>
      <c r="K110" s="45"/>
      <c r="L110" s="40" t="s">
        <v>407</v>
      </c>
      <c r="M110" s="40">
        <v>100775288</v>
      </c>
      <c r="N110" s="38"/>
      <c r="O110" s="38"/>
      <c r="P110" s="38"/>
      <c r="Q110" s="38"/>
      <c r="R110" s="38"/>
      <c r="S110" s="38"/>
      <c r="T110" s="38"/>
      <c r="U110" s="38"/>
    </row>
    <row r="111" spans="1:21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83">
        <f>11992.05-1.9</f>
        <v>11990.15</v>
      </c>
      <c r="G111" s="92">
        <v>-58248</v>
      </c>
      <c r="H111" s="92">
        <v>265918.06</v>
      </c>
      <c r="I111" s="40"/>
      <c r="J111" s="40"/>
      <c r="K111" s="45"/>
      <c r="L111" s="40" t="s">
        <v>407</v>
      </c>
      <c r="M111" s="40">
        <v>100775309</v>
      </c>
      <c r="N111" s="38"/>
      <c r="O111" s="38"/>
      <c r="P111" s="38"/>
      <c r="Q111" s="38"/>
      <c r="R111" s="38"/>
      <c r="S111" s="38"/>
      <c r="T111" s="38"/>
      <c r="U111" s="38"/>
    </row>
    <row r="112" spans="1:21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83">
        <f>3998.29-20.12</f>
        <v>3978.17</v>
      </c>
      <c r="G112" s="92">
        <v>-10627.02</v>
      </c>
      <c r="H112" s="92">
        <v>482937.07</v>
      </c>
      <c r="I112" s="40"/>
      <c r="J112" s="40"/>
      <c r="K112" s="45"/>
      <c r="L112" s="40" t="s">
        <v>401</v>
      </c>
      <c r="M112" s="40">
        <v>100772540</v>
      </c>
      <c r="N112" s="38"/>
      <c r="O112" s="38"/>
      <c r="P112" s="38"/>
      <c r="Q112" s="38"/>
      <c r="R112" s="38"/>
      <c r="S112" s="38"/>
      <c r="T112" s="38"/>
      <c r="U112" s="38"/>
    </row>
    <row r="113" spans="1:21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83">
        <v>14247.15</v>
      </c>
      <c r="G113" s="92">
        <v>-67956.35</v>
      </c>
      <c r="H113" s="92">
        <v>112960.83</v>
      </c>
      <c r="I113" s="40"/>
      <c r="J113" s="40"/>
      <c r="K113" s="45"/>
      <c r="L113" s="40" t="s">
        <v>408</v>
      </c>
      <c r="M113" s="40">
        <v>100775775</v>
      </c>
      <c r="N113" s="38"/>
      <c r="O113" s="38"/>
      <c r="P113" s="38"/>
      <c r="Q113" s="38"/>
      <c r="R113" s="38"/>
      <c r="S113" s="38"/>
      <c r="T113" s="38"/>
      <c r="U113" s="38"/>
    </row>
    <row r="114" spans="1:21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83">
        <f>1467.37-36.19</f>
        <v>1431.1799999999998</v>
      </c>
      <c r="G114" s="92">
        <v>-37343.2</v>
      </c>
      <c r="H114" s="92">
        <v>190854.61</v>
      </c>
      <c r="I114" s="40"/>
      <c r="J114" s="40"/>
      <c r="K114" s="45"/>
      <c r="L114" s="40" t="s">
        <v>407</v>
      </c>
      <c r="M114" s="40">
        <v>100775300</v>
      </c>
      <c r="N114" s="38"/>
      <c r="O114" s="38"/>
      <c r="P114" s="38"/>
      <c r="Q114" s="38"/>
      <c r="R114" s="38"/>
      <c r="S114" s="38"/>
      <c r="T114" s="38"/>
      <c r="U114" s="38"/>
    </row>
    <row r="115" spans="1:21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83">
        <v>457.43</v>
      </c>
      <c r="G115" s="92">
        <v>-21980.53</v>
      </c>
      <c r="H115" s="92">
        <v>176849.43</v>
      </c>
      <c r="I115" s="40"/>
      <c r="J115" s="40"/>
      <c r="K115" s="45"/>
      <c r="L115" s="40" t="s">
        <v>398</v>
      </c>
      <c r="M115" s="40">
        <v>100770372</v>
      </c>
      <c r="N115" s="38"/>
      <c r="O115" s="38"/>
      <c r="P115" s="38"/>
      <c r="Q115" s="38"/>
      <c r="R115" s="38"/>
      <c r="S115" s="38"/>
      <c r="T115" s="38"/>
      <c r="U115" s="38"/>
    </row>
    <row r="116" spans="1:21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83">
        <v>487.36</v>
      </c>
      <c r="G116" s="92">
        <v>-2577.8</v>
      </c>
      <c r="H116" s="92">
        <v>171701.4</v>
      </c>
      <c r="I116" s="113"/>
      <c r="J116" s="113"/>
      <c r="K116" s="45"/>
      <c r="L116" s="40" t="s">
        <v>408</v>
      </c>
      <c r="M116" s="40">
        <v>100775327</v>
      </c>
      <c r="N116" s="38"/>
      <c r="O116" s="38"/>
      <c r="P116" s="38"/>
      <c r="Q116" s="38"/>
      <c r="R116" s="38"/>
      <c r="S116" s="38"/>
      <c r="T116" s="38"/>
      <c r="U116" s="38"/>
    </row>
    <row r="117" spans="1:21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83">
        <v>1017.48</v>
      </c>
      <c r="G117" s="92">
        <v>-24993.02</v>
      </c>
      <c r="H117" s="92">
        <v>171278.4</v>
      </c>
      <c r="I117" s="113"/>
      <c r="J117" s="113"/>
      <c r="K117" s="45"/>
      <c r="L117" s="40" t="s">
        <v>408</v>
      </c>
      <c r="M117" s="40">
        <v>100775771</v>
      </c>
      <c r="N117" s="38"/>
      <c r="O117" s="38"/>
      <c r="P117" s="38"/>
      <c r="Q117" s="38"/>
      <c r="R117" s="38"/>
      <c r="S117" s="38"/>
      <c r="T117" s="38"/>
      <c r="U117" s="38"/>
    </row>
    <row r="118" spans="2:21" ht="15.75">
      <c r="B118" s="38"/>
      <c r="C118" s="42"/>
      <c r="D118" s="43" t="s">
        <v>139</v>
      </c>
      <c r="E118" s="92">
        <f aca="true" t="shared" si="0" ref="E118:J118">SUM(E3:E117)</f>
        <v>0</v>
      </c>
      <c r="F118" s="96">
        <f t="shared" si="0"/>
        <v>616726.8300000003</v>
      </c>
      <c r="G118" s="96">
        <f t="shared" si="0"/>
        <v>35235.989999999714</v>
      </c>
      <c r="H118" s="96">
        <f t="shared" si="0"/>
        <v>26372345.81999999</v>
      </c>
      <c r="I118" s="114">
        <f t="shared" si="0"/>
        <v>0</v>
      </c>
      <c r="J118" s="114">
        <f t="shared" si="0"/>
        <v>0</v>
      </c>
      <c r="K118" s="45">
        <f>SUM(K3:K117)</f>
        <v>0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2:21" ht="15.75">
      <c r="B119" s="38"/>
      <c r="C119" s="42"/>
      <c r="D119" s="41"/>
      <c r="E119" s="39"/>
      <c r="F119" s="39"/>
      <c r="G119" s="39"/>
      <c r="H119" s="39"/>
      <c r="I119" s="39"/>
      <c r="J119" s="39"/>
      <c r="K119" s="39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3:21" ht="15.75">
      <c r="C120" s="1">
        <f>COUNT(C3:C117)</f>
        <v>115</v>
      </c>
      <c r="D120" s="86">
        <f>COUNT(A3:A117)-COUNTA(M3:M117)</f>
        <v>2</v>
      </c>
      <c r="E120" s="37" t="s">
        <v>175</v>
      </c>
      <c r="F120" s="37" t="s">
        <v>175</v>
      </c>
      <c r="G120" s="38"/>
      <c r="H120" s="38"/>
      <c r="I120" s="38"/>
      <c r="J120" s="64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4:21" ht="15.75">
      <c r="D121" s="86">
        <f>C120-D120</f>
        <v>113</v>
      </c>
      <c r="E121" s="38" t="s">
        <v>174</v>
      </c>
      <c r="F121" s="38" t="s">
        <v>174</v>
      </c>
      <c r="G121" s="38"/>
      <c r="H121" s="38"/>
      <c r="I121" s="38"/>
      <c r="J121" s="38"/>
      <c r="K121" s="85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6:21" ht="15.75">
      <c r="F122" s="40"/>
      <c r="G122" s="40"/>
      <c r="H122" s="40"/>
      <c r="I122" s="38"/>
      <c r="J122" s="38"/>
      <c r="K122" s="85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6:21" ht="15.75">
      <c r="F123" s="40"/>
      <c r="G123" s="40"/>
      <c r="H123" s="40"/>
      <c r="I123" s="38"/>
      <c r="J123" s="64"/>
      <c r="K123" s="85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6:21" ht="15.75">
      <c r="F124" s="40"/>
      <c r="G124" s="40"/>
      <c r="H124" s="40"/>
      <c r="I124" s="38"/>
      <c r="J124" s="38"/>
      <c r="K124" s="85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6:21" ht="15.75">
      <c r="F125" s="40"/>
      <c r="G125" s="40"/>
      <c r="H125" s="40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6:21" ht="15.75">
      <c r="F126" s="40"/>
      <c r="G126" s="40"/>
      <c r="H126" s="40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6:21" ht="15.75">
      <c r="F127" s="40"/>
      <c r="G127" s="40"/>
      <c r="H127" s="40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6:21" ht="15.75">
      <c r="F128" s="40"/>
      <c r="G128" s="40"/>
      <c r="H128" s="40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6:21" ht="15.75">
      <c r="F129" s="83"/>
      <c r="G129" s="92"/>
      <c r="H129" s="92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6:21" ht="15.75">
      <c r="F130" s="4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6:21" ht="15.75">
      <c r="F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6:21" ht="15.75">
      <c r="F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6:21" ht="15.75">
      <c r="F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6:21" ht="15.75">
      <c r="F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6:21" ht="15.75">
      <c r="F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6:21" ht="15.75">
      <c r="F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6:21" ht="15.75">
      <c r="F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6:21" ht="15.75">
      <c r="F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6:21" ht="15.75">
      <c r="F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6:21" ht="15.75">
      <c r="F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6:21" ht="15.75">
      <c r="F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6:21" ht="15.75">
      <c r="F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6:21" ht="15.75"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6:21" ht="15.75"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6:21" ht="15.75"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6:21" ht="15.75"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6:21" ht="15.75">
      <c r="F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6:21" ht="15.75">
      <c r="F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6:21" ht="15.75">
      <c r="F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6:21" ht="15.75">
      <c r="F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6:21" ht="15.75">
      <c r="F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6:21" ht="15.75">
      <c r="F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6:21" ht="15.75">
      <c r="F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6:21" ht="15.75">
      <c r="F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6:21" ht="15.75">
      <c r="F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6:21" ht="15.75">
      <c r="F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6:21" ht="15.75">
      <c r="F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6:21" ht="15.75">
      <c r="F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6:21" ht="15.75">
      <c r="F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6:21" ht="15.75">
      <c r="F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6:21" ht="15.75">
      <c r="F161" s="40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6:21" ht="15.75">
      <c r="F162" s="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6:21" ht="15.75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6:21" ht="15.75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6:21" ht="15.75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6:21" ht="15.75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6:21" ht="15.75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6:21" ht="15.75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6:21" ht="15.75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6:21" ht="15.75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6:21" ht="15.75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6:21" ht="15.75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6:21" ht="15.75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6:21" ht="15.75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6:21" ht="15.75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6:21" ht="15.75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6:21" ht="15.75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6:21" ht="15.75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6:21" ht="15.75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6:21" ht="15.75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6:21" ht="15.75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6:21" ht="15.75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6:21" ht="15.75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6:21" ht="15.75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6:21" ht="15.75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6:21" ht="15.75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6:21" ht="15.75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6:21" ht="15.75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6:21" ht="15.75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6:21" ht="15.75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6:21" ht="15.75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6:21" ht="15.75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spans="6:21" ht="15.75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</sheetData>
  <autoFilter ref="A2:U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I118:J118 G109:G117 J39 E118:G118 G129 F91 G3:G107">
    <cfRule type="cellIs" priority="1" dxfId="1" operator="lessThan" stopIfTrue="1">
      <formula>0</formula>
    </cfRule>
  </conditionalFormatting>
  <conditionalFormatting sqref="H129 H3:H118 M104 M90">
    <cfRule type="cellIs" priority="2" dxfId="3" operator="lessThan" stopIfTrue="1">
      <formula>0</formula>
    </cfRule>
  </conditionalFormatting>
  <conditionalFormatting sqref="D3:D117">
    <cfRule type="expression" priority="3" dxfId="2" stopIfTrue="1">
      <formula>M3&lt;1</formula>
    </cfRule>
  </conditionalFormatting>
  <printOptions/>
  <pageMargins left="0" right="0" top="0" bottom="0" header="0" footer="0"/>
  <pageSetup fitToHeight="1" fitToWidth="1" horizontalDpi="600" verticalDpi="600" orientation="landscape" paperSize="9" scale="2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33"/>
  </sheetPr>
  <dimension ref="A1:U194"/>
  <sheetViews>
    <sheetView zoomScale="75" zoomScaleNormal="75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7.21484375" style="37" customWidth="1"/>
    <col min="5" max="5" width="0.78125" style="36" customWidth="1"/>
    <col min="6" max="6" width="14.5546875" style="37" customWidth="1"/>
    <col min="7" max="7" width="15.99609375" style="37" customWidth="1"/>
    <col min="8" max="8" width="16.4453125" style="37" customWidth="1"/>
    <col min="9" max="9" width="14.10546875" style="37" customWidth="1"/>
    <col min="10" max="10" width="11.3359375" style="37" customWidth="1"/>
    <col min="11" max="11" width="17.5546875" style="37" customWidth="1"/>
    <col min="12" max="12" width="13.5546875" style="37" customWidth="1"/>
    <col min="13" max="13" width="17.6640625" style="37" customWidth="1"/>
    <col min="14" max="16384" width="8.88671875" style="37" customWidth="1"/>
  </cols>
  <sheetData>
    <row r="1" spans="1:13" s="59" customFormat="1" ht="15.75" customHeight="1">
      <c r="A1" s="56" t="s">
        <v>118</v>
      </c>
      <c r="B1" s="56" t="s">
        <v>120</v>
      </c>
      <c r="C1" s="56" t="s">
        <v>163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6.5" customHeight="1">
      <c r="A2" s="57" t="s">
        <v>119</v>
      </c>
      <c r="B2" s="57" t="s">
        <v>137</v>
      </c>
      <c r="C2" s="57" t="s">
        <v>172</v>
      </c>
      <c r="D2" s="57" t="s">
        <v>258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21" ht="15.75">
      <c r="A3" s="37">
        <v>3520</v>
      </c>
      <c r="B3" s="36">
        <v>11094</v>
      </c>
      <c r="C3" s="22">
        <v>938585</v>
      </c>
      <c r="D3" s="40" t="s">
        <v>176</v>
      </c>
      <c r="E3" s="39"/>
      <c r="F3" s="92">
        <f>1753.15-8.48</f>
        <v>1744.67</v>
      </c>
      <c r="G3" s="92">
        <v>-8060.78</v>
      </c>
      <c r="H3" s="92">
        <v>213712.88</v>
      </c>
      <c r="I3" s="39"/>
      <c r="J3" s="39"/>
      <c r="K3" s="45">
        <f>VLOOKUP(C3,'[12]DEC. PERIOD.9'!$A$1:$I$128,9,0)</f>
        <v>211968.21</v>
      </c>
      <c r="L3" s="40" t="s">
        <v>372</v>
      </c>
      <c r="M3" s="40">
        <v>100763765</v>
      </c>
      <c r="N3" s="38"/>
      <c r="O3" s="38"/>
      <c r="P3" s="38"/>
      <c r="Q3" s="38"/>
      <c r="R3" s="38"/>
      <c r="S3" s="38"/>
      <c r="T3" s="38"/>
      <c r="U3" s="38"/>
    </row>
    <row r="4" spans="1:21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92">
        <f>921.05-5.72</f>
        <v>915.3299999999999</v>
      </c>
      <c r="G4" s="92">
        <v>-16548.36</v>
      </c>
      <c r="H4" s="92">
        <v>126895</v>
      </c>
      <c r="I4" s="39"/>
      <c r="J4" s="39"/>
      <c r="K4" s="45">
        <f>VLOOKUP(C4,'[12]DEC. PERIOD.9'!$A$1:$I$128,9,0)</f>
        <v>125979.82</v>
      </c>
      <c r="L4" s="40" t="s">
        <v>391</v>
      </c>
      <c r="M4" s="40">
        <v>100765499</v>
      </c>
      <c r="N4" s="38"/>
      <c r="O4" s="38"/>
      <c r="P4" s="38"/>
      <c r="Q4" s="38"/>
      <c r="R4" s="38"/>
      <c r="S4" s="38"/>
      <c r="T4" s="38"/>
      <c r="U4" s="38"/>
    </row>
    <row r="5" spans="1:21" ht="16.5" thickBot="1">
      <c r="A5" s="37">
        <v>3300</v>
      </c>
      <c r="B5" s="37">
        <v>10040</v>
      </c>
      <c r="C5" s="47">
        <v>938282</v>
      </c>
      <c r="D5" s="40" t="s">
        <v>17</v>
      </c>
      <c r="E5" s="39"/>
      <c r="F5" s="92">
        <f>1212.25-22.36</f>
        <v>1189.89</v>
      </c>
      <c r="G5" s="92">
        <v>8210.72</v>
      </c>
      <c r="H5" s="92">
        <v>73038.62</v>
      </c>
      <c r="I5" s="39"/>
      <c r="J5" s="39"/>
      <c r="K5" s="45">
        <f>VLOOKUP(C5,'[12]DEC. PERIOD.9'!$A$1:$I$128,9,0)</f>
        <v>71848.73000000008</v>
      </c>
      <c r="L5" s="40" t="s">
        <v>376</v>
      </c>
      <c r="M5" s="40">
        <v>100762729</v>
      </c>
      <c r="N5" s="38"/>
      <c r="O5" s="38"/>
      <c r="P5" s="38"/>
      <c r="Q5" s="38"/>
      <c r="R5" s="38"/>
      <c r="S5" s="38"/>
      <c r="T5" s="38"/>
      <c r="U5" s="38"/>
    </row>
    <row r="6" spans="1:21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92">
        <v>0</v>
      </c>
      <c r="G6" s="92">
        <v>-1165.55</v>
      </c>
      <c r="H6" s="92">
        <v>144285.92</v>
      </c>
      <c r="I6" s="39"/>
      <c r="J6" s="39"/>
      <c r="K6" s="45">
        <f>VLOOKUP(C6,'[12]DEC. PERIOD.9'!$A$1:$I$128,9,0)</f>
        <v>144285.92</v>
      </c>
      <c r="L6" s="40" t="s">
        <v>393</v>
      </c>
      <c r="M6" s="40">
        <v>100766252</v>
      </c>
      <c r="N6" s="38"/>
      <c r="O6" s="38"/>
      <c r="P6" s="38"/>
      <c r="Q6" s="38"/>
      <c r="R6" s="38"/>
      <c r="S6" s="38"/>
      <c r="T6" s="38"/>
      <c r="U6" s="38"/>
    </row>
    <row r="7" spans="1:21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92">
        <f>964.14-16</f>
        <v>948.14</v>
      </c>
      <c r="G7" s="92">
        <v>3248.26</v>
      </c>
      <c r="H7" s="92">
        <v>55590.63</v>
      </c>
      <c r="I7" s="39"/>
      <c r="J7" s="39"/>
      <c r="K7" s="45">
        <f>VLOOKUP(C7,'[12]DEC. PERIOD.9'!$A$1:$I$128,9,0)</f>
        <v>54642.489999999845</v>
      </c>
      <c r="L7" s="40" t="s">
        <v>394</v>
      </c>
      <c r="M7" s="40">
        <v>100766280</v>
      </c>
      <c r="N7" s="38"/>
      <c r="O7" s="38"/>
      <c r="P7" s="38"/>
      <c r="Q7" s="38"/>
      <c r="R7" s="38"/>
      <c r="S7" s="38"/>
      <c r="T7" s="38"/>
      <c r="U7" s="38"/>
    </row>
    <row r="8" spans="1:21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92">
        <v>4930.67</v>
      </c>
      <c r="G8" s="92">
        <v>35871.43</v>
      </c>
      <c r="H8" s="92">
        <v>220367.38</v>
      </c>
      <c r="I8" s="39"/>
      <c r="J8" s="39"/>
      <c r="K8" s="45">
        <f>VLOOKUP(C8,'[12]DEC. PERIOD.9'!$A$1:$I$128,9,0)</f>
        <v>215436.71</v>
      </c>
      <c r="L8" s="40" t="s">
        <v>372</v>
      </c>
      <c r="M8" s="40">
        <v>100763242</v>
      </c>
      <c r="N8" s="38"/>
      <c r="O8" s="38"/>
      <c r="P8" s="38"/>
      <c r="Q8" s="38"/>
      <c r="R8" s="38"/>
      <c r="S8" s="38"/>
      <c r="T8" s="38"/>
      <c r="U8" s="38"/>
    </row>
    <row r="9" spans="1:21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92">
        <v>693.68</v>
      </c>
      <c r="G9" s="92">
        <v>3504.32</v>
      </c>
      <c r="H9" s="92">
        <v>7949.54</v>
      </c>
      <c r="I9" s="39"/>
      <c r="J9" s="39"/>
      <c r="K9" s="45">
        <f>VLOOKUP(C9,'[12]DEC. PERIOD.9'!$A$1:$I$128,9,0)</f>
        <v>7255.870000000006</v>
      </c>
      <c r="L9" s="40" t="s">
        <v>368</v>
      </c>
      <c r="M9" s="40">
        <v>100762334</v>
      </c>
      <c r="N9" s="38"/>
      <c r="O9" s="38"/>
      <c r="P9" s="38"/>
      <c r="Q9" s="38"/>
      <c r="R9" s="38"/>
      <c r="S9" s="38"/>
      <c r="T9" s="38"/>
      <c r="U9" s="38"/>
    </row>
    <row r="10" spans="1:21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92">
        <f>1262.65-12.59</f>
        <v>1250.0600000000002</v>
      </c>
      <c r="G10" s="92">
        <v>16731.9</v>
      </c>
      <c r="H10" s="92">
        <v>295701.87</v>
      </c>
      <c r="I10" s="39"/>
      <c r="J10" s="39"/>
      <c r="K10" s="45">
        <f>VLOOKUP(C10,'[12]DEC. PERIOD.9'!$A$1:$I$128,9,0)</f>
        <v>294451.81</v>
      </c>
      <c r="L10" s="40" t="s">
        <v>377</v>
      </c>
      <c r="M10" s="40">
        <v>100763231</v>
      </c>
      <c r="N10" s="38"/>
      <c r="O10" s="38"/>
      <c r="P10" s="38"/>
      <c r="Q10" s="38"/>
      <c r="R10" s="38"/>
      <c r="S10" s="38"/>
      <c r="T10" s="38"/>
      <c r="U10" s="38"/>
    </row>
    <row r="11" spans="1:21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92">
        <f>788.26-5.22</f>
        <v>783.04</v>
      </c>
      <c r="G11" s="92">
        <v>11338.22</v>
      </c>
      <c r="H11" s="92">
        <v>90886.84</v>
      </c>
      <c r="I11" s="39"/>
      <c r="J11" s="39"/>
      <c r="K11" s="45">
        <f>VLOOKUP(C11,'[12]DEC. PERIOD.9'!$A$1:$I$128,9,0)</f>
        <v>90103.80000000012</v>
      </c>
      <c r="L11" s="40" t="s">
        <v>386</v>
      </c>
      <c r="M11" s="40">
        <v>100765139</v>
      </c>
      <c r="N11" s="38"/>
      <c r="O11" s="38"/>
      <c r="P11" s="38"/>
      <c r="Q11" s="38"/>
      <c r="R11" s="38"/>
      <c r="S11" s="38"/>
      <c r="T11" s="38"/>
      <c r="U11" s="38"/>
    </row>
    <row r="12" spans="1:21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92">
        <f>885.97-7.8</f>
        <v>878.1700000000001</v>
      </c>
      <c r="G12" s="92">
        <v>6088.49</v>
      </c>
      <c r="H12" s="92">
        <v>244494.1</v>
      </c>
      <c r="I12" s="39"/>
      <c r="J12" s="39"/>
      <c r="K12" s="45">
        <f>VLOOKUP(C12,'[12]DEC. PERIOD.9'!$A$1:$I$128,9,0)</f>
        <v>243615.93</v>
      </c>
      <c r="L12" s="40" t="s">
        <v>368</v>
      </c>
      <c r="M12" s="40">
        <v>100762323</v>
      </c>
      <c r="N12" s="38"/>
      <c r="O12" s="38"/>
      <c r="P12" s="38"/>
      <c r="Q12" s="38"/>
      <c r="R12" s="38"/>
      <c r="S12" s="38"/>
      <c r="T12" s="38"/>
      <c r="U12" s="38"/>
    </row>
    <row r="13" spans="1:21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92">
        <v>3409.08</v>
      </c>
      <c r="G13" s="92">
        <v>23106.43</v>
      </c>
      <c r="H13" s="92">
        <v>200790.78</v>
      </c>
      <c r="I13" s="39"/>
      <c r="J13" s="39"/>
      <c r="K13" s="45">
        <f>VLOOKUP(C13,'[12]DEC. PERIOD.9'!$A$1:$I$128,9,0)</f>
        <v>197381.7</v>
      </c>
      <c r="L13" s="40" t="s">
        <v>377</v>
      </c>
      <c r="M13" s="40">
        <v>100763156</v>
      </c>
      <c r="N13" s="38"/>
      <c r="O13" s="38"/>
      <c r="P13" s="38"/>
      <c r="Q13" s="38"/>
      <c r="R13" s="38"/>
      <c r="S13" s="38"/>
      <c r="T13" s="38"/>
      <c r="U13" s="38"/>
    </row>
    <row r="14" spans="1:21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92">
        <v>5552.02</v>
      </c>
      <c r="G14" s="92">
        <v>43752.68</v>
      </c>
      <c r="H14" s="92">
        <v>166166.29</v>
      </c>
      <c r="I14" s="39"/>
      <c r="J14" s="39"/>
      <c r="K14" s="45">
        <f>VLOOKUP(C14,'[12]DEC. PERIOD.9'!$A$1:$I$128,9,0)</f>
        <v>160614.27</v>
      </c>
      <c r="L14" s="40" t="s">
        <v>377</v>
      </c>
      <c r="M14" s="40">
        <v>100763215</v>
      </c>
      <c r="N14" s="38"/>
      <c r="O14" s="38"/>
      <c r="P14" s="38"/>
      <c r="Q14" s="38"/>
      <c r="R14" s="38"/>
      <c r="S14" s="38"/>
      <c r="T14" s="38"/>
      <c r="U14" s="38"/>
    </row>
    <row r="15" spans="1:21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92">
        <v>1524.13</v>
      </c>
      <c r="G15" s="92">
        <v>12137.44</v>
      </c>
      <c r="H15" s="92">
        <v>179558.46</v>
      </c>
      <c r="I15" s="39"/>
      <c r="J15" s="39"/>
      <c r="K15" s="45">
        <f>VLOOKUP(C15,'[12]DEC. PERIOD.9'!$A$1:$I$128,9,0)</f>
        <v>178034.33</v>
      </c>
      <c r="L15" s="40" t="s">
        <v>367</v>
      </c>
      <c r="M15" s="40">
        <v>100762315</v>
      </c>
      <c r="N15" s="38"/>
      <c r="O15" s="38"/>
      <c r="P15" s="38"/>
      <c r="Q15" s="38"/>
      <c r="R15" s="38"/>
      <c r="S15" s="38"/>
      <c r="T15" s="38"/>
      <c r="U15" s="38"/>
    </row>
    <row r="16" spans="1:21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92">
        <v>699.99</v>
      </c>
      <c r="G16" s="92">
        <v>3298.42</v>
      </c>
      <c r="H16" s="92">
        <v>190900.87</v>
      </c>
      <c r="I16" s="39"/>
      <c r="J16" s="39"/>
      <c r="K16" s="45">
        <f>VLOOKUP(C16,'[12]DEC. PERIOD.9'!$A$1:$I$128,9,0)</f>
        <v>190200.88</v>
      </c>
      <c r="L16" s="40" t="s">
        <v>369</v>
      </c>
      <c r="M16" s="40">
        <v>100762715</v>
      </c>
      <c r="N16" s="38"/>
      <c r="O16" s="38"/>
      <c r="P16" s="38"/>
      <c r="Q16" s="38"/>
      <c r="R16" s="38"/>
      <c r="S16" s="38"/>
      <c r="T16" s="38"/>
      <c r="U16" s="38"/>
    </row>
    <row r="17" spans="1:21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92">
        <f>1933.4-19.32</f>
        <v>1914.0800000000002</v>
      </c>
      <c r="G17" s="92">
        <v>7260.12</v>
      </c>
      <c r="H17" s="92">
        <v>409487.44</v>
      </c>
      <c r="I17" s="39"/>
      <c r="J17" s="39"/>
      <c r="K17" s="45">
        <f>VLOOKUP(C17,'[12]DEC. PERIOD.9'!$A$1:$I$128,9,0)</f>
        <v>407573.36</v>
      </c>
      <c r="L17" s="40" t="s">
        <v>367</v>
      </c>
      <c r="M17" s="40">
        <v>100762319</v>
      </c>
      <c r="N17" s="38"/>
      <c r="O17" s="38"/>
      <c r="P17" s="38"/>
      <c r="Q17" s="38"/>
      <c r="R17" s="38"/>
      <c r="S17" s="38"/>
      <c r="T17" s="38"/>
      <c r="U17" s="38"/>
    </row>
    <row r="18" spans="1:21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92">
        <v>882.8</v>
      </c>
      <c r="G18" s="92">
        <v>5498.7</v>
      </c>
      <c r="H18" s="92">
        <v>129386.79</v>
      </c>
      <c r="I18" s="39"/>
      <c r="J18" s="40"/>
      <c r="K18" s="45">
        <f>VLOOKUP(C18,'[12]DEC. PERIOD.9'!$A$1:$I$128,9,0)</f>
        <v>128503.99</v>
      </c>
      <c r="L18" s="40" t="s">
        <v>368</v>
      </c>
      <c r="M18" s="40">
        <v>100762332</v>
      </c>
      <c r="N18" s="38"/>
      <c r="O18" s="38"/>
      <c r="P18" s="38"/>
      <c r="Q18" s="38"/>
      <c r="R18" s="38"/>
      <c r="S18" s="38"/>
      <c r="T18" s="38"/>
      <c r="U18" s="38"/>
    </row>
    <row r="19" spans="1:21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92">
        <f>1225.4-10.12</f>
        <v>1215.2800000000002</v>
      </c>
      <c r="G19" s="92">
        <v>-13108.33</v>
      </c>
      <c r="H19" s="92">
        <v>118095.94</v>
      </c>
      <c r="I19" s="39"/>
      <c r="J19" s="39"/>
      <c r="K19" s="45">
        <f>VLOOKUP(C19,'[12]DEC. PERIOD.9'!$A$1:$I$128,9,0)</f>
        <v>116880.66</v>
      </c>
      <c r="L19" s="40" t="s">
        <v>390</v>
      </c>
      <c r="M19" s="40">
        <v>100765474</v>
      </c>
      <c r="N19" s="42"/>
      <c r="O19" s="38"/>
      <c r="P19" s="38"/>
      <c r="Q19" s="38"/>
      <c r="R19" s="38"/>
      <c r="S19" s="38"/>
      <c r="T19" s="38"/>
      <c r="U19" s="38"/>
    </row>
    <row r="20" spans="1:21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92">
        <f>8250.24-11.52</f>
        <v>8238.72</v>
      </c>
      <c r="G20" s="92">
        <v>-76425.76</v>
      </c>
      <c r="H20" s="92">
        <v>170894.38</v>
      </c>
      <c r="I20" s="39"/>
      <c r="J20" s="39"/>
      <c r="K20" s="45">
        <f>VLOOKUP(C20,'[12]DEC. PERIOD.9'!$A$1:$I$128,9,0)</f>
        <v>162655.66</v>
      </c>
      <c r="L20" s="40" t="s">
        <v>377</v>
      </c>
      <c r="M20" s="40">
        <v>100763180</v>
      </c>
      <c r="N20" s="38"/>
      <c r="O20" s="38"/>
      <c r="P20" s="38"/>
      <c r="Q20" s="38"/>
      <c r="R20" s="38"/>
      <c r="S20" s="38"/>
      <c r="T20" s="38"/>
      <c r="U20" s="38"/>
    </row>
    <row r="21" spans="1:21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92">
        <f>1672.33-8.64</f>
        <v>1663.6899999999998</v>
      </c>
      <c r="G21" s="92">
        <v>6531.13</v>
      </c>
      <c r="H21" s="40">
        <v>446325.39</v>
      </c>
      <c r="I21" s="39"/>
      <c r="J21" s="39"/>
      <c r="K21" s="45">
        <f>VLOOKUP(C21,'[12]DEC. PERIOD.9'!$A$1:$I$128,9,0)</f>
        <v>444661.7</v>
      </c>
      <c r="L21" s="40" t="s">
        <v>376</v>
      </c>
      <c r="M21" s="40">
        <v>100762718</v>
      </c>
      <c r="N21" s="38"/>
      <c r="O21" s="38"/>
      <c r="P21" s="38"/>
      <c r="Q21" s="38"/>
      <c r="R21" s="38"/>
      <c r="S21" s="38"/>
      <c r="T21" s="38"/>
      <c r="U21" s="38"/>
    </row>
    <row r="22" spans="1:21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92">
        <f>3118.19-8.76</f>
        <v>3109.43</v>
      </c>
      <c r="G22" s="92">
        <v>-63869.34</v>
      </c>
      <c r="H22" s="92">
        <v>347836.17</v>
      </c>
      <c r="I22" s="39"/>
      <c r="J22" s="40"/>
      <c r="K22" s="45">
        <f>VLOOKUP(C22,'[12]DEC. PERIOD.9'!$A$1:$I$128,9,0)</f>
        <v>344726.74</v>
      </c>
      <c r="L22" s="40" t="s">
        <v>390</v>
      </c>
      <c r="M22" s="40">
        <v>100765486</v>
      </c>
      <c r="N22" s="38"/>
      <c r="O22" s="38"/>
      <c r="P22" s="38"/>
      <c r="Q22" s="38"/>
      <c r="R22" s="38"/>
      <c r="S22" s="38"/>
      <c r="T22" s="38"/>
      <c r="U22" s="38"/>
    </row>
    <row r="23" spans="1:21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92">
        <f>675.24-1.92</f>
        <v>673.32</v>
      </c>
      <c r="G23" s="92">
        <v>7308.75</v>
      </c>
      <c r="H23" s="92">
        <v>91103.23</v>
      </c>
      <c r="I23" s="39"/>
      <c r="J23" s="39"/>
      <c r="K23" s="45">
        <f>VLOOKUP(C23,'[12]DEC. PERIOD.9'!$A$1:$I$128,9,0)</f>
        <v>90429.9100000001</v>
      </c>
      <c r="L23" s="40" t="s">
        <v>376</v>
      </c>
      <c r="M23" s="40">
        <v>100762726</v>
      </c>
      <c r="N23" s="38"/>
      <c r="O23" s="38"/>
      <c r="P23" s="38"/>
      <c r="Q23" s="38"/>
      <c r="R23" s="38"/>
      <c r="S23" s="38"/>
      <c r="T23" s="38"/>
      <c r="U23" s="38"/>
    </row>
    <row r="24" spans="1:21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92">
        <v>724.62</v>
      </c>
      <c r="G24" s="92">
        <v>5242.9</v>
      </c>
      <c r="H24" s="92">
        <v>132041.35</v>
      </c>
      <c r="I24" s="39"/>
      <c r="J24" s="39"/>
      <c r="K24" s="45">
        <f>VLOOKUP(C24,'[12]DEC. PERIOD.9'!$A$1:$I$128,9,0)</f>
        <v>131316.73</v>
      </c>
      <c r="L24" s="40" t="s">
        <v>367</v>
      </c>
      <c r="M24" s="40">
        <v>100762308</v>
      </c>
      <c r="N24" s="38"/>
      <c r="O24" s="38"/>
      <c r="P24" s="38"/>
      <c r="Q24" s="38"/>
      <c r="R24" s="38"/>
      <c r="S24" s="38"/>
      <c r="T24" s="38"/>
      <c r="U24" s="38"/>
    </row>
    <row r="25" spans="1:21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92">
        <f>1751.99-213.87</f>
        <v>1538.12</v>
      </c>
      <c r="G25" s="92">
        <v>-68736.39</v>
      </c>
      <c r="H25" s="92">
        <v>412017.96</v>
      </c>
      <c r="I25" s="39"/>
      <c r="J25" s="39"/>
      <c r="K25" s="45">
        <f>VLOOKUP(C25,'[12]DEC. PERIOD.9'!$A$1:$I$128,9,0)</f>
        <v>410479.84</v>
      </c>
      <c r="L25" s="40" t="s">
        <v>391</v>
      </c>
      <c r="M25" s="40">
        <v>100765891</v>
      </c>
      <c r="N25" s="38"/>
      <c r="O25" s="38"/>
      <c r="P25" s="38"/>
      <c r="Q25" s="38"/>
      <c r="R25" s="38"/>
      <c r="S25" s="38"/>
      <c r="T25" s="38"/>
      <c r="U25" s="38"/>
    </row>
    <row r="26" spans="1:21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92">
        <f>5121.8-160.92</f>
        <v>4960.88</v>
      </c>
      <c r="G26" s="92">
        <v>31473.03</v>
      </c>
      <c r="H26" s="92">
        <v>111660.41</v>
      </c>
      <c r="I26" s="39"/>
      <c r="J26" s="39"/>
      <c r="K26" s="45">
        <f>VLOOKUP(C26,'[12]DEC. PERIOD.9'!$A$1:$I$128,9,0)</f>
        <v>106699.53</v>
      </c>
      <c r="L26" s="40" t="s">
        <v>372</v>
      </c>
      <c r="M26" s="40">
        <v>100763239</v>
      </c>
      <c r="N26" s="38"/>
      <c r="O26" s="38"/>
      <c r="P26" s="38"/>
      <c r="Q26" s="38"/>
      <c r="R26" s="38"/>
      <c r="S26" s="38"/>
      <c r="T26" s="38"/>
      <c r="U26" s="38"/>
    </row>
    <row r="27" spans="1:21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92">
        <f>4509.64-47.14</f>
        <v>4462.5</v>
      </c>
      <c r="G27" s="92">
        <v>-21973.53</v>
      </c>
      <c r="H27" s="92">
        <v>237732.62</v>
      </c>
      <c r="I27" s="39"/>
      <c r="J27" s="39"/>
      <c r="K27" s="45">
        <f>VLOOKUP(C27,'[12]DEC. PERIOD.9'!$A$1:$I$128,9,0)</f>
        <v>233270.12</v>
      </c>
      <c r="L27" s="40" t="s">
        <v>386</v>
      </c>
      <c r="M27" s="40">
        <v>100765136</v>
      </c>
      <c r="N27" s="38"/>
      <c r="O27" s="38"/>
      <c r="P27" s="38"/>
      <c r="Q27" s="38"/>
      <c r="R27" s="38"/>
      <c r="S27" s="38"/>
      <c r="T27" s="38"/>
      <c r="U27" s="38"/>
    </row>
    <row r="28" spans="1:21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92">
        <v>1120.03</v>
      </c>
      <c r="G28" s="92">
        <v>8314.91</v>
      </c>
      <c r="H28" s="92">
        <v>161457.31</v>
      </c>
      <c r="I28" s="39"/>
      <c r="J28" s="39"/>
      <c r="K28" s="45">
        <f>VLOOKUP(C28,'[12]DEC. PERIOD.9'!$A$1:$I$128,9,0)</f>
        <v>160337.28</v>
      </c>
      <c r="L28" s="40" t="s">
        <v>374</v>
      </c>
      <c r="M28" s="40">
        <v>100763783</v>
      </c>
      <c r="N28" s="38"/>
      <c r="O28" s="38"/>
      <c r="P28" s="38"/>
      <c r="Q28" s="38"/>
      <c r="R28" s="38"/>
      <c r="S28" s="38"/>
      <c r="T28" s="38"/>
      <c r="U28" s="38"/>
    </row>
    <row r="29" spans="1:21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92">
        <f>3636.68-24.7</f>
        <v>3611.98</v>
      </c>
      <c r="G29" s="92">
        <v>19269.2</v>
      </c>
      <c r="H29" s="92">
        <v>22322.29</v>
      </c>
      <c r="I29" s="39"/>
      <c r="J29" s="39"/>
      <c r="K29" s="45">
        <f>VLOOKUP(C29,'[12]DEC. PERIOD.9'!$A$1:$I$128,9,0)</f>
        <v>18710.31</v>
      </c>
      <c r="L29" s="40" t="s">
        <v>377</v>
      </c>
      <c r="M29" s="40">
        <v>100763211</v>
      </c>
      <c r="N29" s="38"/>
      <c r="O29" s="38"/>
      <c r="P29" s="38"/>
      <c r="Q29" s="38"/>
      <c r="R29" s="38"/>
      <c r="S29" s="38"/>
      <c r="T29" s="38"/>
      <c r="U29" s="38"/>
    </row>
    <row r="30" spans="1:21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92">
        <v>6731.49</v>
      </c>
      <c r="G30" s="92">
        <v>-42843.65</v>
      </c>
      <c r="H30" s="92">
        <v>278367.18</v>
      </c>
      <c r="I30" s="39"/>
      <c r="J30" s="39"/>
      <c r="K30" s="45">
        <f>VLOOKUP(C30,'[12]DEC. PERIOD.9'!$A$1:$I$128,9,0)</f>
        <v>271635.69</v>
      </c>
      <c r="L30" s="40" t="s">
        <v>395</v>
      </c>
      <c r="M30" s="40">
        <v>100767571</v>
      </c>
      <c r="N30" s="38"/>
      <c r="O30" s="38"/>
      <c r="P30" s="38"/>
      <c r="Q30" s="38"/>
      <c r="R30" s="38"/>
      <c r="S30" s="38"/>
      <c r="T30" s="38"/>
      <c r="U30" s="38"/>
    </row>
    <row r="31" spans="1:21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92">
        <v>2273.2</v>
      </c>
      <c r="G31" s="92">
        <v>22680.35</v>
      </c>
      <c r="H31" s="92">
        <v>186953.25</v>
      </c>
      <c r="I31" s="39"/>
      <c r="J31" s="39"/>
      <c r="K31" s="45">
        <f>VLOOKUP(C31,'[12]DEC. PERIOD.9'!$A$1:$I$128,9,0)</f>
        <v>184680.04</v>
      </c>
      <c r="L31" s="40" t="s">
        <v>377</v>
      </c>
      <c r="M31" s="40">
        <v>100762308</v>
      </c>
      <c r="N31" s="38"/>
      <c r="O31" s="38"/>
      <c r="P31" s="38"/>
      <c r="Q31" s="38"/>
      <c r="R31" s="38"/>
      <c r="S31" s="38"/>
      <c r="T31" s="38"/>
      <c r="U31" s="38"/>
    </row>
    <row r="32" spans="1:21" ht="16.5" thickBot="1">
      <c r="A32" s="37">
        <v>3524</v>
      </c>
      <c r="B32" s="37">
        <v>11278</v>
      </c>
      <c r="C32" s="47">
        <v>938590</v>
      </c>
      <c r="D32" s="40" t="s">
        <v>396</v>
      </c>
      <c r="E32" s="39"/>
      <c r="F32" s="92"/>
      <c r="G32" s="92"/>
      <c r="H32" s="92"/>
      <c r="I32" s="39"/>
      <c r="J32" s="39"/>
      <c r="K32" s="45"/>
      <c r="L32" s="40"/>
      <c r="M32" s="40">
        <v>1</v>
      </c>
      <c r="N32" s="38"/>
      <c r="O32" s="38"/>
      <c r="P32" s="38"/>
      <c r="Q32" s="38"/>
      <c r="R32" s="38"/>
      <c r="S32" s="38"/>
      <c r="T32" s="38"/>
      <c r="U32" s="38"/>
    </row>
    <row r="33" spans="1:21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92">
        <v>1195.12</v>
      </c>
      <c r="G33" s="92">
        <v>-24552.95</v>
      </c>
      <c r="H33" s="92">
        <v>246124.53</v>
      </c>
      <c r="I33" s="39"/>
      <c r="J33" s="39"/>
      <c r="K33" s="45">
        <f>VLOOKUP(C33,'[12]DEC. PERIOD.9'!$A$1:$I$128,9,0)</f>
        <v>244929.41</v>
      </c>
      <c r="L33" s="40" t="s">
        <v>383</v>
      </c>
      <c r="M33" s="40">
        <v>100764299</v>
      </c>
      <c r="N33" s="38"/>
      <c r="O33" s="38"/>
      <c r="P33" s="38"/>
      <c r="Q33" s="38"/>
      <c r="R33" s="38"/>
      <c r="S33" s="38"/>
      <c r="T33" s="38"/>
      <c r="U33" s="38"/>
    </row>
    <row r="34" spans="1:21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92">
        <f>1392.01-42.64</f>
        <v>1349.37</v>
      </c>
      <c r="G34" s="92">
        <v>6297.89</v>
      </c>
      <c r="H34" s="92">
        <v>205192.64</v>
      </c>
      <c r="J34" s="39"/>
      <c r="K34" s="45">
        <f>VLOOKUP(C34,'[12]DEC. PERIOD.9'!$A$1:$I$128,9,0)</f>
        <v>203843.27</v>
      </c>
      <c r="L34" s="40" t="s">
        <v>377</v>
      </c>
      <c r="M34" s="40">
        <v>100763152</v>
      </c>
      <c r="N34" s="38"/>
      <c r="O34" s="38"/>
      <c r="P34" s="38"/>
      <c r="Q34" s="38"/>
      <c r="R34" s="38"/>
      <c r="S34" s="38"/>
      <c r="T34" s="38"/>
      <c r="U34" s="38"/>
    </row>
    <row r="35" spans="1:21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92">
        <v>6356.44</v>
      </c>
      <c r="G35" s="92">
        <v>44234.57</v>
      </c>
      <c r="H35" s="92">
        <v>252285.92</v>
      </c>
      <c r="I35" s="39"/>
      <c r="J35" s="39"/>
      <c r="K35" s="45">
        <f>VLOOKUP(C35,'[12]DEC. PERIOD.9'!$A$1:$I$128,9,0)</f>
        <v>245929.48</v>
      </c>
      <c r="L35" s="40" t="s">
        <v>368</v>
      </c>
      <c r="M35" s="40">
        <v>100762339</v>
      </c>
      <c r="N35" s="38"/>
      <c r="O35" s="38"/>
      <c r="P35" s="38"/>
      <c r="Q35" s="38"/>
      <c r="R35" s="38"/>
      <c r="S35" s="38"/>
      <c r="T35" s="38"/>
      <c r="U35" s="38"/>
    </row>
    <row r="36" spans="1:21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92">
        <v>1709.38</v>
      </c>
      <c r="G36" s="92">
        <v>9852.86</v>
      </c>
      <c r="H36" s="92">
        <v>84147.03</v>
      </c>
      <c r="I36" s="39"/>
      <c r="J36" s="39"/>
      <c r="K36" s="45">
        <f>VLOOKUP(C36,'[12]DEC. PERIOD.9'!$A$1:$I$128,9,0)</f>
        <v>82437.65</v>
      </c>
      <c r="L36" s="40" t="s">
        <v>377</v>
      </c>
      <c r="M36" s="40">
        <v>100762744</v>
      </c>
      <c r="N36" s="38"/>
      <c r="O36" s="38"/>
      <c r="P36" s="38"/>
      <c r="Q36" s="38"/>
      <c r="R36" s="38"/>
      <c r="S36" s="38"/>
      <c r="T36" s="38"/>
      <c r="U36" s="38"/>
    </row>
    <row r="37" spans="1:21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92">
        <f>3738.99-21.08</f>
        <v>3717.91</v>
      </c>
      <c r="G37" s="92">
        <v>14118.51</v>
      </c>
      <c r="H37" s="92">
        <v>125538.47</v>
      </c>
      <c r="I37" s="39"/>
      <c r="J37" s="39"/>
      <c r="K37" s="45">
        <f>VLOOKUP(C37,'[12]DEC. PERIOD.9'!$A$1:$I$128,9,0)</f>
        <v>121820.56</v>
      </c>
      <c r="L37" s="40" t="s">
        <v>376</v>
      </c>
      <c r="M37" s="40">
        <v>100762719</v>
      </c>
      <c r="N37" s="38"/>
      <c r="O37" s="38"/>
      <c r="P37" s="38"/>
      <c r="Q37" s="38"/>
      <c r="R37" s="38"/>
      <c r="S37" s="38"/>
      <c r="T37" s="38"/>
      <c r="U37" s="38"/>
    </row>
    <row r="38" spans="1:21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92">
        <v>25.09</v>
      </c>
      <c r="G38" s="92">
        <v>-74027.91</v>
      </c>
      <c r="H38" s="92">
        <v>233957.58</v>
      </c>
      <c r="I38" s="39"/>
      <c r="J38" s="39"/>
      <c r="K38" s="45">
        <f>VLOOKUP(C38,'[12]DEC. PERIOD.9'!$A$1:$I$128,9,0)</f>
        <v>233932.49</v>
      </c>
      <c r="L38" s="40" t="s">
        <v>394</v>
      </c>
      <c r="M38" s="40">
        <v>100766258</v>
      </c>
      <c r="N38" s="38"/>
      <c r="O38" s="38"/>
      <c r="P38" s="38"/>
      <c r="Q38" s="38"/>
      <c r="R38" s="38"/>
      <c r="S38" s="38"/>
      <c r="T38" s="38"/>
      <c r="U38" s="38"/>
    </row>
    <row r="39" spans="1:21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92">
        <v>146.71</v>
      </c>
      <c r="G39" s="92">
        <v>253.47</v>
      </c>
      <c r="H39" s="92">
        <v>113179.68</v>
      </c>
      <c r="I39" s="39"/>
      <c r="J39" s="39"/>
      <c r="K39" s="45">
        <f>VLOOKUP(C39,'[12]DEC. PERIOD.9'!$A$1:$I$128,9,0)</f>
        <v>113032.97</v>
      </c>
      <c r="L39" s="40" t="s">
        <v>374</v>
      </c>
      <c r="M39" s="40">
        <v>100763780</v>
      </c>
      <c r="N39" s="38"/>
      <c r="O39" s="38"/>
      <c r="P39" s="38"/>
      <c r="Q39" s="38"/>
      <c r="R39" s="38"/>
      <c r="S39" s="38"/>
      <c r="T39" s="38"/>
      <c r="U39" s="38"/>
    </row>
    <row r="40" spans="1:21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92">
        <v>1474.67</v>
      </c>
      <c r="G40" s="92">
        <v>-17697.64</v>
      </c>
      <c r="H40" s="92">
        <v>19201.77</v>
      </c>
      <c r="I40" s="39"/>
      <c r="J40" s="92"/>
      <c r="K40" s="45">
        <f>VLOOKUP(C40,'[12]DEC. PERIOD.9'!$A$1:$I$128,9,0)</f>
        <v>17727.1</v>
      </c>
      <c r="L40" s="40" t="s">
        <v>390</v>
      </c>
      <c r="M40" s="40">
        <v>100765450</v>
      </c>
      <c r="N40" s="38"/>
      <c r="O40" s="38"/>
      <c r="P40" s="38"/>
      <c r="Q40" s="38"/>
      <c r="R40" s="38"/>
      <c r="S40" s="38"/>
      <c r="T40" s="38"/>
      <c r="U40" s="38"/>
    </row>
    <row r="41" spans="1:21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92">
        <v>2436.71</v>
      </c>
      <c r="G41" s="92">
        <v>-11605.85</v>
      </c>
      <c r="H41" s="92">
        <v>94369.69</v>
      </c>
      <c r="I41" s="39"/>
      <c r="J41" s="39"/>
      <c r="K41" s="45">
        <f>VLOOKUP(C41,'[12]DEC. PERIOD.9'!$A$1:$I$128,9,0)</f>
        <v>91932.9799999999</v>
      </c>
      <c r="L41" s="40" t="s">
        <v>372</v>
      </c>
      <c r="M41" s="40">
        <v>100763777</v>
      </c>
      <c r="N41" s="38"/>
      <c r="O41" s="38"/>
      <c r="P41" s="38"/>
      <c r="Q41" s="38"/>
      <c r="R41" s="38"/>
      <c r="S41" s="38"/>
      <c r="T41" s="38"/>
      <c r="U41" s="38"/>
    </row>
    <row r="42" spans="1:21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92">
        <v>4083.21</v>
      </c>
      <c r="G42" s="92">
        <v>-289.44</v>
      </c>
      <c r="H42" s="92">
        <v>88545.28</v>
      </c>
      <c r="I42" s="39"/>
      <c r="J42" s="39"/>
      <c r="K42" s="45">
        <f>VLOOKUP(C42,'[12]DEC. PERIOD.9'!$A$1:$I$128,9,0)</f>
        <v>84462.07000000007</v>
      </c>
      <c r="L42" s="40" t="s">
        <v>390</v>
      </c>
      <c r="M42" s="40">
        <v>100765460</v>
      </c>
      <c r="N42" s="38"/>
      <c r="O42" s="38"/>
      <c r="P42" s="38"/>
      <c r="Q42" s="38"/>
      <c r="R42" s="38"/>
      <c r="S42" s="38"/>
      <c r="T42" s="38"/>
      <c r="U42" s="38"/>
    </row>
    <row r="43" spans="1:21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92">
        <v>2391.9</v>
      </c>
      <c r="G43" s="92">
        <v>18849.13</v>
      </c>
      <c r="H43" s="92">
        <v>100094.05</v>
      </c>
      <c r="I43" s="39"/>
      <c r="J43" s="155" t="s">
        <v>345</v>
      </c>
      <c r="K43" s="45">
        <f>VLOOKUP(C43,'[12]DEC. PERIOD.9'!$A$1:$I$128,9,0)</f>
        <v>97702.14999999992</v>
      </c>
      <c r="L43" s="40" t="s">
        <v>368</v>
      </c>
      <c r="M43" s="40">
        <v>1.00762335100767E+17</v>
      </c>
      <c r="N43" s="38"/>
      <c r="O43" s="38"/>
      <c r="P43" s="38"/>
      <c r="Q43" s="38"/>
      <c r="R43" s="38"/>
      <c r="S43" s="38"/>
      <c r="T43" s="38"/>
      <c r="U43" s="38"/>
    </row>
    <row r="44" spans="1:21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92">
        <f>5726.33-23.27</f>
        <v>5703.0599999999995</v>
      </c>
      <c r="G44" s="92">
        <v>44684.33</v>
      </c>
      <c r="H44" s="92">
        <v>340287.69</v>
      </c>
      <c r="I44" s="39"/>
      <c r="J44" s="39"/>
      <c r="K44" s="45">
        <f>VLOOKUP(C44,'[12]DEC. PERIOD.9'!$A$1:$I$128,9,0)</f>
        <v>334584.64</v>
      </c>
      <c r="L44" s="40" t="s">
        <v>380</v>
      </c>
      <c r="M44" s="40">
        <v>100764292</v>
      </c>
      <c r="N44" s="38"/>
      <c r="O44" s="38"/>
      <c r="P44" s="38"/>
      <c r="Q44" s="38"/>
      <c r="R44" s="38"/>
      <c r="S44" s="38"/>
      <c r="T44" s="38"/>
      <c r="U44" s="38"/>
    </row>
    <row r="45" spans="1:21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92">
        <v>3063.29</v>
      </c>
      <c r="G45" s="92">
        <v>20802.87</v>
      </c>
      <c r="H45" s="92">
        <v>23210.23</v>
      </c>
      <c r="I45" s="39"/>
      <c r="J45" s="39"/>
      <c r="K45" s="45">
        <f>VLOOKUP(C45,'[12]DEC. PERIOD.9'!$A$1:$I$128,9,0)</f>
        <v>20146.94</v>
      </c>
      <c r="L45" s="40" t="s">
        <v>391</v>
      </c>
      <c r="M45" s="40">
        <v>100765887</v>
      </c>
      <c r="N45" s="38"/>
      <c r="O45" s="38"/>
      <c r="P45" s="38"/>
      <c r="Q45" s="38"/>
      <c r="R45" s="38"/>
      <c r="S45" s="38"/>
      <c r="T45" s="38"/>
      <c r="U45" s="38"/>
    </row>
    <row r="46" spans="1:21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92">
        <f>2927.52-377.99</f>
        <v>2549.5299999999997</v>
      </c>
      <c r="G46" s="92">
        <v>-7778.29</v>
      </c>
      <c r="H46" s="92">
        <v>206602.15</v>
      </c>
      <c r="I46" s="39"/>
      <c r="J46" s="39"/>
      <c r="K46" s="45">
        <f>VLOOKUP(C46,'[12]DEC. PERIOD.9'!$A$1:$I$128,9,0)</f>
        <v>204052.62</v>
      </c>
      <c r="L46" s="40" t="s">
        <v>391</v>
      </c>
      <c r="M46" s="40">
        <v>100765506</v>
      </c>
      <c r="N46" s="38"/>
      <c r="O46" s="38"/>
      <c r="P46" s="38"/>
      <c r="Q46" s="38"/>
      <c r="R46" s="38"/>
      <c r="S46" s="38"/>
      <c r="T46" s="38"/>
      <c r="U46" s="38"/>
    </row>
    <row r="47" spans="1:21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92">
        <f>2183.02-5.24</f>
        <v>2177.78</v>
      </c>
      <c r="G47" s="92">
        <v>9253.39</v>
      </c>
      <c r="H47" s="92">
        <v>188429.48</v>
      </c>
      <c r="I47" s="39"/>
      <c r="J47" s="39"/>
      <c r="K47" s="45">
        <f>VLOOKUP(C47,'[12]DEC. PERIOD.9'!$A$1:$I$128,9,0)</f>
        <v>186251.7</v>
      </c>
      <c r="L47" s="40" t="s">
        <v>377</v>
      </c>
      <c r="M47" s="40">
        <v>100762745</v>
      </c>
      <c r="N47" s="38"/>
      <c r="O47" s="38"/>
      <c r="P47" s="38"/>
      <c r="Q47" s="38"/>
      <c r="R47" s="38"/>
      <c r="S47" s="38"/>
      <c r="T47" s="38"/>
      <c r="U47" s="38"/>
    </row>
    <row r="48" spans="1:21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92">
        <v>2205.48</v>
      </c>
      <c r="G48" s="92">
        <v>-181540.57</v>
      </c>
      <c r="H48" s="92">
        <v>386743.95</v>
      </c>
      <c r="I48" s="39"/>
      <c r="J48" s="39"/>
      <c r="K48" s="45">
        <f>VLOOKUP(C48,'[12]DEC. PERIOD.9'!$A$1:$I$128,9,0)</f>
        <v>384538.47</v>
      </c>
      <c r="L48" s="40" t="s">
        <v>386</v>
      </c>
      <c r="M48" s="40">
        <v>100765118</v>
      </c>
      <c r="N48" s="38"/>
      <c r="O48" s="38"/>
      <c r="P48" s="38"/>
      <c r="Q48" s="38"/>
      <c r="R48" s="38"/>
      <c r="S48" s="38"/>
      <c r="T48" s="38"/>
      <c r="U48" s="38"/>
    </row>
    <row r="49" spans="1:21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92">
        <f>3478.52-18.82</f>
        <v>3459.7</v>
      </c>
      <c r="G49" s="92">
        <v>-6912.57</v>
      </c>
      <c r="H49" s="92">
        <v>67463.45</v>
      </c>
      <c r="I49" s="39"/>
      <c r="J49" s="39"/>
      <c r="K49" s="45">
        <f>VLOOKUP(C49,'[12]DEC. PERIOD.9'!$A$1:$I$128,9,0)</f>
        <v>64003.749999999935</v>
      </c>
      <c r="L49" s="40" t="s">
        <v>393</v>
      </c>
      <c r="M49" s="40">
        <v>100765927</v>
      </c>
      <c r="N49" s="38"/>
      <c r="O49" s="38"/>
      <c r="P49" s="38"/>
      <c r="Q49" s="38"/>
      <c r="R49" s="38"/>
      <c r="S49" s="38"/>
      <c r="T49" s="38"/>
      <c r="U49" s="38"/>
    </row>
    <row r="50" spans="1:21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92">
        <v>823.71</v>
      </c>
      <c r="G50" s="92">
        <v>-2188.06</v>
      </c>
      <c r="H50" s="92">
        <v>24434.89</v>
      </c>
      <c r="I50" s="39"/>
      <c r="J50" s="39"/>
      <c r="K50" s="45">
        <f>VLOOKUP(C50,'[12]DEC. PERIOD.9'!$A$1:$I$128,9,0)</f>
        <v>23611.18</v>
      </c>
      <c r="L50" s="40" t="s">
        <v>391</v>
      </c>
      <c r="M50" s="40">
        <v>100765894</v>
      </c>
      <c r="N50" s="38"/>
      <c r="O50" s="38"/>
      <c r="P50" s="38"/>
      <c r="Q50" s="38"/>
      <c r="R50" s="38"/>
      <c r="S50" s="38"/>
      <c r="T50" s="38"/>
      <c r="U50" s="38"/>
    </row>
    <row r="51" spans="1:21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92">
        <v>1876.11</v>
      </c>
      <c r="G51" s="92">
        <v>18649.12</v>
      </c>
      <c r="H51" s="92">
        <v>92807.28</v>
      </c>
      <c r="I51" s="39"/>
      <c r="J51" s="39"/>
      <c r="K51" s="45">
        <f>VLOOKUP(C51,'[12]DEC. PERIOD.9'!$A$1:$I$128,9,0)</f>
        <v>90931.17000000016</v>
      </c>
      <c r="L51" s="40" t="s">
        <v>391</v>
      </c>
      <c r="M51" s="40">
        <v>100765877</v>
      </c>
      <c r="N51" s="38"/>
      <c r="O51" s="38"/>
      <c r="P51" s="38"/>
      <c r="Q51" s="38"/>
      <c r="R51" s="38"/>
      <c r="S51" s="38"/>
      <c r="T51" s="38"/>
      <c r="U51" s="38"/>
    </row>
    <row r="52" spans="1:21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92">
        <v>971.5</v>
      </c>
      <c r="G52" s="92">
        <v>3205.21</v>
      </c>
      <c r="H52" s="92">
        <v>51821.17</v>
      </c>
      <c r="I52" s="39"/>
      <c r="J52" s="39"/>
      <c r="K52" s="45">
        <f>VLOOKUP(C52,'[12]DEC. PERIOD.9'!$A$1:$I$128,9,0)</f>
        <v>50849.67</v>
      </c>
      <c r="L52" s="40" t="s">
        <v>380</v>
      </c>
      <c r="M52" s="40">
        <v>100764290</v>
      </c>
      <c r="N52" s="38"/>
      <c r="O52" s="38"/>
      <c r="P52" s="38"/>
      <c r="Q52" s="38"/>
      <c r="R52" s="38"/>
      <c r="S52" s="38"/>
      <c r="T52" s="38"/>
      <c r="U52" s="38"/>
    </row>
    <row r="53" spans="1:21" ht="16.5" thickBot="1">
      <c r="A53" s="37">
        <v>2042</v>
      </c>
      <c r="B53" s="37">
        <v>10079</v>
      </c>
      <c r="C53" s="47">
        <v>938180</v>
      </c>
      <c r="D53" s="40" t="s">
        <v>63</v>
      </c>
      <c r="E53" s="39"/>
      <c r="F53" s="92">
        <v>180.21</v>
      </c>
      <c r="G53" s="92">
        <v>-383.58</v>
      </c>
      <c r="H53" s="92">
        <v>172447.08</v>
      </c>
      <c r="I53" s="39"/>
      <c r="J53" s="39"/>
      <c r="K53" s="45">
        <f>VLOOKUP(C53,'[12]DEC. PERIOD.9'!$A$1:$I$128,9,0)</f>
        <v>172266.87</v>
      </c>
      <c r="L53" s="40" t="s">
        <v>376</v>
      </c>
      <c r="M53" s="40">
        <v>100762721</v>
      </c>
      <c r="N53" s="38"/>
      <c r="O53" s="38"/>
      <c r="P53" s="38"/>
      <c r="Q53" s="38"/>
      <c r="R53" s="38"/>
      <c r="S53" s="38"/>
      <c r="T53" s="38"/>
      <c r="U53" s="38"/>
    </row>
    <row r="54" spans="1:21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92">
        <v>602.38</v>
      </c>
      <c r="G54" s="92">
        <v>4926.92</v>
      </c>
      <c r="H54" s="92">
        <v>109219.46</v>
      </c>
      <c r="I54" s="39"/>
      <c r="J54" s="39"/>
      <c r="K54" s="45">
        <f>VLOOKUP(C54,'[12]DEC. PERIOD.9'!$A$1:$I$128,9,0)</f>
        <v>108617.08</v>
      </c>
      <c r="L54" s="40" t="s">
        <v>380</v>
      </c>
      <c r="M54" s="40">
        <v>100763811</v>
      </c>
      <c r="N54" s="38"/>
      <c r="O54" s="38"/>
      <c r="P54" s="38"/>
      <c r="Q54" s="38"/>
      <c r="R54" s="38"/>
      <c r="S54" s="38"/>
      <c r="T54" s="38"/>
      <c r="U54" s="38"/>
    </row>
    <row r="55" spans="1:21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92">
        <v>4611.16</v>
      </c>
      <c r="G55" s="92">
        <v>27408.81</v>
      </c>
      <c r="H55" s="92">
        <v>116083.51</v>
      </c>
      <c r="I55" s="39"/>
      <c r="J55" s="39"/>
      <c r="K55" s="45">
        <f>VLOOKUP(C55,'[12]DEC. PERIOD.9'!$A$1:$I$128,9,0)</f>
        <v>111472.35</v>
      </c>
      <c r="L55" s="40" t="s">
        <v>376</v>
      </c>
      <c r="M55" s="40" t="s">
        <v>378</v>
      </c>
      <c r="N55" s="38"/>
      <c r="O55" s="38"/>
      <c r="P55" s="38"/>
      <c r="Q55" s="38"/>
      <c r="R55" s="38"/>
      <c r="S55" s="38"/>
      <c r="T55" s="38"/>
      <c r="U55" s="38"/>
    </row>
    <row r="56" spans="1:21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92">
        <v>1065.13</v>
      </c>
      <c r="G56" s="92">
        <v>9239.64</v>
      </c>
      <c r="H56" s="92">
        <v>188543.94</v>
      </c>
      <c r="I56" s="39"/>
      <c r="J56" s="39"/>
      <c r="K56" s="45">
        <f>VLOOKUP(C56,'[12]DEC. PERIOD.9'!$A$1:$I$128,9,0)</f>
        <v>187478.81</v>
      </c>
      <c r="L56" s="40" t="s">
        <v>362</v>
      </c>
      <c r="M56" s="40">
        <v>100761427</v>
      </c>
      <c r="N56" s="38"/>
      <c r="O56" s="38"/>
      <c r="P56" s="38"/>
      <c r="Q56" s="38"/>
      <c r="R56" s="38"/>
      <c r="S56" s="38"/>
      <c r="T56" s="38"/>
      <c r="U56" s="38"/>
    </row>
    <row r="57" spans="1:21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92">
        <f>2074.59-13.9</f>
        <v>2060.69</v>
      </c>
      <c r="G57" s="92">
        <v>-63760.03</v>
      </c>
      <c r="H57" s="92">
        <v>192118.1</v>
      </c>
      <c r="I57" s="39"/>
      <c r="J57" s="39"/>
      <c r="K57" s="45">
        <f>VLOOKUP(C57,'[12]DEC. PERIOD.9'!$A$1:$I$128,9,0)</f>
        <v>190057.41</v>
      </c>
      <c r="L57" s="40" t="s">
        <v>368</v>
      </c>
      <c r="M57" s="40">
        <v>100762337</v>
      </c>
      <c r="N57" s="38"/>
      <c r="O57" s="38"/>
      <c r="P57" s="38"/>
      <c r="Q57" s="38"/>
      <c r="R57" s="38"/>
      <c r="S57" s="38"/>
      <c r="T57" s="38"/>
      <c r="U57" s="38"/>
    </row>
    <row r="58" spans="1:21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92">
        <f>3113.79-29.79</f>
        <v>3084</v>
      </c>
      <c r="G58" s="92">
        <v>2341.16</v>
      </c>
      <c r="H58" s="92">
        <v>136356.71</v>
      </c>
      <c r="I58" s="39"/>
      <c r="J58" s="39"/>
      <c r="K58" s="45">
        <f>VLOOKUP(C58,'[12]DEC. PERIOD.9'!$A$1:$I$128,9,0)</f>
        <v>133272.71</v>
      </c>
      <c r="L58" s="40" t="s">
        <v>391</v>
      </c>
      <c r="M58" s="40">
        <v>100765874</v>
      </c>
      <c r="N58" s="38"/>
      <c r="O58" s="38"/>
      <c r="P58" s="38"/>
      <c r="Q58" s="38"/>
      <c r="R58" s="38"/>
      <c r="S58" s="38"/>
      <c r="T58" s="38"/>
      <c r="U58" s="38"/>
    </row>
    <row r="59" spans="1:21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92">
        <v>1005.28</v>
      </c>
      <c r="G59" s="92">
        <v>11917.46</v>
      </c>
      <c r="H59" s="92">
        <v>117471.84</v>
      </c>
      <c r="I59" s="39"/>
      <c r="J59" s="39"/>
      <c r="K59" s="45">
        <f>VLOOKUP(C59,'[12]DEC. PERIOD.9'!$A$1:$I$128,9,0)</f>
        <v>116466.56</v>
      </c>
      <c r="L59" s="40" t="s">
        <v>372</v>
      </c>
      <c r="M59" s="40">
        <v>100763772</v>
      </c>
      <c r="N59" s="38"/>
      <c r="O59" s="38"/>
      <c r="P59" s="38"/>
      <c r="Q59" s="38"/>
      <c r="R59" s="38"/>
      <c r="S59" s="38"/>
      <c r="T59" s="38"/>
      <c r="U59" s="38"/>
    </row>
    <row r="60" spans="1:21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92">
        <v>2544.62</v>
      </c>
      <c r="G60" s="92">
        <v>-10802.94</v>
      </c>
      <c r="H60" s="92">
        <v>13783.64</v>
      </c>
      <c r="I60" s="39"/>
      <c r="J60" s="39"/>
      <c r="K60" s="45">
        <f>VLOOKUP(C60,'[12]DEC. PERIOD.9'!$A$1:$I$128,9,0)</f>
        <v>11239.82</v>
      </c>
      <c r="L60" s="40" t="s">
        <v>391</v>
      </c>
      <c r="M60" s="40">
        <v>100765900</v>
      </c>
      <c r="N60" s="38"/>
      <c r="O60" s="38"/>
      <c r="P60" s="38"/>
      <c r="Q60" s="38"/>
      <c r="R60" s="38"/>
      <c r="S60" s="38"/>
      <c r="T60" s="38"/>
      <c r="U60" s="38"/>
    </row>
    <row r="61" spans="1:21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92">
        <f>8072.3-12.47</f>
        <v>8059.83</v>
      </c>
      <c r="G61" s="92">
        <v>-36171.08</v>
      </c>
      <c r="H61" s="92">
        <v>52719.78</v>
      </c>
      <c r="I61" s="39"/>
      <c r="J61" s="39"/>
      <c r="K61" s="45">
        <f>VLOOKUP(C61,'[12]DEC. PERIOD.9'!$A$1:$I$128,9,0)</f>
        <v>44659.95000000006</v>
      </c>
      <c r="L61" s="40" t="s">
        <v>372</v>
      </c>
      <c r="M61" s="40">
        <v>100763736</v>
      </c>
      <c r="N61" s="38"/>
      <c r="O61" s="38"/>
      <c r="P61" s="38"/>
      <c r="Q61" s="38"/>
      <c r="R61" s="38"/>
      <c r="S61" s="38"/>
      <c r="T61" s="38"/>
      <c r="U61" s="38"/>
    </row>
    <row r="62" spans="1:21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92">
        <f>2634.56-23.55</f>
        <v>2611.0099999999998</v>
      </c>
      <c r="G62" s="92">
        <v>-29194.47</v>
      </c>
      <c r="H62" s="92">
        <v>98274.4</v>
      </c>
      <c r="I62" s="39"/>
      <c r="J62" s="39"/>
      <c r="K62" s="45">
        <f>VLOOKUP(C62,'[12]DEC. PERIOD.9'!$A$1:$I$128,9,0)</f>
        <v>95663.39</v>
      </c>
      <c r="L62" s="40" t="s">
        <v>390</v>
      </c>
      <c r="M62" s="40">
        <v>100765494</v>
      </c>
      <c r="N62" s="38"/>
      <c r="O62" s="38"/>
      <c r="P62" s="38"/>
      <c r="Q62" s="38"/>
      <c r="R62" s="38"/>
      <c r="S62" s="38"/>
      <c r="T62" s="38"/>
      <c r="U62" s="38"/>
    </row>
    <row r="63" spans="1:21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92">
        <v>781.57</v>
      </c>
      <c r="G63" s="92">
        <v>5276.72</v>
      </c>
      <c r="H63" s="92">
        <v>232641.5</v>
      </c>
      <c r="I63" s="39"/>
      <c r="J63" s="39"/>
      <c r="K63" s="45">
        <f>VLOOKUP(C63,'[12]DEC. PERIOD.9'!$A$1:$I$128,9,0)</f>
        <v>231859.93</v>
      </c>
      <c r="L63" s="40" t="s">
        <v>376</v>
      </c>
      <c r="M63" s="40">
        <v>100762732</v>
      </c>
      <c r="N63" s="38"/>
      <c r="O63" s="38"/>
      <c r="P63" s="38"/>
      <c r="Q63" s="38"/>
      <c r="R63" s="38"/>
      <c r="S63" s="38"/>
      <c r="T63" s="38"/>
      <c r="U63" s="38"/>
    </row>
    <row r="64" spans="1:21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92">
        <v>131.51</v>
      </c>
      <c r="G64" s="92">
        <v>1755.99</v>
      </c>
      <c r="H64" s="92">
        <v>219313.4</v>
      </c>
      <c r="I64" s="39"/>
      <c r="J64" s="39"/>
      <c r="K64" s="45">
        <f>VLOOKUP(C64,'[12]DEC. PERIOD.9'!$A$1:$I$128,9,0)</f>
        <v>219181.89</v>
      </c>
      <c r="L64" s="40" t="s">
        <v>365</v>
      </c>
      <c r="M64" s="40">
        <v>100762302</v>
      </c>
      <c r="N64" s="38"/>
      <c r="O64" s="38"/>
      <c r="P64" s="38"/>
      <c r="Q64" s="38"/>
      <c r="R64" s="38"/>
      <c r="S64" s="38"/>
      <c r="T64" s="38"/>
      <c r="U64" s="38"/>
    </row>
    <row r="65" spans="1:21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92">
        <f>1805.43-2.78</f>
        <v>1802.65</v>
      </c>
      <c r="G65" s="92">
        <v>5926.55</v>
      </c>
      <c r="H65" s="92">
        <v>194435.91</v>
      </c>
      <c r="I65" s="39"/>
      <c r="J65" s="39"/>
      <c r="K65" s="45">
        <f>VLOOKUP(C65,'[12]DEC. PERIOD.9'!$A$1:$I$128,9,0)</f>
        <v>192633.26</v>
      </c>
      <c r="L65" s="40" t="s">
        <v>377</v>
      </c>
      <c r="M65" s="40">
        <v>100763145</v>
      </c>
      <c r="N65" s="38"/>
      <c r="O65" s="38"/>
      <c r="P65" s="38"/>
      <c r="Q65" s="38"/>
      <c r="R65" s="38"/>
      <c r="S65" s="38"/>
      <c r="T65" s="38"/>
      <c r="U65" s="38"/>
    </row>
    <row r="66" spans="1:21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92">
        <v>912.76</v>
      </c>
      <c r="G66" s="92">
        <v>10716.44</v>
      </c>
      <c r="H66" s="92">
        <v>192495.42</v>
      </c>
      <c r="I66" s="39"/>
      <c r="J66" s="39"/>
      <c r="K66" s="45">
        <f>VLOOKUP(C66,'[12]DEC. PERIOD.9'!$A$1:$I$128,9,0)</f>
        <v>191582.66</v>
      </c>
      <c r="L66" s="40" t="s">
        <v>376</v>
      </c>
      <c r="M66" s="40">
        <v>100762717</v>
      </c>
      <c r="N66" s="38"/>
      <c r="O66" s="38"/>
      <c r="P66" s="38"/>
      <c r="Q66" s="38"/>
      <c r="R66" s="38"/>
      <c r="S66" s="38"/>
      <c r="T66" s="38"/>
      <c r="U66" s="38"/>
    </row>
    <row r="67" spans="1:21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92">
        <v>1744.85</v>
      </c>
      <c r="G67" s="92">
        <v>15742.86</v>
      </c>
      <c r="H67" s="92">
        <v>43982.17</v>
      </c>
      <c r="I67" s="39"/>
      <c r="J67" s="39"/>
      <c r="K67" s="45">
        <f>VLOOKUP(C67,'[12]DEC. PERIOD.9'!$A$1:$I$128,9,0)</f>
        <v>42237.32</v>
      </c>
      <c r="L67" s="40" t="s">
        <v>372</v>
      </c>
      <c r="M67" s="40">
        <v>100763769</v>
      </c>
      <c r="N67" s="38"/>
      <c r="O67" s="38"/>
      <c r="P67" s="38"/>
      <c r="Q67" s="38"/>
      <c r="R67" s="38"/>
      <c r="S67" s="38"/>
      <c r="T67" s="38"/>
      <c r="U67" s="38"/>
    </row>
    <row r="68" spans="1:21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92">
        <f>1651.56-2.26</f>
        <v>1649.3</v>
      </c>
      <c r="G68" s="92">
        <v>4272.08</v>
      </c>
      <c r="H68" s="92">
        <v>172305.45</v>
      </c>
      <c r="I68" s="39"/>
      <c r="J68" s="39"/>
      <c r="K68" s="45">
        <f>VLOOKUP(C68,'[12]DEC. PERIOD.9'!$A$1:$I$128,9,0)</f>
        <v>170656.15</v>
      </c>
      <c r="L68" s="40" t="s">
        <v>381</v>
      </c>
      <c r="M68" s="40">
        <v>100764294</v>
      </c>
      <c r="N68" s="38"/>
      <c r="O68" s="60"/>
      <c r="P68" s="38"/>
      <c r="Q68" s="38"/>
      <c r="R68" s="38"/>
      <c r="S68" s="38"/>
      <c r="T68" s="38"/>
      <c r="U68" s="38"/>
    </row>
    <row r="69" spans="1:21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92">
        <v>1269.3</v>
      </c>
      <c r="G69" s="92">
        <v>12221.04</v>
      </c>
      <c r="H69" s="92">
        <v>133082.18</v>
      </c>
      <c r="I69" s="39"/>
      <c r="J69" s="39"/>
      <c r="K69" s="45">
        <f>VLOOKUP(C69,'[12]DEC. PERIOD.9'!$A$1:$I$128,9,0)</f>
        <v>131812.88</v>
      </c>
      <c r="L69" s="40" t="s">
        <v>372</v>
      </c>
      <c r="M69" s="40">
        <v>100763732</v>
      </c>
      <c r="N69" s="38"/>
      <c r="O69" s="38"/>
      <c r="P69" s="38"/>
      <c r="Q69" s="38"/>
      <c r="R69" s="38"/>
      <c r="S69" s="38"/>
      <c r="T69" s="38"/>
      <c r="U69" s="38"/>
    </row>
    <row r="70" spans="1:21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92">
        <v>730.71</v>
      </c>
      <c r="G70" s="92">
        <v>4577.89</v>
      </c>
      <c r="H70" s="92">
        <v>173214.34</v>
      </c>
      <c r="I70" s="39"/>
      <c r="J70" s="39"/>
      <c r="K70" s="45">
        <f>VLOOKUP(C70,'[12]DEC. PERIOD.9'!$A$1:$I$128,9,0)</f>
        <v>172483.63</v>
      </c>
      <c r="L70" s="40" t="s">
        <v>372</v>
      </c>
      <c r="M70" s="40">
        <v>100763771</v>
      </c>
      <c r="N70" s="38"/>
      <c r="O70" s="38"/>
      <c r="P70" s="38"/>
      <c r="Q70" s="38"/>
      <c r="R70" s="38"/>
      <c r="S70" s="38"/>
      <c r="T70" s="38"/>
      <c r="U70" s="38"/>
    </row>
    <row r="71" spans="1:21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87">
        <f>887.1-26.91</f>
        <v>860.19</v>
      </c>
      <c r="G71" s="92">
        <v>2753.03</v>
      </c>
      <c r="H71" s="92">
        <v>37921.56</v>
      </c>
      <c r="I71" s="39"/>
      <c r="J71" s="39"/>
      <c r="K71" s="45">
        <f>VLOOKUP(C71,'[12]DEC. PERIOD.9'!$A$1:$I$128,9,0)</f>
        <v>37061.37</v>
      </c>
      <c r="L71" s="40" t="s">
        <v>382</v>
      </c>
      <c r="M71" s="40">
        <v>100764296</v>
      </c>
      <c r="N71" s="38"/>
      <c r="O71" s="38"/>
      <c r="P71" s="38"/>
      <c r="Q71" s="38"/>
      <c r="R71" s="38"/>
      <c r="S71" s="38"/>
      <c r="T71" s="38"/>
      <c r="U71" s="38"/>
    </row>
    <row r="72" spans="1:21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92">
        <v>427.46</v>
      </c>
      <c r="G72" s="92">
        <v>-4276.04</v>
      </c>
      <c r="H72" s="92">
        <v>102051.81</v>
      </c>
      <c r="I72" s="39"/>
      <c r="J72" s="40"/>
      <c r="K72" s="45">
        <f>VLOOKUP(C72,'[12]DEC. PERIOD.9'!$A$1:$I$128,9,0)</f>
        <v>101624.35</v>
      </c>
      <c r="L72" s="40" t="s">
        <v>376</v>
      </c>
      <c r="M72" s="40">
        <v>100762723</v>
      </c>
      <c r="N72" s="38"/>
      <c r="O72" s="38"/>
      <c r="P72" s="38"/>
      <c r="Q72" s="38"/>
      <c r="R72" s="38"/>
      <c r="S72" s="38"/>
      <c r="T72" s="38"/>
      <c r="U72" s="38"/>
    </row>
    <row r="73" spans="1:21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92">
        <v>1034.67</v>
      </c>
      <c r="G73" s="92">
        <v>4259.93</v>
      </c>
      <c r="H73" s="92">
        <v>138816.37</v>
      </c>
      <c r="I73" s="39"/>
      <c r="J73" s="39"/>
      <c r="K73" s="45">
        <f>VLOOKUP(C73,'[12]DEC. PERIOD.9'!$A$1:$I$128,9,0)</f>
        <v>137781.7</v>
      </c>
      <c r="L73" s="40" t="s">
        <v>369</v>
      </c>
      <c r="M73" s="40">
        <v>100762713</v>
      </c>
      <c r="N73" s="38"/>
      <c r="O73" s="38"/>
      <c r="P73" s="38"/>
      <c r="Q73" s="38"/>
      <c r="R73" s="38"/>
      <c r="S73" s="38"/>
      <c r="T73" s="38"/>
      <c r="U73" s="38"/>
    </row>
    <row r="74" spans="1:21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92">
        <v>1448.47</v>
      </c>
      <c r="G74" s="92">
        <v>6948.7</v>
      </c>
      <c r="H74" s="92">
        <v>179368.74</v>
      </c>
      <c r="I74" s="39"/>
      <c r="J74" s="39"/>
      <c r="K74" s="45">
        <f>VLOOKUP(C74,'[12]DEC. PERIOD.9'!$A$1:$I$128,9,0)</f>
        <v>177920.27</v>
      </c>
      <c r="L74" s="40" t="s">
        <v>376</v>
      </c>
      <c r="M74" s="40">
        <v>100762736</v>
      </c>
      <c r="N74" s="38"/>
      <c r="O74" s="38"/>
      <c r="P74" s="38"/>
      <c r="Q74" s="38"/>
      <c r="R74" s="38"/>
      <c r="S74" s="38"/>
      <c r="T74" s="38"/>
      <c r="U74" s="38"/>
    </row>
    <row r="75" spans="1:21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92">
        <v>2633.5</v>
      </c>
      <c r="G75" s="92">
        <v>17186.51</v>
      </c>
      <c r="H75" s="92">
        <v>161340.1</v>
      </c>
      <c r="I75" s="39"/>
      <c r="J75" s="39"/>
      <c r="K75" s="45">
        <f>VLOOKUP(C75,'[12]DEC. PERIOD.9'!$A$1:$I$128,9,0)</f>
        <v>158706.6</v>
      </c>
      <c r="L75" s="40" t="s">
        <v>376</v>
      </c>
      <c r="M75" s="40">
        <v>100762724</v>
      </c>
      <c r="N75" s="38"/>
      <c r="O75" s="38"/>
      <c r="P75" s="38"/>
      <c r="Q75" s="38"/>
      <c r="R75" s="38"/>
      <c r="S75" s="38"/>
      <c r="T75" s="38"/>
      <c r="U75" s="38"/>
    </row>
    <row r="76" spans="1:21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92">
        <v>760.26</v>
      </c>
      <c r="G76" s="92">
        <v>6475.23</v>
      </c>
      <c r="H76" s="92">
        <v>126993.3</v>
      </c>
      <c r="I76" s="39"/>
      <c r="J76" s="39"/>
      <c r="K76" s="45">
        <f>VLOOKUP(C76,'[12]DEC. PERIOD.9'!$A$1:$I$128,9,0)</f>
        <v>126233.04</v>
      </c>
      <c r="L76" s="40" t="s">
        <v>368</v>
      </c>
      <c r="M76" s="40" t="s">
        <v>375</v>
      </c>
      <c r="N76" s="38"/>
      <c r="O76" s="38"/>
      <c r="P76" s="38"/>
      <c r="Q76" s="38"/>
      <c r="R76" s="38"/>
      <c r="S76" s="38"/>
      <c r="T76" s="38"/>
      <c r="U76" s="38"/>
    </row>
    <row r="77" spans="1:21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92">
        <v>386.46</v>
      </c>
      <c r="G77" s="92">
        <v>63606.82</v>
      </c>
      <c r="H77" s="92">
        <v>105414.06</v>
      </c>
      <c r="I77" s="39"/>
      <c r="J77" s="39"/>
      <c r="K77" s="45">
        <f>VLOOKUP(C77,'[12]DEC. PERIOD.9'!$A$1:$I$128,9,0)</f>
        <v>105027.6</v>
      </c>
      <c r="L77" s="40" t="s">
        <v>368</v>
      </c>
      <c r="M77" s="40">
        <v>100762328</v>
      </c>
      <c r="N77" s="38"/>
      <c r="O77" s="38"/>
      <c r="P77" s="38"/>
      <c r="Q77" s="38"/>
      <c r="R77" s="38"/>
      <c r="S77" s="38"/>
      <c r="T77" s="38"/>
      <c r="U77" s="38"/>
    </row>
    <row r="78" spans="1:21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92">
        <v>278.11</v>
      </c>
      <c r="G78" s="92">
        <v>4074.02</v>
      </c>
      <c r="H78" s="92">
        <v>83384.46</v>
      </c>
      <c r="I78" s="39"/>
      <c r="J78" s="39"/>
      <c r="K78" s="45">
        <f>VLOOKUP(C78,'[12]DEC. PERIOD.9'!$A$1:$I$128,9,0)</f>
        <v>83106.35000000011</v>
      </c>
      <c r="L78" s="40" t="s">
        <v>369</v>
      </c>
      <c r="M78" s="40">
        <v>100762714</v>
      </c>
      <c r="N78" s="38"/>
      <c r="O78" s="38"/>
      <c r="P78" s="38"/>
      <c r="Q78" s="38"/>
      <c r="R78" s="38"/>
      <c r="S78" s="38"/>
      <c r="T78" s="38"/>
      <c r="U78" s="38"/>
    </row>
    <row r="79" spans="1:21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92">
        <f>2560.21-8.24</f>
        <v>2551.9700000000003</v>
      </c>
      <c r="G79" s="92">
        <v>-3322.71</v>
      </c>
      <c r="H79" s="92">
        <v>82613.02</v>
      </c>
      <c r="I79" s="39"/>
      <c r="J79" s="39"/>
      <c r="K79" s="45">
        <f>VLOOKUP(C79,'[12]DEC. PERIOD.9'!$A$1:$I$128,9,0)</f>
        <v>80061.05000000008</v>
      </c>
      <c r="L79" s="40" t="s">
        <v>372</v>
      </c>
      <c r="M79" s="40">
        <v>100763730</v>
      </c>
      <c r="N79" s="38"/>
      <c r="O79" s="38"/>
      <c r="P79" s="38"/>
      <c r="Q79" s="38"/>
      <c r="R79" s="38"/>
      <c r="S79" s="38"/>
      <c r="T79" s="38"/>
      <c r="U79" s="38"/>
    </row>
    <row r="80" spans="1:21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92">
        <f>4440.43-21.61</f>
        <v>4418.820000000001</v>
      </c>
      <c r="G80" s="92">
        <v>-53449.92</v>
      </c>
      <c r="H80" s="92">
        <v>347296.1</v>
      </c>
      <c r="I80" s="39"/>
      <c r="J80" s="39"/>
      <c r="K80" s="45">
        <f>VLOOKUP(C80,'[12]DEC. PERIOD.9'!$A$1:$I$128,9,0)</f>
        <v>342877.28</v>
      </c>
      <c r="L80" s="40" t="s">
        <v>386</v>
      </c>
      <c r="M80" s="40">
        <v>100765135</v>
      </c>
      <c r="N80" s="38"/>
      <c r="O80" s="38"/>
      <c r="P80" s="38"/>
      <c r="Q80" s="38"/>
      <c r="R80" s="38"/>
      <c r="S80" s="38"/>
      <c r="T80" s="38"/>
      <c r="U80" s="38"/>
    </row>
    <row r="81" spans="1:21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92">
        <f>1221.86-13.14</f>
        <v>1208.7199999999998</v>
      </c>
      <c r="G81" s="92">
        <v>-23198.57</v>
      </c>
      <c r="H81" s="92">
        <v>155540.96</v>
      </c>
      <c r="I81" s="39"/>
      <c r="J81" s="39"/>
      <c r="K81" s="45">
        <f>VLOOKUP(C81,'[12]DEC. PERIOD.9'!$A$1:$I$128,9,0)</f>
        <v>154332.24</v>
      </c>
      <c r="L81" s="40" t="s">
        <v>391</v>
      </c>
      <c r="M81" s="40" t="s">
        <v>392</v>
      </c>
      <c r="N81" s="38"/>
      <c r="O81" s="38"/>
      <c r="P81" s="38"/>
      <c r="Q81" s="38"/>
      <c r="R81" s="38"/>
      <c r="S81" s="38"/>
      <c r="T81" s="38"/>
      <c r="U81" s="38"/>
    </row>
    <row r="82" spans="1:21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92">
        <f>429.66-4.27</f>
        <v>425.39000000000004</v>
      </c>
      <c r="G82" s="92">
        <v>3019.84</v>
      </c>
      <c r="H82" s="92">
        <v>60629.31</v>
      </c>
      <c r="I82" s="39"/>
      <c r="J82" s="39"/>
      <c r="K82" s="45">
        <f>VLOOKUP(C82,'[12]DEC. PERIOD.9'!$A$1:$I$128,9,0)</f>
        <v>60203.91999999994</v>
      </c>
      <c r="L82" s="40" t="s">
        <v>367</v>
      </c>
      <c r="M82" s="40">
        <v>100762318</v>
      </c>
      <c r="N82" s="38"/>
      <c r="O82" s="38"/>
      <c r="P82" s="38"/>
      <c r="Q82" s="38"/>
      <c r="R82" s="38"/>
      <c r="S82" s="38"/>
      <c r="T82" s="38"/>
      <c r="U82" s="38"/>
    </row>
    <row r="83" spans="1:21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92">
        <f>1704.66-26.65</f>
        <v>1678.01</v>
      </c>
      <c r="G83" s="92">
        <v>-10944.61</v>
      </c>
      <c r="H83" s="92">
        <v>100422.9</v>
      </c>
      <c r="I83" s="39"/>
      <c r="J83" s="39"/>
      <c r="K83" s="45">
        <f>VLOOKUP(C83,'[12]DEC. PERIOD.9'!$A$1:$I$128,9,0)</f>
        <v>98744.89000000006</v>
      </c>
      <c r="L83" s="40" t="s">
        <v>372</v>
      </c>
      <c r="M83" s="40">
        <v>100763775</v>
      </c>
      <c r="N83" s="38"/>
      <c r="O83" s="38"/>
      <c r="P83" s="38"/>
      <c r="Q83" s="38"/>
      <c r="R83" s="38"/>
      <c r="S83" s="38"/>
      <c r="T83" s="38"/>
      <c r="U83" s="38"/>
    </row>
    <row r="84" spans="1:21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92">
        <v>4553.52</v>
      </c>
      <c r="G84" s="92">
        <v>-97672.75</v>
      </c>
      <c r="H84" s="92">
        <v>181326.64</v>
      </c>
      <c r="I84" s="39"/>
      <c r="J84" s="39"/>
      <c r="K84" s="45">
        <f>VLOOKUP(C84,'[12]DEC. PERIOD.9'!$A$1:$I$128,9,0)</f>
        <v>176773.12</v>
      </c>
      <c r="L84" s="40" t="s">
        <v>380</v>
      </c>
      <c r="M84" s="40">
        <v>100763806</v>
      </c>
      <c r="N84" s="38"/>
      <c r="O84" s="38"/>
      <c r="P84" s="38"/>
      <c r="Q84" s="38"/>
      <c r="R84" s="38"/>
      <c r="S84" s="38"/>
      <c r="T84" s="38"/>
      <c r="U84" s="38"/>
    </row>
    <row r="85" spans="1:21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92">
        <v>613.44</v>
      </c>
      <c r="G85" s="92">
        <v>-13596.43</v>
      </c>
      <c r="H85" s="92">
        <v>170896.14</v>
      </c>
      <c r="I85" s="39"/>
      <c r="J85" s="39"/>
      <c r="K85" s="45">
        <f>VLOOKUP(C85,'[12]DEC. PERIOD.9'!$A$1:$I$128,9,0)</f>
        <v>170282.7</v>
      </c>
      <c r="L85" s="40" t="s">
        <v>380</v>
      </c>
      <c r="M85" s="40">
        <v>100763788</v>
      </c>
      <c r="N85" s="38"/>
      <c r="O85" s="38"/>
      <c r="P85" s="38"/>
      <c r="Q85" s="38"/>
      <c r="R85" s="38"/>
      <c r="S85" s="38"/>
      <c r="T85" s="38"/>
      <c r="U85" s="38"/>
    </row>
    <row r="86" spans="1:21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92">
        <f>4539.05-15.18</f>
        <v>4523.87</v>
      </c>
      <c r="G86" s="92">
        <v>29315.31</v>
      </c>
      <c r="H86" s="92">
        <v>287684.33</v>
      </c>
      <c r="I86" s="39"/>
      <c r="J86" s="39"/>
      <c r="K86" s="45">
        <f>VLOOKUP(C86,'[12]DEC. PERIOD.9'!$A$1:$I$128,9,0)</f>
        <v>283160.46</v>
      </c>
      <c r="L86" s="40" t="s">
        <v>372</v>
      </c>
      <c r="M86" s="40">
        <v>100763742</v>
      </c>
      <c r="N86" s="38"/>
      <c r="O86" s="38"/>
      <c r="P86" s="38"/>
      <c r="Q86" s="38"/>
      <c r="R86" s="38"/>
      <c r="S86" s="38"/>
      <c r="T86" s="38"/>
      <c r="U86" s="38"/>
    </row>
    <row r="87" spans="1:21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92">
        <f>707.7-2.75</f>
        <v>704.95</v>
      </c>
      <c r="G87" s="92">
        <v>8416.75</v>
      </c>
      <c r="H87" s="92">
        <v>395066.26</v>
      </c>
      <c r="I87" s="39"/>
      <c r="J87" s="39"/>
      <c r="K87" s="45">
        <f>VLOOKUP(C87,'[12]DEC. PERIOD.9'!$A$1:$I$128,9,0)</f>
        <v>394361.31</v>
      </c>
      <c r="L87" s="40" t="s">
        <v>368</v>
      </c>
      <c r="M87" s="40">
        <v>100762321</v>
      </c>
      <c r="N87" s="38"/>
      <c r="O87" s="38"/>
      <c r="P87" s="38"/>
      <c r="Q87" s="38"/>
      <c r="R87" s="38"/>
      <c r="S87" s="38"/>
      <c r="T87" s="38"/>
      <c r="U87" s="38"/>
    </row>
    <row r="88" spans="1:21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92">
        <f>2399.36-8.05</f>
        <v>2391.31</v>
      </c>
      <c r="G88" s="92">
        <v>18347.74</v>
      </c>
      <c r="H88" s="92">
        <v>179690</v>
      </c>
      <c r="I88" s="39"/>
      <c r="J88" s="40"/>
      <c r="K88" s="45">
        <f>VLOOKUP(C88,'[12]DEC. PERIOD.9'!$A$1:$I$128,9,0)</f>
        <v>177298.69</v>
      </c>
      <c r="L88" s="40" t="s">
        <v>376</v>
      </c>
      <c r="M88" s="40">
        <v>100762734</v>
      </c>
      <c r="N88" s="38"/>
      <c r="O88" s="38"/>
      <c r="P88" s="38"/>
      <c r="Q88" s="38"/>
      <c r="R88" s="38"/>
      <c r="S88" s="38"/>
      <c r="T88" s="38"/>
      <c r="U88" s="38"/>
    </row>
    <row r="89" spans="1:21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92">
        <f>1237.07-5</f>
        <v>1232.07</v>
      </c>
      <c r="G89" s="92">
        <v>-12588.91</v>
      </c>
      <c r="H89" s="92">
        <v>199054.1</v>
      </c>
      <c r="I89" s="39"/>
      <c r="J89" s="39"/>
      <c r="K89" s="45">
        <f>VLOOKUP(C89,'[12]DEC. PERIOD.9'!$A$1:$I$128,9,0)</f>
        <v>197822.03</v>
      </c>
      <c r="L89" s="40" t="s">
        <v>391</v>
      </c>
      <c r="M89" s="40">
        <v>100765498</v>
      </c>
      <c r="N89" s="38"/>
      <c r="O89" s="38"/>
      <c r="P89" s="38"/>
      <c r="Q89" s="38"/>
      <c r="R89" s="38"/>
      <c r="S89" s="38"/>
      <c r="T89" s="38"/>
      <c r="U89" s="38"/>
    </row>
    <row r="90" spans="1:21" ht="16.5" thickBot="1">
      <c r="A90" s="37">
        <v>5406</v>
      </c>
      <c r="B90" s="37">
        <v>10136</v>
      </c>
      <c r="C90" s="47">
        <v>938530</v>
      </c>
      <c r="D90" s="48" t="s">
        <v>385</v>
      </c>
      <c r="E90" s="39"/>
      <c r="F90" s="92">
        <v>0</v>
      </c>
      <c r="G90" s="92">
        <v>143790</v>
      </c>
      <c r="H90" s="92">
        <v>285897.05</v>
      </c>
      <c r="I90" s="39"/>
      <c r="J90" s="39"/>
      <c r="K90" s="45">
        <f>VLOOKUP(C90,'[12]DEC. PERIOD.9'!$A$1:$I$128,9,0)</f>
        <v>285897</v>
      </c>
      <c r="L90" s="40" t="s">
        <v>374</v>
      </c>
      <c r="M90" s="40">
        <v>100762296</v>
      </c>
      <c r="N90" s="38"/>
      <c r="O90" s="38"/>
      <c r="P90" s="38"/>
      <c r="Q90" s="38"/>
      <c r="R90" s="38"/>
      <c r="S90" s="38"/>
      <c r="T90" s="38"/>
      <c r="U90" s="38"/>
    </row>
    <row r="91" spans="1:21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92">
        <v>3612.31</v>
      </c>
      <c r="G91" s="92">
        <v>-150062.71</v>
      </c>
      <c r="H91" s="92">
        <v>302435.73</v>
      </c>
      <c r="I91" s="39"/>
      <c r="J91" s="39"/>
      <c r="K91" s="45">
        <f>VLOOKUP(C91,'[12]DEC. PERIOD.9'!$A$1:$I$128,9,0)</f>
        <v>298823.42</v>
      </c>
      <c r="L91" s="40" t="s">
        <v>381</v>
      </c>
      <c r="M91" s="40">
        <v>100764293</v>
      </c>
      <c r="N91" s="38"/>
      <c r="O91" s="38"/>
      <c r="P91" s="38"/>
      <c r="Q91" s="38"/>
      <c r="R91" s="38"/>
      <c r="S91" s="38"/>
      <c r="T91" s="38"/>
      <c r="U91" s="38"/>
    </row>
    <row r="92" spans="1:21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92">
        <v>6598.87</v>
      </c>
      <c r="G92" s="92">
        <v>53851.35</v>
      </c>
      <c r="H92" s="92">
        <v>262698.82</v>
      </c>
      <c r="I92" s="39"/>
      <c r="J92" s="39"/>
      <c r="K92" s="45">
        <f>VLOOKUP(C92,'[12]DEC. PERIOD.9'!$A$1:$I$128,9,0)</f>
        <v>256099.95</v>
      </c>
      <c r="L92" s="40" t="s">
        <v>377</v>
      </c>
      <c r="M92" s="40">
        <v>100763157</v>
      </c>
      <c r="N92" s="38"/>
      <c r="O92" s="38"/>
      <c r="P92" s="38"/>
      <c r="Q92" s="38"/>
      <c r="R92" s="38"/>
      <c r="S92" s="38"/>
      <c r="T92" s="38"/>
      <c r="U92" s="38"/>
    </row>
    <row r="93" spans="1:21" ht="16.5" thickBot="1">
      <c r="A93" s="37">
        <v>4215</v>
      </c>
      <c r="B93" s="37">
        <v>10138</v>
      </c>
      <c r="C93" s="47">
        <v>938475</v>
      </c>
      <c r="D93" s="40" t="s">
        <v>99</v>
      </c>
      <c r="E93" s="39"/>
      <c r="F93" s="92">
        <f>5427.11-167.28</f>
        <v>5259.83</v>
      </c>
      <c r="G93" s="92">
        <v>69535.73</v>
      </c>
      <c r="H93" s="92">
        <v>316754</v>
      </c>
      <c r="I93" s="39"/>
      <c r="J93" s="39"/>
      <c r="K93" s="45">
        <f>VLOOKUP(C93,'[12]DEC. PERIOD.9'!$A$1:$I$128,9,0)</f>
        <v>311494.17</v>
      </c>
      <c r="L93" s="40" t="s">
        <v>391</v>
      </c>
      <c r="M93" s="40">
        <v>100765895</v>
      </c>
      <c r="N93" s="38"/>
      <c r="O93" s="38"/>
      <c r="P93" s="38"/>
      <c r="Q93" s="38"/>
      <c r="R93" s="38"/>
      <c r="S93" s="38"/>
      <c r="T93" s="38"/>
      <c r="U93" s="38"/>
    </row>
    <row r="94" spans="1:21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92">
        <f>7191.6-2.06</f>
        <v>7189.54</v>
      </c>
      <c r="G94" s="92">
        <v>84757.13</v>
      </c>
      <c r="H94" s="92">
        <v>746254.06</v>
      </c>
      <c r="I94" s="39"/>
      <c r="J94" s="39"/>
      <c r="K94" s="45">
        <f>VLOOKUP(C94,'[12]DEC. PERIOD.9'!$A$1:$I$128,9,0)</f>
        <v>739064.5199999992</v>
      </c>
      <c r="L94" s="40" t="s">
        <v>377</v>
      </c>
      <c r="M94" s="40">
        <v>100763206</v>
      </c>
      <c r="N94" s="38"/>
      <c r="O94" s="38"/>
      <c r="P94" s="38"/>
      <c r="Q94" s="38"/>
      <c r="R94" s="38"/>
      <c r="S94" s="38"/>
      <c r="T94" s="38"/>
      <c r="U94" s="38"/>
    </row>
    <row r="95" spans="1:21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92">
        <f>18645.1-238.7</f>
        <v>18406.399999999998</v>
      </c>
      <c r="G95" s="92">
        <v>31907.34</v>
      </c>
      <c r="H95" s="92">
        <v>680970.22</v>
      </c>
      <c r="I95" s="39"/>
      <c r="J95" s="40"/>
      <c r="K95" s="45">
        <f>VLOOKUP(C95,'[12]DEC. PERIOD.9'!$A$1:$I$128,9,0)</f>
        <v>662563.8200000006</v>
      </c>
      <c r="L95" s="40" t="s">
        <v>391</v>
      </c>
      <c r="M95" s="40">
        <v>100765896</v>
      </c>
      <c r="N95" s="38"/>
      <c r="O95" s="38"/>
      <c r="P95" s="38"/>
      <c r="Q95" s="38"/>
      <c r="R95" s="38"/>
      <c r="S95" s="38"/>
      <c r="T95" s="38"/>
      <c r="U95" s="38"/>
    </row>
    <row r="96" spans="1:21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92">
        <v>7168.21</v>
      </c>
      <c r="G96" s="92">
        <v>-57994.82</v>
      </c>
      <c r="H96" s="92">
        <v>1073956.03</v>
      </c>
      <c r="I96" s="39"/>
      <c r="J96" s="39"/>
      <c r="K96" s="45">
        <f>VLOOKUP(C96,'[12]DEC. PERIOD.9'!$A$1:$I$128,9,0)</f>
        <v>1066787.82</v>
      </c>
      <c r="L96" s="40" t="s">
        <v>372</v>
      </c>
      <c r="M96" s="40">
        <v>100763756</v>
      </c>
      <c r="N96" s="38"/>
      <c r="O96" s="38"/>
      <c r="P96" s="38"/>
      <c r="Q96" s="38"/>
      <c r="R96" s="38"/>
      <c r="S96" s="38"/>
      <c r="T96" s="38"/>
      <c r="U96" s="38"/>
    </row>
    <row r="97" spans="1:21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92">
        <v>13464.31</v>
      </c>
      <c r="G97" s="92">
        <v>-102371.51</v>
      </c>
      <c r="H97" s="92">
        <v>292182.77</v>
      </c>
      <c r="I97" s="39"/>
      <c r="J97" s="39"/>
      <c r="K97" s="45">
        <f>VLOOKUP(C97,'[12]DEC. PERIOD.9'!$A$1:$I$128,9,0)</f>
        <v>278718.46</v>
      </c>
      <c r="L97" s="40" t="s">
        <v>390</v>
      </c>
      <c r="M97" s="40">
        <v>100765470</v>
      </c>
      <c r="N97" s="38"/>
      <c r="O97" s="38"/>
      <c r="P97" s="38"/>
      <c r="Q97" s="38"/>
      <c r="R97" s="38"/>
      <c r="S97" s="38"/>
      <c r="T97" s="38"/>
      <c r="U97" s="38"/>
    </row>
    <row r="98" spans="1:21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152">
        <v>9417.85</v>
      </c>
      <c r="G98" s="152">
        <v>-84040.23</v>
      </c>
      <c r="H98" s="152">
        <v>113202.14</v>
      </c>
      <c r="I98" s="153"/>
      <c r="J98" s="153"/>
      <c r="K98" s="151">
        <f>VLOOKUP(C98,'[12]DEC. PERIOD.9'!$A$1:$I$128,9,0)</f>
        <v>19744.06</v>
      </c>
      <c r="L98" s="154" t="s">
        <v>403</v>
      </c>
      <c r="M98" s="154">
        <v>100773632</v>
      </c>
      <c r="N98" s="38"/>
      <c r="O98" s="38"/>
      <c r="P98" s="38"/>
      <c r="Q98" s="38"/>
      <c r="R98" s="38"/>
      <c r="S98" s="38"/>
      <c r="T98" s="38"/>
      <c r="U98" s="38"/>
    </row>
    <row r="99" spans="1:21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92">
        <v>11477.05</v>
      </c>
      <c r="G99" s="92">
        <v>-161440.1</v>
      </c>
      <c r="H99" s="40">
        <v>740213.92</v>
      </c>
      <c r="I99" s="39"/>
      <c r="J99" s="39"/>
      <c r="K99" s="45">
        <f>VLOOKUP(C99,'[12]DEC. PERIOD.9'!$A$1:$I$128,9,0)</f>
        <v>728736.87</v>
      </c>
      <c r="L99" s="40" t="s">
        <v>393</v>
      </c>
      <c r="M99" s="40">
        <v>100765916</v>
      </c>
      <c r="N99" s="38"/>
      <c r="O99" s="38"/>
      <c r="P99" s="38"/>
      <c r="Q99" s="38"/>
      <c r="R99" s="38"/>
      <c r="S99" s="38"/>
      <c r="T99" s="38"/>
      <c r="U99" s="38"/>
    </row>
    <row r="100" spans="1:21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92">
        <v>6516.69</v>
      </c>
      <c r="G100" s="92">
        <v>4538.69</v>
      </c>
      <c r="H100" s="92">
        <v>98435.56</v>
      </c>
      <c r="I100" s="39"/>
      <c r="J100" s="39"/>
      <c r="K100" s="45">
        <f>VLOOKUP(C100,'[12]DEC. PERIOD.9'!$A$1:$I$128,9,0)</f>
        <v>91918.87000000005</v>
      </c>
      <c r="L100" s="40" t="s">
        <v>390</v>
      </c>
      <c r="M100" s="40">
        <v>100765471</v>
      </c>
      <c r="N100" s="38"/>
      <c r="O100" s="38"/>
      <c r="P100" s="38"/>
      <c r="Q100" s="38"/>
      <c r="R100" s="38"/>
      <c r="S100" s="38"/>
      <c r="T100" s="38"/>
      <c r="U100" s="38"/>
    </row>
    <row r="101" spans="1:21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92">
        <v>3385.1</v>
      </c>
      <c r="G101" s="92">
        <v>-140072</v>
      </c>
      <c r="H101" s="92">
        <v>674533</v>
      </c>
      <c r="I101" s="92"/>
      <c r="J101" s="39"/>
      <c r="K101" s="45">
        <f>VLOOKUP(C101,'[12]DEC. PERIOD.9'!$A$1:$I$128,9,0)</f>
        <v>671147.9</v>
      </c>
      <c r="L101" s="40" t="s">
        <v>377</v>
      </c>
      <c r="M101" s="40">
        <v>100763161</v>
      </c>
      <c r="N101" s="38"/>
      <c r="O101" s="38"/>
      <c r="P101" s="38"/>
      <c r="Q101" s="38"/>
      <c r="R101" s="38"/>
      <c r="S101" s="38"/>
      <c r="T101" s="38"/>
      <c r="U101" s="38"/>
    </row>
    <row r="102" spans="1:21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92">
        <v>14652.73</v>
      </c>
      <c r="G102" s="92">
        <v>-119093.49</v>
      </c>
      <c r="H102" s="92">
        <v>1030149.25</v>
      </c>
      <c r="I102" s="39"/>
      <c r="J102" s="39"/>
      <c r="K102" s="45">
        <f>VLOOKUP(C102,'[12]DEC. PERIOD.9'!$A$1:$I$128,9,0)</f>
        <v>1015496.52</v>
      </c>
      <c r="L102" s="40" t="s">
        <v>390</v>
      </c>
      <c r="M102" s="40">
        <v>100765479</v>
      </c>
      <c r="N102" s="38"/>
      <c r="O102" s="38"/>
      <c r="P102" s="38"/>
      <c r="Q102" s="38"/>
      <c r="R102" s="38"/>
      <c r="S102" s="38"/>
      <c r="T102" s="38"/>
      <c r="U102" s="38"/>
    </row>
    <row r="103" spans="1:21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92">
        <v>9284.06</v>
      </c>
      <c r="G103" s="92">
        <v>-60882.41</v>
      </c>
      <c r="H103" s="92">
        <v>492460.52</v>
      </c>
      <c r="I103" s="39"/>
      <c r="J103" s="39"/>
      <c r="K103" s="45">
        <f>VLOOKUP(C103,'[12]DEC. PERIOD.9'!$A$1:$I$128,9,0)</f>
        <v>483176.46</v>
      </c>
      <c r="L103" s="40" t="s">
        <v>390</v>
      </c>
      <c r="M103" s="40">
        <v>100765485</v>
      </c>
      <c r="N103" s="38"/>
      <c r="O103" s="38"/>
      <c r="P103" s="38"/>
      <c r="Q103" s="38"/>
      <c r="R103" s="38"/>
      <c r="S103" s="38"/>
      <c r="T103" s="38"/>
      <c r="U103" s="38"/>
    </row>
    <row r="104" spans="1:21" ht="16.5" thickBot="1">
      <c r="A104" s="37">
        <v>5401</v>
      </c>
      <c r="B104" s="37">
        <v>10149</v>
      </c>
      <c r="C104" s="47">
        <v>938505</v>
      </c>
      <c r="D104" s="48" t="s">
        <v>384</v>
      </c>
      <c r="E104" s="39"/>
      <c r="F104" s="92">
        <v>0</v>
      </c>
      <c r="G104" s="92">
        <v>200</v>
      </c>
      <c r="H104" s="92">
        <v>0</v>
      </c>
      <c r="I104" s="39"/>
      <c r="J104" s="40"/>
      <c r="K104" s="45">
        <f>VLOOKUP(C104,'[12]DEC. PERIOD.9'!$A$1:$I$128,9,0)</f>
        <v>0</v>
      </c>
      <c r="L104" s="40" t="s">
        <v>379</v>
      </c>
      <c r="M104" s="40">
        <v>100761425</v>
      </c>
      <c r="N104" s="38"/>
      <c r="O104" s="38"/>
      <c r="P104" s="38"/>
      <c r="Q104" s="38"/>
      <c r="R104" s="38"/>
      <c r="S104" s="38"/>
      <c r="T104" s="38"/>
      <c r="U104" s="38"/>
    </row>
    <row r="105" spans="1:21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92">
        <v>7505.46</v>
      </c>
      <c r="G105" s="92">
        <v>75646.7</v>
      </c>
      <c r="H105" s="92">
        <v>1099157.84</v>
      </c>
      <c r="I105" s="39"/>
      <c r="J105" s="39"/>
      <c r="K105" s="45">
        <f>VLOOKUP(C105,'[12]DEC. PERIOD.9'!$A$1:$I$128,9,0)</f>
        <v>1091652.38</v>
      </c>
      <c r="L105" s="40" t="s">
        <v>377</v>
      </c>
      <c r="M105" s="40">
        <v>100763198</v>
      </c>
      <c r="N105" s="38"/>
      <c r="O105" s="38"/>
      <c r="P105" s="38"/>
      <c r="Q105" s="38"/>
      <c r="R105" s="38"/>
      <c r="S105" s="38"/>
      <c r="T105" s="38"/>
      <c r="U105" s="38"/>
    </row>
    <row r="106" spans="1:21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92">
        <f>8572.57-49.68</f>
        <v>8522.89</v>
      </c>
      <c r="G106" s="92">
        <v>-76050.47</v>
      </c>
      <c r="H106" s="92">
        <v>500677.82</v>
      </c>
      <c r="I106" s="39"/>
      <c r="J106" s="39"/>
      <c r="K106" s="45">
        <f>VLOOKUP(C106,'[12]DEC. PERIOD.9'!$A$1:$I$128,9,0)</f>
        <v>492154.93</v>
      </c>
      <c r="L106" s="40" t="s">
        <v>391</v>
      </c>
      <c r="M106" s="40">
        <v>100765780</v>
      </c>
      <c r="N106" s="38"/>
      <c r="O106" s="38"/>
      <c r="P106" s="38"/>
      <c r="Q106" s="38"/>
      <c r="R106" s="38"/>
      <c r="S106" s="38"/>
      <c r="T106" s="38"/>
      <c r="U106" s="38"/>
    </row>
    <row r="107" spans="1:21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92">
        <v>6153.14</v>
      </c>
      <c r="G107" s="92">
        <v>-442708.97</v>
      </c>
      <c r="H107" s="92">
        <v>717030.85</v>
      </c>
      <c r="I107" s="39"/>
      <c r="J107" s="39"/>
      <c r="K107" s="45">
        <f>VLOOKUP(C107,'[12]DEC. PERIOD.9'!$A$1:$I$128,9,0)</f>
        <v>710877.71</v>
      </c>
      <c r="L107" s="40" t="s">
        <v>394</v>
      </c>
      <c r="M107" s="40">
        <v>100766312</v>
      </c>
      <c r="N107" s="38"/>
      <c r="O107" s="38"/>
      <c r="P107" s="38"/>
      <c r="Q107" s="38"/>
      <c r="R107" s="38"/>
      <c r="S107" s="38"/>
      <c r="T107" s="38"/>
      <c r="U107" s="38"/>
    </row>
    <row r="108" spans="1:21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92">
        <f>6677.52-216.08</f>
        <v>6461.4400000000005</v>
      </c>
      <c r="G108" s="92">
        <v>-26732.27</v>
      </c>
      <c r="H108" s="83">
        <v>204287</v>
      </c>
      <c r="I108" s="39"/>
      <c r="J108" s="39"/>
      <c r="K108" s="45">
        <f>VLOOKUP(C108,'[12]DEC. PERIOD.9'!$A$1:$I$128,9,0)</f>
        <v>197825.56</v>
      </c>
      <c r="L108" s="40" t="s">
        <v>390</v>
      </c>
      <c r="M108" s="40">
        <v>100765464</v>
      </c>
      <c r="N108" s="38"/>
      <c r="O108" s="38"/>
      <c r="P108" s="38"/>
      <c r="Q108" s="38"/>
      <c r="R108" s="38"/>
      <c r="S108" s="38"/>
      <c r="T108" s="38"/>
      <c r="U108" s="38"/>
    </row>
    <row r="109" spans="1:21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92">
        <f>16892.26-224.14</f>
        <v>16668.12</v>
      </c>
      <c r="G109" s="92">
        <v>-463793.44</v>
      </c>
      <c r="H109" s="92">
        <v>1096172.21</v>
      </c>
      <c r="I109" s="39"/>
      <c r="J109" s="39"/>
      <c r="K109" s="45">
        <f>VLOOKUP(C109,'[12]DEC. PERIOD.9'!$A$1:$I$128,9,0)</f>
        <v>1079504.09</v>
      </c>
      <c r="L109" s="40" t="s">
        <v>394</v>
      </c>
      <c r="M109" s="40">
        <v>100766254</v>
      </c>
      <c r="N109" s="38"/>
      <c r="O109" s="38"/>
      <c r="P109" s="38"/>
      <c r="Q109" s="38"/>
      <c r="R109" s="38"/>
      <c r="S109" s="38"/>
      <c r="T109" s="38"/>
      <c r="U109" s="38"/>
    </row>
    <row r="110" spans="1:21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92">
        <f>2002.52-0.63</f>
        <v>2001.8899999999999</v>
      </c>
      <c r="G110" s="92">
        <v>79198.57</v>
      </c>
      <c r="H110" s="92">
        <v>186561.23</v>
      </c>
      <c r="I110" s="39"/>
      <c r="J110" s="39"/>
      <c r="K110" s="45">
        <f>VLOOKUP(C110,'[12]DEC. PERIOD.9'!$A$1:$I$128,9,0)</f>
        <v>184559.34</v>
      </c>
      <c r="L110" s="40" t="s">
        <v>368</v>
      </c>
      <c r="M110" s="40">
        <v>100762338</v>
      </c>
      <c r="N110" s="38"/>
      <c r="O110" s="38"/>
      <c r="P110" s="38"/>
      <c r="Q110" s="38"/>
      <c r="R110" s="38"/>
      <c r="S110" s="38"/>
      <c r="T110" s="38"/>
      <c r="U110" s="38"/>
    </row>
    <row r="111" spans="1:21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92">
        <v>863.44</v>
      </c>
      <c r="G111" s="92">
        <v>5177.59</v>
      </c>
      <c r="H111" s="92">
        <v>195679.91</v>
      </c>
      <c r="I111" s="39"/>
      <c r="J111" s="39"/>
      <c r="K111" s="45">
        <f>VLOOKUP(C111,'[12]DEC. PERIOD.9'!$A$1:$I$128,9,0)</f>
        <v>194816.47</v>
      </c>
      <c r="L111" s="40" t="s">
        <v>367</v>
      </c>
      <c r="M111" s="40">
        <v>100762711</v>
      </c>
      <c r="N111" s="38"/>
      <c r="O111" s="38"/>
      <c r="P111" s="38"/>
      <c r="Q111" s="38"/>
      <c r="R111" s="38"/>
      <c r="S111" s="38"/>
      <c r="T111" s="38"/>
      <c r="U111" s="38"/>
    </row>
    <row r="112" spans="1:21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92">
        <f>2443.32-48.64</f>
        <v>2394.6800000000003</v>
      </c>
      <c r="G112" s="92">
        <v>16111.55</v>
      </c>
      <c r="H112" s="92">
        <v>468331.88</v>
      </c>
      <c r="I112" s="39"/>
      <c r="J112" s="39"/>
      <c r="K112" s="45">
        <f>VLOOKUP(C112,'[12]DEC. PERIOD.9'!$A$1:$I$128,9,0)</f>
        <v>465937.2</v>
      </c>
      <c r="L112" s="40" t="s">
        <v>377</v>
      </c>
      <c r="M112" s="40">
        <v>100763233</v>
      </c>
      <c r="N112" s="38"/>
      <c r="O112" s="38"/>
      <c r="P112" s="38"/>
      <c r="Q112" s="38"/>
      <c r="R112" s="38"/>
      <c r="S112" s="38"/>
      <c r="T112" s="38"/>
      <c r="U112" s="38"/>
    </row>
    <row r="113" spans="1:21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92">
        <f>9000.49-0.25</f>
        <v>9000.24</v>
      </c>
      <c r="G113" s="92">
        <v>32365.69</v>
      </c>
      <c r="H113" s="92">
        <v>30757.33</v>
      </c>
      <c r="I113" s="39"/>
      <c r="J113" s="39"/>
      <c r="K113" s="45">
        <f>VLOOKUP(C113,'[12]DEC. PERIOD.9'!$A$1:$I$128,9,0)</f>
        <v>21757.08999999992</v>
      </c>
      <c r="L113" s="40" t="s">
        <v>377</v>
      </c>
      <c r="M113" s="40">
        <v>100763190</v>
      </c>
      <c r="N113" s="38"/>
      <c r="O113" s="38"/>
      <c r="P113" s="38"/>
      <c r="Q113" s="38"/>
      <c r="R113" s="38"/>
      <c r="S113" s="38"/>
      <c r="T113" s="38"/>
      <c r="U113" s="38"/>
    </row>
    <row r="114" spans="1:21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92">
        <v>229.25</v>
      </c>
      <c r="G114" s="92">
        <v>-1117.4</v>
      </c>
      <c r="H114" s="92">
        <v>152080.23</v>
      </c>
      <c r="I114" s="39"/>
      <c r="J114" s="39"/>
      <c r="K114" s="45">
        <f>VLOOKUP(C114,'[12]DEC. PERIOD.9'!$A$1:$I$128,9,0)</f>
        <v>151850.98</v>
      </c>
      <c r="L114" s="40" t="s">
        <v>368</v>
      </c>
      <c r="M114" s="40">
        <v>100762712</v>
      </c>
      <c r="N114" s="38"/>
      <c r="O114" s="38"/>
      <c r="P114" s="38"/>
      <c r="Q114" s="38"/>
      <c r="R114" s="38"/>
      <c r="S114" s="38"/>
      <c r="T114" s="38"/>
      <c r="U114" s="38"/>
    </row>
    <row r="115" spans="1:21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92">
        <v>3034.64</v>
      </c>
      <c r="G115" s="92">
        <v>21249.78</v>
      </c>
      <c r="H115" s="92">
        <v>154411.47</v>
      </c>
      <c r="I115" s="39"/>
      <c r="J115" s="39"/>
      <c r="K115" s="45">
        <f>VLOOKUP(C115,'[12]DEC. PERIOD.9'!$A$1:$I$128,9,0)</f>
        <v>151376.83</v>
      </c>
      <c r="L115" s="40" t="s">
        <v>386</v>
      </c>
      <c r="M115" s="40">
        <v>100765116</v>
      </c>
      <c r="N115" s="38"/>
      <c r="O115" s="38"/>
      <c r="P115" s="38"/>
      <c r="Q115" s="38"/>
      <c r="R115" s="38"/>
      <c r="S115" s="38"/>
      <c r="T115" s="38"/>
      <c r="U115" s="38"/>
    </row>
    <row r="116" spans="1:21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92">
        <v>267.57</v>
      </c>
      <c r="G116" s="92">
        <v>-3911.94</v>
      </c>
      <c r="H116" s="92">
        <v>168636.24</v>
      </c>
      <c r="I116" s="39"/>
      <c r="J116" s="39"/>
      <c r="K116" s="45">
        <f>VLOOKUP(C116,'[12]DEC. PERIOD.9'!$A$1:$I$128,9,0)</f>
        <v>168368.67</v>
      </c>
      <c r="L116" s="40" t="s">
        <v>368</v>
      </c>
      <c r="M116" s="40">
        <v>100762333</v>
      </c>
      <c r="N116" s="38"/>
      <c r="O116" s="38"/>
      <c r="P116" s="38"/>
      <c r="Q116" s="38"/>
      <c r="R116" s="38"/>
      <c r="S116" s="38"/>
      <c r="T116" s="38"/>
      <c r="U116" s="38"/>
    </row>
    <row r="117" spans="1:21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92">
        <v>779.49</v>
      </c>
      <c r="G117" s="92">
        <v>2602.95</v>
      </c>
      <c r="H117" s="92">
        <v>145267.9</v>
      </c>
      <c r="I117" s="39"/>
      <c r="J117" s="39"/>
      <c r="K117" s="45">
        <f>VLOOKUP(C117,'[12]DEC. PERIOD.9'!$A$1:$I$128,9,0)</f>
        <v>144488.41</v>
      </c>
      <c r="L117" s="40" t="s">
        <v>380</v>
      </c>
      <c r="M117" s="40">
        <v>100763800</v>
      </c>
      <c r="N117" s="38"/>
      <c r="O117" s="38"/>
      <c r="P117" s="38"/>
      <c r="Q117" s="38"/>
      <c r="R117" s="38"/>
      <c r="S117" s="38"/>
      <c r="T117" s="38"/>
      <c r="U117" s="38"/>
    </row>
    <row r="118" spans="2:21" ht="15.75">
      <c r="B118" s="38"/>
      <c r="C118" s="42"/>
      <c r="D118" s="43" t="s">
        <v>139</v>
      </c>
      <c r="E118" s="92">
        <f aca="true" t="shared" si="0" ref="E118:K118">SUM(E3:E117)</f>
        <v>0</v>
      </c>
      <c r="F118" s="96">
        <f t="shared" si="0"/>
        <v>362649.03</v>
      </c>
      <c r="G118" s="96">
        <f t="shared" si="0"/>
        <v>-1516229.5099999995</v>
      </c>
      <c r="H118" s="96">
        <f t="shared" si="0"/>
        <v>26293651.790000007</v>
      </c>
      <c r="I118" s="92">
        <f t="shared" si="0"/>
        <v>0</v>
      </c>
      <c r="J118" s="92">
        <f t="shared" si="0"/>
        <v>0</v>
      </c>
      <c r="K118" s="96">
        <f t="shared" si="0"/>
        <v>25846963.439999998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2:21" ht="15.75">
      <c r="B119" s="38"/>
      <c r="C119" s="42"/>
      <c r="D119" s="41"/>
      <c r="E119" s="39"/>
      <c r="F119" s="39"/>
      <c r="G119" s="39"/>
      <c r="H119" s="39"/>
      <c r="I119" s="39"/>
      <c r="J119" s="39"/>
      <c r="K119" s="39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3:21" ht="15.75">
      <c r="C120" s="1">
        <f>COUNT(C3:C117)</f>
        <v>115</v>
      </c>
      <c r="D120" s="86">
        <f>COUNT(A3:A117)-COUNTA(M3:M117)</f>
        <v>0</v>
      </c>
      <c r="E120" s="37"/>
      <c r="F120" s="37" t="s">
        <v>175</v>
      </c>
      <c r="G120" s="38"/>
      <c r="H120" s="38"/>
      <c r="I120" s="38"/>
      <c r="J120" s="64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4:21" ht="15.75">
      <c r="D121" s="86">
        <f>C120-D120</f>
        <v>115</v>
      </c>
      <c r="E121" s="38"/>
      <c r="F121" s="38" t="s">
        <v>174</v>
      </c>
      <c r="G121" s="38"/>
      <c r="H121" s="38"/>
      <c r="I121" s="38"/>
      <c r="J121" s="38"/>
      <c r="K121" s="85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4:21" ht="15.75">
      <c r="D122" s="86"/>
      <c r="E122" s="38"/>
      <c r="F122" s="38"/>
      <c r="G122" s="38"/>
      <c r="H122" s="38"/>
      <c r="I122" s="38"/>
      <c r="J122" s="38"/>
      <c r="K122" s="85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4:21" ht="15.75">
      <c r="D123" s="86"/>
      <c r="E123" s="38"/>
      <c r="F123" s="38"/>
      <c r="G123" s="38"/>
      <c r="H123" s="38"/>
      <c r="I123" s="38"/>
      <c r="J123" s="38"/>
      <c r="K123" s="85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4:21" ht="15.75">
      <c r="D124" s="86"/>
      <c r="E124" s="38"/>
      <c r="F124" s="38"/>
      <c r="G124" s="38"/>
      <c r="H124" s="38"/>
      <c r="I124" s="38"/>
      <c r="J124" s="38"/>
      <c r="K124" s="85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6:21" ht="15.75">
      <c r="F125" s="40"/>
      <c r="G125" s="40"/>
      <c r="H125" s="40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6:21" ht="15.75">
      <c r="F126" s="40"/>
      <c r="G126" s="40"/>
      <c r="H126" s="40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6:21" ht="15.75">
      <c r="F127" s="40"/>
      <c r="G127" s="40"/>
      <c r="H127" s="40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6:21" ht="15.75">
      <c r="F128" s="40"/>
      <c r="G128" s="40"/>
      <c r="H128" s="40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6:21" ht="15.75">
      <c r="F129" s="40"/>
      <c r="G129" s="40"/>
      <c r="H129" s="40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6:21" ht="15.75">
      <c r="F130" s="4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6:21" ht="15.75">
      <c r="F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6:21" ht="15.75">
      <c r="F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6:21" ht="15.75">
      <c r="F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6:21" ht="15.75">
      <c r="F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6:21" ht="15.75">
      <c r="F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6:21" ht="15.75">
      <c r="F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6:21" ht="15.75">
      <c r="F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6:21" ht="15.75">
      <c r="F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6:21" ht="15.75">
      <c r="F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6:21" ht="15.75">
      <c r="F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6:21" ht="15.75">
      <c r="F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6:21" ht="15.75">
      <c r="F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6:21" ht="15.75"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6:21" ht="15.75"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6:21" ht="15.75"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6:21" ht="15.75"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6:21" ht="15.75">
      <c r="F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6:21" ht="15.75">
      <c r="F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6:21" ht="15.75">
      <c r="F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6:21" ht="15.75">
      <c r="F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6:21" ht="15.75">
      <c r="F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6:21" ht="15.75">
      <c r="F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6:21" ht="15.75">
      <c r="F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6:21" ht="15.75">
      <c r="F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6:21" ht="15.75">
      <c r="F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6:21" ht="15.75">
      <c r="F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6:21" ht="15.75">
      <c r="F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6:21" ht="15.75">
      <c r="F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6:21" ht="15.75">
      <c r="F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6:21" ht="15.75">
      <c r="F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6:21" ht="15.75">
      <c r="F161" s="40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6:21" ht="15.75">
      <c r="F162" s="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6:21" ht="15.75">
      <c r="F163" s="40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6:21" ht="15.75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6:21" ht="15.75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6:21" ht="15.75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6:21" ht="15.75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6:21" ht="15.75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6:21" ht="15.75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6:21" ht="15.75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6:21" ht="15.75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6:21" ht="15.75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6:21" ht="15.75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6:21" ht="15.75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6:21" ht="15.75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6:21" ht="15.75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6:21" ht="15.75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6:21" ht="15.75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6:21" ht="15.75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6:21" ht="15.75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6:21" ht="15.75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6:21" ht="15.75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6:21" ht="15.75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6:21" ht="15.75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6:21" ht="15.75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6:21" ht="15.75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6:21" ht="15.75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6:21" ht="15.75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6:21" ht="15.75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6:21" ht="15.75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6:21" ht="15.75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6:21" ht="15.75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spans="6:21" ht="15.75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spans="6:21" ht="15.75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</sheetData>
  <autoFilter ref="A2:U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D3:D117">
    <cfRule type="expression" priority="1" dxfId="2" stopIfTrue="1">
      <formula>M3&lt;1</formula>
    </cfRule>
  </conditionalFormatting>
  <conditionalFormatting sqref="E118:K118 J40 H109:H117 I101 F3:G117 H3:H20 H22:H98 H100:H107">
    <cfRule type="cellIs" priority="2" dxfId="1" operator="lessThan" stopIfTrue="1">
      <formula>0</formula>
    </cfRule>
  </conditionalFormatting>
  <printOptions horizontalCentered="1"/>
  <pageMargins left="0" right="0" top="0" bottom="0" header="0" footer="0"/>
  <pageSetup fitToHeight="3"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33"/>
    <pageSetUpPr fitToPage="1"/>
  </sheetPr>
  <dimension ref="A1:T193"/>
  <sheetViews>
    <sheetView zoomScale="75" zoomScaleNormal="75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1.6640625" style="37" bestFit="1" customWidth="1"/>
    <col min="5" max="5" width="0.44140625" style="36" customWidth="1"/>
    <col min="6" max="6" width="14.3359375" style="37" customWidth="1"/>
    <col min="7" max="7" width="15.10546875" style="37" customWidth="1"/>
    <col min="8" max="8" width="17.10546875" style="37" customWidth="1"/>
    <col min="9" max="9" width="13.5546875" style="37" customWidth="1"/>
    <col min="10" max="10" width="15.21484375" style="37" customWidth="1"/>
    <col min="11" max="11" width="18.77734375" style="37" customWidth="1"/>
    <col min="12" max="12" width="13.10546875" style="37" customWidth="1"/>
    <col min="13" max="13" width="20.3359375" style="37" customWidth="1"/>
    <col min="14" max="14" width="4.77734375" style="37" customWidth="1"/>
    <col min="15" max="17" width="8.88671875" style="37" customWidth="1"/>
    <col min="18" max="18" width="23.3359375" style="37" customWidth="1"/>
    <col min="19" max="19" width="8.99609375" style="37" bestFit="1" customWidth="1"/>
    <col min="20" max="20" width="7.77734375" style="37" customWidth="1"/>
    <col min="21" max="16384" width="8.88671875" style="37" customWidth="1"/>
  </cols>
  <sheetData>
    <row r="1" spans="1:13" s="59" customFormat="1" ht="15.75" customHeight="1">
      <c r="A1" s="56" t="s">
        <v>118</v>
      </c>
      <c r="B1" s="56" t="s">
        <v>120</v>
      </c>
      <c r="C1" s="56" t="s">
        <v>163</v>
      </c>
      <c r="D1" s="56" t="s">
        <v>121</v>
      </c>
      <c r="E1" s="197" t="s">
        <v>164</v>
      </c>
      <c r="F1" s="197" t="s">
        <v>122</v>
      </c>
      <c r="G1" s="197" t="s">
        <v>165</v>
      </c>
      <c r="H1" s="197" t="s">
        <v>125</v>
      </c>
      <c r="I1" s="197" t="s">
        <v>166</v>
      </c>
      <c r="J1" s="197" t="s">
        <v>167</v>
      </c>
      <c r="K1" s="197" t="s">
        <v>138</v>
      </c>
      <c r="L1" s="197" t="s">
        <v>168</v>
      </c>
      <c r="M1" s="197" t="s">
        <v>169</v>
      </c>
    </row>
    <row r="2" spans="1:13" s="59" customFormat="1" ht="16.5" customHeight="1">
      <c r="A2" s="57" t="s">
        <v>119</v>
      </c>
      <c r="B2" s="57" t="s">
        <v>137</v>
      </c>
      <c r="C2" s="57" t="s">
        <v>172</v>
      </c>
      <c r="D2" s="57" t="s">
        <v>257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1:20" ht="15.75">
      <c r="A3" s="37">
        <v>3520</v>
      </c>
      <c r="B3" s="36">
        <v>11094</v>
      </c>
      <c r="C3" s="22">
        <v>938585</v>
      </c>
      <c r="D3" s="40" t="s">
        <v>176</v>
      </c>
      <c r="E3" s="39"/>
      <c r="F3" s="92">
        <f>3875.09-15.19</f>
        <v>3859.9</v>
      </c>
      <c r="G3" s="92">
        <v>2287.78</v>
      </c>
      <c r="H3" s="92">
        <v>203907.43</v>
      </c>
      <c r="I3" s="39"/>
      <c r="J3" s="39"/>
      <c r="K3" s="45">
        <f>VLOOKUP(C3,'[11]period 8. nov'!$A$2:$I$128,9,0)</f>
        <v>200047.53</v>
      </c>
      <c r="L3" s="40" t="s">
        <v>357</v>
      </c>
      <c r="M3" s="40">
        <v>100757182</v>
      </c>
      <c r="N3" s="38"/>
      <c r="O3" s="38"/>
      <c r="P3" s="38"/>
      <c r="Q3" s="38"/>
      <c r="R3" s="103" t="s">
        <v>178</v>
      </c>
      <c r="S3" s="104">
        <v>1000</v>
      </c>
      <c r="T3" s="38"/>
    </row>
    <row r="4" spans="1:20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92">
        <f>2719.63-5.73</f>
        <v>2713.9</v>
      </c>
      <c r="G4" s="92">
        <v>18080.22</v>
      </c>
      <c r="H4" s="92">
        <v>109431.31</v>
      </c>
      <c r="I4" s="39"/>
      <c r="J4" s="39"/>
      <c r="K4" s="45">
        <f>VLOOKUP(C4,'[11]period 8. nov'!$A$2:$I$128,9,0)</f>
        <v>106717.56</v>
      </c>
      <c r="L4" s="40" t="s">
        <v>365</v>
      </c>
      <c r="M4" s="40">
        <v>100758975</v>
      </c>
      <c r="N4" s="38"/>
      <c r="O4" s="38"/>
      <c r="P4" s="38"/>
      <c r="Q4" s="38"/>
      <c r="R4" s="103" t="s">
        <v>179</v>
      </c>
      <c r="S4" s="104">
        <v>1001</v>
      </c>
      <c r="T4" s="38"/>
    </row>
    <row r="5" spans="1:20" ht="16.5" thickBot="1">
      <c r="A5" s="37">
        <v>3300</v>
      </c>
      <c r="B5" s="37">
        <v>10040</v>
      </c>
      <c r="C5" s="47">
        <v>938282</v>
      </c>
      <c r="D5" s="40" t="s">
        <v>17</v>
      </c>
      <c r="E5" s="39"/>
      <c r="F5" s="92">
        <v>2501.1</v>
      </c>
      <c r="G5" s="92">
        <v>20783.36</v>
      </c>
      <c r="H5" s="92">
        <v>80059.45</v>
      </c>
      <c r="I5" s="39"/>
      <c r="J5" s="39"/>
      <c r="K5" s="45">
        <f>VLOOKUP(C5,'[11]period 8. nov'!$A$2:$I$128,9,0)</f>
        <v>77558.35000000008</v>
      </c>
      <c r="L5" s="40" t="s">
        <v>362</v>
      </c>
      <c r="M5" s="40">
        <v>100758395</v>
      </c>
      <c r="N5" s="38"/>
      <c r="O5" s="38"/>
      <c r="P5" s="38"/>
      <c r="Q5" s="38"/>
      <c r="R5" s="103" t="s">
        <v>180</v>
      </c>
      <c r="S5" s="104">
        <v>1002</v>
      </c>
      <c r="T5" s="38"/>
    </row>
    <row r="6" spans="1:20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92">
        <v>751.13</v>
      </c>
      <c r="G6" s="92">
        <v>6567.92</v>
      </c>
      <c r="H6" s="92">
        <v>143120.37</v>
      </c>
      <c r="I6" s="39"/>
      <c r="J6" s="39"/>
      <c r="K6" s="45">
        <f>VLOOKUP(C6,'[11]period 8. nov'!$A$2:$I$128,9,0)</f>
        <v>142369.24</v>
      </c>
      <c r="L6" s="40" t="s">
        <v>368</v>
      </c>
      <c r="M6" s="40">
        <v>100759550</v>
      </c>
      <c r="N6" s="38"/>
      <c r="O6" s="38"/>
      <c r="P6" s="38"/>
      <c r="Q6" s="38"/>
      <c r="R6" s="103" t="s">
        <v>181</v>
      </c>
      <c r="S6" s="104">
        <v>1003</v>
      </c>
      <c r="T6" s="38"/>
    </row>
    <row r="7" spans="1:20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92">
        <f>6021.08-13.39</f>
        <v>6007.69</v>
      </c>
      <c r="G7" s="92">
        <v>42118.51</v>
      </c>
      <c r="H7" s="92">
        <v>57890.75</v>
      </c>
      <c r="I7" s="39"/>
      <c r="J7" s="39"/>
      <c r="K7" s="45">
        <f>VLOOKUP(C7,'[11]period 8. nov'!$A$2:$I$128,9,0)</f>
        <v>51883.059999999845</v>
      </c>
      <c r="L7" s="40" t="s">
        <v>341</v>
      </c>
      <c r="M7" s="40">
        <v>100753447</v>
      </c>
      <c r="N7" s="38"/>
      <c r="O7" s="38"/>
      <c r="P7" s="38"/>
      <c r="Q7" s="38"/>
      <c r="R7" s="103" t="s">
        <v>69</v>
      </c>
      <c r="S7" s="103">
        <v>2000</v>
      </c>
      <c r="T7" s="38"/>
    </row>
    <row r="8" spans="1:20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92">
        <v>7092.35</v>
      </c>
      <c r="G8" s="92">
        <v>55991.07</v>
      </c>
      <c r="H8" s="92">
        <v>251308.14</v>
      </c>
      <c r="I8" s="39"/>
      <c r="J8" s="39"/>
      <c r="K8" s="45">
        <f>VLOOKUP(C8,'[11]period 8. nov'!$A$2:$I$128,9,0)</f>
        <v>244215.79</v>
      </c>
      <c r="L8" s="40" t="s">
        <v>348</v>
      </c>
      <c r="M8" s="40">
        <v>100753969</v>
      </c>
      <c r="N8" s="38"/>
      <c r="O8" s="38"/>
      <c r="P8" s="38"/>
      <c r="Q8" s="38"/>
      <c r="R8" s="106" t="s">
        <v>23</v>
      </c>
      <c r="S8" s="106">
        <v>2003</v>
      </c>
      <c r="T8" s="38"/>
    </row>
    <row r="9" spans="1:20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92">
        <v>5294.95</v>
      </c>
      <c r="G9" s="92">
        <v>1828.09</v>
      </c>
      <c r="H9" s="92">
        <v>10760.18</v>
      </c>
      <c r="I9" s="39"/>
      <c r="J9" s="39"/>
      <c r="K9" s="45">
        <f>VLOOKUP(C9,'[11]period 8. nov'!$A$2:$I$128,9,0)</f>
        <v>5465.240000000006</v>
      </c>
      <c r="L9" s="40" t="s">
        <v>351</v>
      </c>
      <c r="M9" s="40">
        <v>100755203</v>
      </c>
      <c r="N9" s="38"/>
      <c r="O9" s="38"/>
      <c r="P9" s="38"/>
      <c r="Q9" s="38"/>
      <c r="R9" s="103" t="s">
        <v>25</v>
      </c>
      <c r="S9" s="103">
        <v>2007</v>
      </c>
      <c r="T9" s="38"/>
    </row>
    <row r="10" spans="1:20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92">
        <f>2956.26-29.88</f>
        <v>2926.38</v>
      </c>
      <c r="G10" s="92">
        <v>-14269.41</v>
      </c>
      <c r="H10" s="92">
        <v>311183.71</v>
      </c>
      <c r="I10" s="39"/>
      <c r="J10" s="39"/>
      <c r="K10" s="45">
        <f>VLOOKUP(C10,'[11]period 8. nov'!$A$2:$I$128,9,0)</f>
        <v>308257.33</v>
      </c>
      <c r="L10" s="40" t="s">
        <v>350</v>
      </c>
      <c r="M10" s="40">
        <v>100753967</v>
      </c>
      <c r="N10" s="38"/>
      <c r="O10" s="38"/>
      <c r="P10" s="38"/>
      <c r="Q10" s="38"/>
      <c r="R10" s="103" t="s">
        <v>26</v>
      </c>
      <c r="S10" s="103">
        <v>2008</v>
      </c>
      <c r="T10" s="38"/>
    </row>
    <row r="11" spans="1:20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92">
        <f>1237.14-19.81</f>
        <v>1217.3300000000002</v>
      </c>
      <c r="G11" s="92">
        <v>12088.84</v>
      </c>
      <c r="H11" s="92">
        <v>101442.02</v>
      </c>
      <c r="I11" s="39"/>
      <c r="J11" s="39"/>
      <c r="K11" s="45">
        <f>VLOOKUP(C11,'[11]period 8. nov'!$A$2:$I$128,9,0)</f>
        <v>100224.69</v>
      </c>
      <c r="L11" s="40" t="s">
        <v>362</v>
      </c>
      <c r="M11" s="40">
        <v>100758428</v>
      </c>
      <c r="N11" s="38"/>
      <c r="O11" s="38"/>
      <c r="P11" s="38"/>
      <c r="Q11" s="38"/>
      <c r="R11" s="103" t="s">
        <v>27</v>
      </c>
      <c r="S11" s="103">
        <v>2009</v>
      </c>
      <c r="T11" s="38"/>
    </row>
    <row r="12" spans="1:20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92">
        <f>4444.19-12.01</f>
        <v>4432.179999999999</v>
      </c>
      <c r="G12" s="92">
        <v>24590.28</v>
      </c>
      <c r="H12" s="92">
        <v>249704.42</v>
      </c>
      <c r="I12" s="39"/>
      <c r="J12" s="39"/>
      <c r="K12" s="45">
        <f>VLOOKUP(C12,'[11]period 8. nov'!$A$2:$I$128,9,0)</f>
        <v>245272.24</v>
      </c>
      <c r="L12" s="40" t="s">
        <v>351</v>
      </c>
      <c r="M12" s="40">
        <v>100755195</v>
      </c>
      <c r="N12" s="38"/>
      <c r="O12" s="38"/>
      <c r="P12" s="38"/>
      <c r="Q12" s="38"/>
      <c r="R12" s="103" t="s">
        <v>29</v>
      </c>
      <c r="S12" s="103">
        <v>2010</v>
      </c>
      <c r="T12" s="38"/>
    </row>
    <row r="13" spans="1:20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92">
        <f>6114.57-17.48</f>
        <v>6097.09</v>
      </c>
      <c r="G13" s="92">
        <v>34484.6</v>
      </c>
      <c r="H13" s="92">
        <v>220488.13</v>
      </c>
      <c r="I13" s="39"/>
      <c r="J13" s="39"/>
      <c r="K13" s="45">
        <f>VLOOKUP(C13,'[11]period 8. nov'!$A$2:$I$128,9,0)</f>
        <v>214391.04</v>
      </c>
      <c r="L13" s="40" t="s">
        <v>365</v>
      </c>
      <c r="M13" s="40">
        <v>100758440</v>
      </c>
      <c r="N13" s="38"/>
      <c r="O13" s="38"/>
      <c r="P13" s="38"/>
      <c r="Q13" s="38"/>
      <c r="R13" s="103" t="s">
        <v>31</v>
      </c>
      <c r="S13" s="103">
        <v>2011</v>
      </c>
      <c r="T13" s="38"/>
    </row>
    <row r="14" spans="1:20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92">
        <f>3290.97-0.3</f>
        <v>3290.6699999999996</v>
      </c>
      <c r="G14" s="92">
        <v>6115.29</v>
      </c>
      <c r="H14" s="92">
        <v>204366.95</v>
      </c>
      <c r="I14" s="39"/>
      <c r="J14" s="39"/>
      <c r="K14" s="45">
        <f>VLOOKUP(C14,'[11]period 8. nov'!$A$2:$I$128,9,0)</f>
        <v>201076.28</v>
      </c>
      <c r="L14" s="40" t="s">
        <v>365</v>
      </c>
      <c r="M14" s="40">
        <v>100758985</v>
      </c>
      <c r="N14" s="38"/>
      <c r="O14" s="38"/>
      <c r="P14" s="38"/>
      <c r="Q14" s="38"/>
      <c r="R14" s="103" t="s">
        <v>32</v>
      </c>
      <c r="S14" s="103">
        <v>2014</v>
      </c>
      <c r="T14" s="38"/>
    </row>
    <row r="15" spans="1:20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92">
        <f>1886.57-7.66</f>
        <v>1878.9099999999999</v>
      </c>
      <c r="G15" s="92">
        <v>12019.44</v>
      </c>
      <c r="H15" s="92">
        <v>190171.77</v>
      </c>
      <c r="I15" s="39"/>
      <c r="J15" s="39"/>
      <c r="K15" s="45">
        <f>VLOOKUP(C15,'[11]period 8. nov'!$A$2:$I$128,9,0)</f>
        <v>188292.86</v>
      </c>
      <c r="L15" s="40" t="s">
        <v>348</v>
      </c>
      <c r="M15" s="40">
        <v>100754551</v>
      </c>
      <c r="N15" s="38"/>
      <c r="O15" s="38"/>
      <c r="P15" s="38"/>
      <c r="Q15" s="38"/>
      <c r="R15" s="103" t="s">
        <v>33</v>
      </c>
      <c r="S15" s="103">
        <v>2015</v>
      </c>
      <c r="T15" s="38"/>
    </row>
    <row r="16" spans="1:20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92">
        <v>3224.49</v>
      </c>
      <c r="G16" s="92">
        <v>15424.56</v>
      </c>
      <c r="H16" s="92">
        <v>193499.3</v>
      </c>
      <c r="I16" s="39"/>
      <c r="J16" s="39"/>
      <c r="K16" s="45">
        <f>VLOOKUP(C16,'[11]period 8. nov'!$A$2:$I$128,9,0)</f>
        <v>190274.81</v>
      </c>
      <c r="L16" s="40" t="s">
        <v>353</v>
      </c>
      <c r="M16" s="40">
        <v>100755364</v>
      </c>
      <c r="N16" s="38"/>
      <c r="O16" s="38"/>
      <c r="P16" s="38"/>
      <c r="Q16" s="38"/>
      <c r="R16" s="103" t="s">
        <v>34</v>
      </c>
      <c r="S16" s="103">
        <v>2016</v>
      </c>
      <c r="T16" s="38"/>
    </row>
    <row r="17" spans="1:20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92">
        <f>4116.85-21.1</f>
        <v>4095.7500000000005</v>
      </c>
      <c r="G17" s="92">
        <v>39183.55</v>
      </c>
      <c r="H17" s="92">
        <v>414833.48</v>
      </c>
      <c r="I17" s="39"/>
      <c r="J17" s="39"/>
      <c r="K17" s="45">
        <f>VLOOKUP(C17,'[11]period 8. nov'!$A$2:$I$128,9,0)</f>
        <v>410737.73</v>
      </c>
      <c r="L17" s="40" t="s">
        <v>348</v>
      </c>
      <c r="M17" s="40">
        <v>100754553</v>
      </c>
      <c r="N17" s="38"/>
      <c r="O17" s="38"/>
      <c r="P17" s="38"/>
      <c r="Q17" s="38"/>
      <c r="R17" s="103" t="s">
        <v>35</v>
      </c>
      <c r="S17" s="103">
        <v>2017</v>
      </c>
      <c r="T17" s="38"/>
    </row>
    <row r="18" spans="1:20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92">
        <f>743.06-9.67</f>
        <v>733.39</v>
      </c>
      <c r="G18" s="92">
        <v>-4267.68</v>
      </c>
      <c r="H18" s="92">
        <v>134002.69</v>
      </c>
      <c r="I18" s="39"/>
      <c r="J18" s="39"/>
      <c r="K18" s="45">
        <f>VLOOKUP(C18,'[11]period 8. nov'!$A$2:$I$128,9,0)</f>
        <v>133269.3</v>
      </c>
      <c r="L18" s="40" t="s">
        <v>351</v>
      </c>
      <c r="M18" s="40">
        <v>100755194</v>
      </c>
      <c r="N18" s="38"/>
      <c r="O18" s="38"/>
      <c r="P18" s="38"/>
      <c r="Q18" s="38"/>
      <c r="R18" s="107" t="s">
        <v>37</v>
      </c>
      <c r="S18" s="103">
        <v>2018</v>
      </c>
      <c r="T18" s="38"/>
    </row>
    <row r="19" spans="1:20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92">
        <v>3325.85</v>
      </c>
      <c r="G19" s="92">
        <v>30126.13</v>
      </c>
      <c r="H19" s="92">
        <v>103772.33</v>
      </c>
      <c r="I19" s="39"/>
      <c r="J19" s="39"/>
      <c r="K19" s="45">
        <f>VLOOKUP(C19,'[11]period 8. nov'!$A$2:$I$128,9,0)</f>
        <v>100446.48</v>
      </c>
      <c r="L19" s="40" t="s">
        <v>351</v>
      </c>
      <c r="M19" s="40">
        <v>100755199</v>
      </c>
      <c r="N19" s="42"/>
      <c r="O19" s="38"/>
      <c r="P19" s="38"/>
      <c r="Q19" s="38"/>
      <c r="R19" s="103" t="s">
        <v>38</v>
      </c>
      <c r="S19" s="103">
        <v>2019</v>
      </c>
      <c r="T19" s="38"/>
    </row>
    <row r="20" spans="1:20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92">
        <v>9763.3</v>
      </c>
      <c r="G20" s="92">
        <v>70744.03</v>
      </c>
      <c r="H20" s="92">
        <v>86229.9</v>
      </c>
      <c r="I20" s="39"/>
      <c r="J20" s="39"/>
      <c r="K20" s="45">
        <f>VLOOKUP(C20,'[11]period 8. nov'!$A$2:$I$128,9,0)</f>
        <v>76466.59999999992</v>
      </c>
      <c r="L20" s="40" t="s">
        <v>356</v>
      </c>
      <c r="M20" s="40">
        <v>100755933</v>
      </c>
      <c r="N20" s="38"/>
      <c r="O20" s="38"/>
      <c r="P20" s="38"/>
      <c r="Q20" s="38"/>
      <c r="R20" s="103" t="s">
        <v>40</v>
      </c>
      <c r="S20" s="103">
        <v>2021</v>
      </c>
      <c r="T20" s="38"/>
    </row>
    <row r="21" spans="1:20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92">
        <f>4246.65-12.39</f>
        <v>4234.259999999999</v>
      </c>
      <c r="G21" s="92">
        <v>-43915.49</v>
      </c>
      <c r="H21" s="92">
        <v>451192.83</v>
      </c>
      <c r="I21" s="39"/>
      <c r="J21" s="39"/>
      <c r="K21" s="45">
        <f>VLOOKUP(C21,'[11]period 8. nov'!$A$2:$I$128,9,0)</f>
        <v>446958.57</v>
      </c>
      <c r="L21" s="40" t="s">
        <v>341</v>
      </c>
      <c r="M21" s="40">
        <v>100753450</v>
      </c>
      <c r="N21" s="38"/>
      <c r="O21" s="38"/>
      <c r="P21" s="38"/>
      <c r="Q21" s="38"/>
      <c r="R21" s="103" t="s">
        <v>41</v>
      </c>
      <c r="S21" s="103">
        <v>2022</v>
      </c>
      <c r="T21" s="38"/>
    </row>
    <row r="22" spans="1:20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92">
        <f>7930.91-46.6</f>
        <v>7884.3099999999995</v>
      </c>
      <c r="G22" s="92">
        <v>54428.18</v>
      </c>
      <c r="H22" s="92">
        <v>280857.4</v>
      </c>
      <c r="I22" s="39"/>
      <c r="J22" s="40"/>
      <c r="K22" s="45">
        <f>VLOOKUP(C22,'[11]period 8. nov'!$A$2:$I$128,9,0)</f>
        <v>272973.09</v>
      </c>
      <c r="L22" s="40" t="s">
        <v>357</v>
      </c>
      <c r="M22" s="40">
        <v>100757219</v>
      </c>
      <c r="N22" s="38"/>
      <c r="O22" s="38"/>
      <c r="P22" s="38"/>
      <c r="Q22" s="38"/>
      <c r="R22" s="103" t="s">
        <v>42</v>
      </c>
      <c r="S22" s="103">
        <v>2023</v>
      </c>
      <c r="T22" s="38"/>
    </row>
    <row r="23" spans="1:20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92">
        <f>1529.28-3.37</f>
        <v>1525.91</v>
      </c>
      <c r="G23" s="92">
        <v>-2332.94</v>
      </c>
      <c r="H23" s="92">
        <v>97738.66</v>
      </c>
      <c r="I23" s="39"/>
      <c r="J23" s="155" t="s">
        <v>345</v>
      </c>
      <c r="K23" s="45">
        <f>VLOOKUP(C23,'[11]period 8. nov'!$A$2:$I$128,9,0)</f>
        <v>96212.7500000001</v>
      </c>
      <c r="L23" s="40" t="s">
        <v>341</v>
      </c>
      <c r="M23" s="40" t="s">
        <v>344</v>
      </c>
      <c r="N23" s="38"/>
      <c r="O23" s="38"/>
      <c r="P23" s="38"/>
      <c r="Q23" s="38"/>
      <c r="R23" s="103" t="s">
        <v>183</v>
      </c>
      <c r="S23" s="103">
        <v>2024</v>
      </c>
      <c r="T23" s="38"/>
    </row>
    <row r="24" spans="1:20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92">
        <f>-4116.93-5.35</f>
        <v>-4122.280000000001</v>
      </c>
      <c r="G24" s="92">
        <v>12940.56</v>
      </c>
      <c r="H24" s="92">
        <v>136559.63</v>
      </c>
      <c r="I24" s="39"/>
      <c r="J24" s="39"/>
      <c r="K24" s="45">
        <f>VLOOKUP(C24,'[11]period 8. nov'!$A$2:$I$128,9,0)</f>
        <v>140681.91</v>
      </c>
      <c r="L24" s="40" t="s">
        <v>357</v>
      </c>
      <c r="M24" s="40">
        <v>100757217</v>
      </c>
      <c r="N24" s="38"/>
      <c r="O24" s="38"/>
      <c r="P24" s="38"/>
      <c r="Q24" s="38"/>
      <c r="R24" s="103" t="s">
        <v>44</v>
      </c>
      <c r="S24" s="103">
        <v>2025</v>
      </c>
      <c r="T24" s="38"/>
    </row>
    <row r="25" spans="1:20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92">
        <f>5871.85-16.91</f>
        <v>5854.9400000000005</v>
      </c>
      <c r="G25" s="92">
        <v>20649.37</v>
      </c>
      <c r="H25" s="92">
        <v>341743.45</v>
      </c>
      <c r="I25" s="39"/>
      <c r="J25" s="39"/>
      <c r="K25" s="45">
        <f>VLOOKUP(C25,'[11]period 8. nov'!$A$2:$I$128,9,0)</f>
        <v>335888.51</v>
      </c>
      <c r="L25" s="40" t="s">
        <v>362</v>
      </c>
      <c r="M25" s="40">
        <v>100758420</v>
      </c>
      <c r="N25" s="38"/>
      <c r="O25" s="38"/>
      <c r="P25" s="38"/>
      <c r="Q25" s="38"/>
      <c r="R25" s="103" t="s">
        <v>45</v>
      </c>
      <c r="S25" s="103">
        <v>2026</v>
      </c>
      <c r="T25" s="38"/>
    </row>
    <row r="26" spans="1:20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92">
        <f>4693.65-17.87</f>
        <v>4675.78</v>
      </c>
      <c r="G26" s="92">
        <v>4460.89</v>
      </c>
      <c r="H26" s="92">
        <v>138172.56</v>
      </c>
      <c r="I26" s="39"/>
      <c r="J26" s="155" t="s">
        <v>345</v>
      </c>
      <c r="K26" s="45">
        <f>VLOOKUP(C26,'[11]period 8. nov'!$A$2:$I$128,9,0)</f>
        <v>133496.78</v>
      </c>
      <c r="L26" s="40" t="s">
        <v>348</v>
      </c>
      <c r="M26" s="40" t="s">
        <v>360</v>
      </c>
      <c r="N26" s="38"/>
      <c r="O26" s="38"/>
      <c r="P26" s="38"/>
      <c r="Q26" s="38"/>
      <c r="R26" s="103" t="s">
        <v>46</v>
      </c>
      <c r="S26" s="103">
        <v>2027</v>
      </c>
      <c r="T26" s="38"/>
    </row>
    <row r="27" spans="1:20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92">
        <f>5706.67-13.94</f>
        <v>5692.7300000000005</v>
      </c>
      <c r="G27" s="92">
        <v>161514.62</v>
      </c>
      <c r="H27" s="92">
        <v>211296.59</v>
      </c>
      <c r="I27" s="39"/>
      <c r="J27" s="39"/>
      <c r="K27" s="45">
        <f>VLOOKUP(C27,'[11]period 8. nov'!$A$2:$I$128,9,0)</f>
        <v>205603.86</v>
      </c>
      <c r="L27" s="40" t="s">
        <v>367</v>
      </c>
      <c r="M27" s="40">
        <v>100759528</v>
      </c>
      <c r="N27" s="38"/>
      <c r="O27" s="38"/>
      <c r="P27" s="38"/>
      <c r="Q27" s="38"/>
      <c r="R27" s="103" t="s">
        <v>47</v>
      </c>
      <c r="S27" s="103">
        <v>2028</v>
      </c>
      <c r="T27" s="38"/>
    </row>
    <row r="28" spans="1:20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92">
        <f>4728.33-47.29</f>
        <v>4681.04</v>
      </c>
      <c r="G28" s="92">
        <v>33591.01</v>
      </c>
      <c r="H28" s="92">
        <v>168652.19</v>
      </c>
      <c r="I28" s="39"/>
      <c r="J28" s="39"/>
      <c r="K28" s="45">
        <f>VLOOKUP(C28,'[11]period 8. nov'!$A$2:$I$128,9,0)</f>
        <v>163971.15</v>
      </c>
      <c r="L28" s="40" t="s">
        <v>357</v>
      </c>
      <c r="M28" s="40">
        <v>100757225</v>
      </c>
      <c r="N28" s="38"/>
      <c r="O28" s="38"/>
      <c r="P28" s="38"/>
      <c r="Q28" s="38"/>
      <c r="R28" s="103" t="s">
        <v>48</v>
      </c>
      <c r="S28" s="103">
        <v>2029</v>
      </c>
      <c r="T28" s="38"/>
    </row>
    <row r="29" spans="1:20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92">
        <f>7854.27-58.22</f>
        <v>7796.05</v>
      </c>
      <c r="G29" s="92">
        <v>10540.96</v>
      </c>
      <c r="H29" s="92">
        <v>37979.51</v>
      </c>
      <c r="I29" s="39"/>
      <c r="J29" s="39"/>
      <c r="K29" s="45">
        <f>VLOOKUP(C29,'[11]period 8. nov'!$A$2:$I$128,9,0)</f>
        <v>30183.46</v>
      </c>
      <c r="L29" s="40" t="s">
        <v>365</v>
      </c>
      <c r="M29" s="40">
        <v>100758983</v>
      </c>
      <c r="N29" s="38"/>
      <c r="O29" s="38"/>
      <c r="P29" s="38"/>
      <c r="Q29" s="38"/>
      <c r="R29" s="103" t="s">
        <v>50</v>
      </c>
      <c r="S29" s="103">
        <v>2030</v>
      </c>
      <c r="T29" s="38"/>
    </row>
    <row r="30" spans="1:20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92">
        <v>3020.17</v>
      </c>
      <c r="G30" s="92">
        <v>15890.97</v>
      </c>
      <c r="H30" s="92">
        <v>229089.04</v>
      </c>
      <c r="I30" s="39"/>
      <c r="J30" s="39"/>
      <c r="K30" s="45">
        <f>VLOOKUP(C30,'[11]period 8. nov'!$A$2:$I$128,9,0)</f>
        <v>225771.87</v>
      </c>
      <c r="L30" s="40" t="s">
        <v>362</v>
      </c>
      <c r="M30" s="40">
        <v>100758408</v>
      </c>
      <c r="N30" s="38"/>
      <c r="O30" s="38"/>
      <c r="P30" s="38"/>
      <c r="Q30" s="38"/>
      <c r="R30" s="106" t="s">
        <v>52</v>
      </c>
      <c r="S30" s="103">
        <v>2031</v>
      </c>
      <c r="T30" s="38"/>
    </row>
    <row r="31" spans="1:20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92">
        <f>4707.15-14.89</f>
        <v>4692.259999999999</v>
      </c>
      <c r="G31" s="92">
        <v>48776.42</v>
      </c>
      <c r="H31" s="92">
        <v>207358.81</v>
      </c>
      <c r="I31" s="39"/>
      <c r="J31" s="39"/>
      <c r="K31" s="45">
        <f>VLOOKUP(C31,'[11]period 8. nov'!$A$2:$I$128,9,0)</f>
        <v>202668.13</v>
      </c>
      <c r="L31" s="40" t="s">
        <v>365</v>
      </c>
      <c r="M31" s="40">
        <v>100758974</v>
      </c>
      <c r="N31" s="38"/>
      <c r="O31" s="38"/>
      <c r="P31" s="38"/>
      <c r="Q31" s="38"/>
      <c r="R31" s="103" t="s">
        <v>53</v>
      </c>
      <c r="S31" s="103">
        <v>2032</v>
      </c>
      <c r="T31" s="38"/>
    </row>
    <row r="32" spans="1:20" ht="16.5" thickBot="1">
      <c r="A32" s="37">
        <v>3524</v>
      </c>
      <c r="B32" s="37">
        <v>11278</v>
      </c>
      <c r="C32" s="47">
        <v>938590</v>
      </c>
      <c r="D32" s="40" t="s">
        <v>396</v>
      </c>
      <c r="E32" s="39"/>
      <c r="F32" s="92"/>
      <c r="G32" s="92"/>
      <c r="H32" s="92"/>
      <c r="I32" s="39"/>
      <c r="J32" s="39"/>
      <c r="K32" s="45"/>
      <c r="L32" s="40"/>
      <c r="M32" s="40">
        <v>1</v>
      </c>
      <c r="N32" s="38"/>
      <c r="O32" s="38"/>
      <c r="P32" s="38"/>
      <c r="Q32" s="38"/>
      <c r="R32" s="103"/>
      <c r="S32" s="103"/>
      <c r="T32" s="38"/>
    </row>
    <row r="33" spans="1:20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92">
        <f>3281.71-10.31</f>
        <v>3271.4</v>
      </c>
      <c r="G33" s="92">
        <v>28305.8</v>
      </c>
      <c r="H33" s="92">
        <v>220376.46</v>
      </c>
      <c r="I33" s="39"/>
      <c r="J33" s="155" t="s">
        <v>345</v>
      </c>
      <c r="K33" s="45">
        <f>VLOOKUP(C33,'[11]period 8. nov'!$A$2:$I$128,9,0)</f>
        <v>217105.06</v>
      </c>
      <c r="L33" s="40" t="s">
        <v>362</v>
      </c>
      <c r="M33" s="40" t="s">
        <v>364</v>
      </c>
      <c r="N33" s="38"/>
      <c r="O33" s="38"/>
      <c r="P33" s="38"/>
      <c r="Q33" s="38"/>
      <c r="R33" s="103" t="s">
        <v>57</v>
      </c>
      <c r="S33" s="103">
        <v>2036</v>
      </c>
      <c r="T33" s="38"/>
    </row>
    <row r="34" spans="1:20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92">
        <v>995.45</v>
      </c>
      <c r="G34" s="92">
        <v>785.3</v>
      </c>
      <c r="H34" s="92">
        <v>210141.16</v>
      </c>
      <c r="I34" s="39"/>
      <c r="J34" s="39"/>
      <c r="K34" s="45">
        <f>VLOOKUP(C34,'[11]period 8. nov'!$A$2:$I$128,9,0)</f>
        <v>209145.71</v>
      </c>
      <c r="L34" s="40" t="s">
        <v>354</v>
      </c>
      <c r="M34" s="40">
        <v>100755377</v>
      </c>
      <c r="N34" s="38"/>
      <c r="O34" s="38"/>
      <c r="P34" s="38"/>
      <c r="Q34" s="38"/>
      <c r="R34" s="103" t="s">
        <v>58</v>
      </c>
      <c r="S34" s="103">
        <v>2037</v>
      </c>
      <c r="T34" s="38"/>
    </row>
    <row r="35" spans="1:20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92">
        <v>7039.71</v>
      </c>
      <c r="G35" s="92">
        <v>48845.77</v>
      </c>
      <c r="H35" s="92">
        <v>290164.05</v>
      </c>
      <c r="I35" s="39"/>
      <c r="J35" s="155" t="s">
        <v>345</v>
      </c>
      <c r="K35" s="45">
        <f>VLOOKUP(C35,'[11]period 8. nov'!$A$2:$I$128,9,0)</f>
        <v>283124.34</v>
      </c>
      <c r="L35" s="40" t="s">
        <v>351</v>
      </c>
      <c r="M35" s="40" t="s">
        <v>352</v>
      </c>
      <c r="N35" s="38"/>
      <c r="O35" s="38"/>
      <c r="P35" s="38"/>
      <c r="Q35" s="38"/>
      <c r="R35" s="103" t="s">
        <v>63</v>
      </c>
      <c r="S35" s="103">
        <v>2042</v>
      </c>
      <c r="T35" s="38"/>
    </row>
    <row r="36" spans="1:20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92">
        <f>4016.32-45.97</f>
        <v>3970.3500000000004</v>
      </c>
      <c r="G36" s="92">
        <v>-17106.43</v>
      </c>
      <c r="H36" s="92">
        <v>92290.51</v>
      </c>
      <c r="I36" s="39"/>
      <c r="J36" s="39"/>
      <c r="K36" s="45">
        <f>VLOOKUP(C36,'[11]period 8. nov'!$A$2:$I$128,9,0)</f>
        <v>88320.16</v>
      </c>
      <c r="L36" s="40" t="s">
        <v>356</v>
      </c>
      <c r="M36" s="40">
        <v>100755932</v>
      </c>
      <c r="N36" s="38"/>
      <c r="O36" s="38"/>
      <c r="P36" s="38"/>
      <c r="Q36" s="38"/>
      <c r="R36" s="103" t="s">
        <v>64</v>
      </c>
      <c r="S36" s="103">
        <v>2043</v>
      </c>
      <c r="T36" s="38"/>
    </row>
    <row r="37" spans="1:20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92">
        <f>4155.72-53.14</f>
        <v>4102.58</v>
      </c>
      <c r="G37" s="92">
        <v>21857.08</v>
      </c>
      <c r="H37" s="92">
        <v>135939.07</v>
      </c>
      <c r="I37" s="39"/>
      <c r="J37" s="39"/>
      <c r="K37" s="45">
        <f>VLOOKUP(C37,'[11]period 8. nov'!$A$2:$I$128,9,0)</f>
        <v>131836.49</v>
      </c>
      <c r="L37" s="40" t="s">
        <v>341</v>
      </c>
      <c r="M37" s="40">
        <v>100753428</v>
      </c>
      <c r="N37" s="38"/>
      <c r="O37" s="38"/>
      <c r="P37" s="38"/>
      <c r="Q37" s="38"/>
      <c r="R37" s="106" t="s">
        <v>65</v>
      </c>
      <c r="S37" s="103">
        <v>2044</v>
      </c>
      <c r="T37" s="38"/>
    </row>
    <row r="38" spans="1:20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92">
        <v>8449.28</v>
      </c>
      <c r="G38" s="92">
        <v>77333.43</v>
      </c>
      <c r="H38" s="92">
        <v>159904.58</v>
      </c>
      <c r="I38" s="39"/>
      <c r="J38" s="39"/>
      <c r="K38" s="45">
        <f>VLOOKUP(C38,'[11]period 8. nov'!$A$2:$I$128,9,0)</f>
        <v>228788.73</v>
      </c>
      <c r="L38" s="40" t="s">
        <v>369</v>
      </c>
      <c r="M38" s="40">
        <v>100760089</v>
      </c>
      <c r="N38" s="38"/>
      <c r="O38" s="38"/>
      <c r="P38" s="38"/>
      <c r="Q38" s="38"/>
      <c r="R38" s="103" t="s">
        <v>66</v>
      </c>
      <c r="S38" s="103">
        <v>2045</v>
      </c>
      <c r="T38" s="38"/>
    </row>
    <row r="39" spans="1:20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92">
        <v>230.97</v>
      </c>
      <c r="G39" s="92">
        <v>2278.63</v>
      </c>
      <c r="H39" s="92">
        <v>113286.44</v>
      </c>
      <c r="I39" s="39"/>
      <c r="J39" s="39"/>
      <c r="K39" s="45">
        <f>VLOOKUP(C39,'[11]period 8. nov'!$A$2:$I$128,9,0)</f>
        <v>113055.47</v>
      </c>
      <c r="L39" s="40" t="s">
        <v>351</v>
      </c>
      <c r="M39" s="40">
        <v>100755200</v>
      </c>
      <c r="N39" s="38"/>
      <c r="O39" s="38"/>
      <c r="P39" s="38"/>
      <c r="Q39" s="38"/>
      <c r="R39" s="103" t="s">
        <v>87</v>
      </c>
      <c r="S39" s="103">
        <v>2052</v>
      </c>
      <c r="T39" s="38"/>
    </row>
    <row r="40" spans="1:20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92">
        <v>1567.35</v>
      </c>
      <c r="G40" s="92">
        <v>7459.23</v>
      </c>
      <c r="H40" s="92">
        <v>29.46</v>
      </c>
      <c r="I40" s="39"/>
      <c r="J40" s="39"/>
      <c r="K40" s="45">
        <f>VLOOKUP(C40,'[11]period 8. nov'!$A$2:$I$128,9,0)</f>
        <v>-1537.8900000000249</v>
      </c>
      <c r="L40" s="40" t="s">
        <v>356</v>
      </c>
      <c r="M40" s="40">
        <v>100756717</v>
      </c>
      <c r="N40" s="38"/>
      <c r="O40" s="38"/>
      <c r="P40" s="38"/>
      <c r="Q40" s="38"/>
      <c r="R40" s="103" t="s">
        <v>95</v>
      </c>
      <c r="S40" s="103">
        <v>2054</v>
      </c>
      <c r="T40" s="38"/>
    </row>
    <row r="41" spans="1:20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92">
        <v>1242.59</v>
      </c>
      <c r="G41" s="92">
        <v>10778.37</v>
      </c>
      <c r="H41" s="92">
        <v>80327.13</v>
      </c>
      <c r="I41" s="39"/>
      <c r="J41" s="39"/>
      <c r="K41" s="45">
        <f>VLOOKUP(C41,'[11]period 8. nov'!$A$2:$I$128,9,0)</f>
        <v>79084.53999999989</v>
      </c>
      <c r="L41" s="40" t="s">
        <v>357</v>
      </c>
      <c r="M41" s="40">
        <v>100757194</v>
      </c>
      <c r="N41" s="38"/>
      <c r="O41" s="38"/>
      <c r="P41" s="38"/>
      <c r="Q41" s="38"/>
      <c r="R41" s="103" t="s">
        <v>90</v>
      </c>
      <c r="S41" s="103">
        <v>2055</v>
      </c>
      <c r="T41" s="38"/>
    </row>
    <row r="42" spans="1:20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92">
        <v>13008.18</v>
      </c>
      <c r="G42" s="92">
        <v>61011.59</v>
      </c>
      <c r="H42" s="92">
        <v>84172.63</v>
      </c>
      <c r="I42" s="39"/>
      <c r="J42" s="39"/>
      <c r="K42" s="45">
        <f>VLOOKUP(C42,'[11]period 8. nov'!$A$2:$I$128,9,0)</f>
        <v>71164.45000000007</v>
      </c>
      <c r="L42" s="40" t="s">
        <v>326</v>
      </c>
      <c r="M42" s="40">
        <v>100757726</v>
      </c>
      <c r="N42" s="38"/>
      <c r="O42" s="38"/>
      <c r="P42" s="38"/>
      <c r="Q42" s="38"/>
      <c r="R42" s="103" t="s">
        <v>91</v>
      </c>
      <c r="S42" s="103">
        <v>2056</v>
      </c>
      <c r="T42" s="38"/>
    </row>
    <row r="43" spans="1:20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92">
        <v>2821.65</v>
      </c>
      <c r="G43" s="92">
        <v>11789.91</v>
      </c>
      <c r="H43" s="92">
        <v>116551.28</v>
      </c>
      <c r="I43" s="39"/>
      <c r="J43" s="39"/>
      <c r="K43" s="45">
        <f>VLOOKUP(C43,'[11]period 8. nov'!$A$2:$I$128,9,0)</f>
        <v>113729.63</v>
      </c>
      <c r="L43" s="40" t="s">
        <v>351</v>
      </c>
      <c r="M43" s="40">
        <v>100755193</v>
      </c>
      <c r="N43" s="38"/>
      <c r="O43" s="38"/>
      <c r="P43" s="38"/>
      <c r="Q43" s="38"/>
      <c r="R43" s="103" t="s">
        <v>92</v>
      </c>
      <c r="S43" s="103">
        <v>2057</v>
      </c>
      <c r="T43" s="38"/>
    </row>
    <row r="44" spans="1:20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92">
        <v>6864</v>
      </c>
      <c r="G44" s="92">
        <v>27376.27</v>
      </c>
      <c r="H44" s="92">
        <v>379268.96</v>
      </c>
      <c r="I44" s="39"/>
      <c r="J44" s="39"/>
      <c r="K44" s="45">
        <f>VLOOKUP(C44,'[11]period 8. nov'!$A$2:$I$128,9,0)</f>
        <v>372404.97</v>
      </c>
      <c r="L44" s="40" t="s">
        <v>353</v>
      </c>
      <c r="M44" s="40">
        <v>100755368</v>
      </c>
      <c r="N44" s="38"/>
      <c r="O44" s="38"/>
      <c r="P44" s="38"/>
      <c r="Q44" s="38"/>
      <c r="R44" s="103" t="s">
        <v>94</v>
      </c>
      <c r="S44" s="103">
        <v>2060</v>
      </c>
      <c r="T44" s="38"/>
    </row>
    <row r="45" spans="1:20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92">
        <v>1860.7</v>
      </c>
      <c r="G45" s="92">
        <v>7907.55</v>
      </c>
      <c r="H45" s="92">
        <v>40949.81</v>
      </c>
      <c r="I45" s="39"/>
      <c r="J45" s="39"/>
      <c r="K45" s="45">
        <f>VLOOKUP(C45,'[11]period 8. nov'!$A$2:$I$128,9,0)</f>
        <v>39089.11</v>
      </c>
      <c r="L45" s="40" t="s">
        <v>367</v>
      </c>
      <c r="M45" s="40">
        <v>100758989</v>
      </c>
      <c r="N45" s="38"/>
      <c r="O45" s="38"/>
      <c r="P45" s="38"/>
      <c r="Q45" s="38"/>
      <c r="R45" s="106" t="s">
        <v>21</v>
      </c>
      <c r="S45" s="103">
        <v>2064</v>
      </c>
      <c r="T45" s="38"/>
    </row>
    <row r="46" spans="1:20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92">
        <f>2259.99-237.88</f>
        <v>2022.1099999999997</v>
      </c>
      <c r="G46" s="92">
        <v>32798.09</v>
      </c>
      <c r="H46" s="92">
        <v>196274.33</v>
      </c>
      <c r="I46" s="39"/>
      <c r="J46" s="39"/>
      <c r="K46" s="45">
        <f>VLOOKUP(C46,'[11]period 8. nov'!$A$2:$I$128,9,0)</f>
        <v>194252.22</v>
      </c>
      <c r="L46" s="40" t="s">
        <v>358</v>
      </c>
      <c r="M46" s="40">
        <v>100757715</v>
      </c>
      <c r="N46" s="38"/>
      <c r="O46" s="38"/>
      <c r="P46" s="38"/>
      <c r="Q46" s="38"/>
      <c r="R46" s="103" t="s">
        <v>28</v>
      </c>
      <c r="S46" s="103">
        <v>2067</v>
      </c>
      <c r="T46" s="38"/>
    </row>
    <row r="47" spans="1:20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92">
        <f>3238.95-0.84</f>
        <v>3238.1099999999997</v>
      </c>
      <c r="G47" s="92">
        <v>7023.53</v>
      </c>
      <c r="H47" s="92">
        <v>195505.09</v>
      </c>
      <c r="I47" s="39"/>
      <c r="J47" s="39"/>
      <c r="K47" s="45">
        <f>VLOOKUP(C47,'[11]period 8. nov'!$A$2:$I$128,9,0)</f>
        <v>192266.98</v>
      </c>
      <c r="L47" s="40" t="s">
        <v>351</v>
      </c>
      <c r="M47" s="40">
        <v>100755188</v>
      </c>
      <c r="N47" s="38"/>
      <c r="O47" s="38"/>
      <c r="P47" s="38"/>
      <c r="Q47" s="38"/>
      <c r="R47" s="103" t="s">
        <v>88</v>
      </c>
      <c r="S47" s="103">
        <v>2070</v>
      </c>
      <c r="T47" s="38"/>
    </row>
    <row r="48" spans="1:20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92">
        <f>8161.58-4.47</f>
        <v>8157.11</v>
      </c>
      <c r="G48" s="92">
        <v>185532.23</v>
      </c>
      <c r="H48" s="92">
        <v>202997.9</v>
      </c>
      <c r="I48" s="39"/>
      <c r="J48" s="39"/>
      <c r="K48" s="45">
        <f>VLOOKUP(C48,'[11]period 8. nov'!$A$2:$I$128,9,0)</f>
        <v>194840.79</v>
      </c>
      <c r="L48" s="40" t="s">
        <v>348</v>
      </c>
      <c r="M48" s="40">
        <v>100754575</v>
      </c>
      <c r="N48" s="38"/>
      <c r="O48" s="38"/>
      <c r="P48" s="38"/>
      <c r="Q48" s="38"/>
      <c r="R48" s="103" t="s">
        <v>71</v>
      </c>
      <c r="S48" s="103">
        <v>2071</v>
      </c>
      <c r="T48" s="38"/>
    </row>
    <row r="49" spans="1:20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92">
        <f>2139.86-42.07</f>
        <v>2097.79</v>
      </c>
      <c r="G49" s="92">
        <v>6518.19</v>
      </c>
      <c r="H49" s="92">
        <v>57091.18</v>
      </c>
      <c r="I49" s="39"/>
      <c r="J49" s="39"/>
      <c r="K49" s="45">
        <f>VLOOKUP(C49,'[11]period 8. nov'!$A$2:$I$128,9,0)</f>
        <v>61511.579999999936</v>
      </c>
      <c r="L49" s="40" t="s">
        <v>369</v>
      </c>
      <c r="M49" s="40">
        <v>100760088</v>
      </c>
      <c r="N49" s="38"/>
      <c r="O49" s="38"/>
      <c r="P49" s="38"/>
      <c r="Q49" s="38"/>
      <c r="R49" s="103" t="s">
        <v>70</v>
      </c>
      <c r="S49" s="103">
        <v>2072</v>
      </c>
      <c r="T49" s="38"/>
    </row>
    <row r="50" spans="1:20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92">
        <v>2940.25</v>
      </c>
      <c r="G50" s="92">
        <v>-15358.51</v>
      </c>
      <c r="H50" s="92">
        <v>21423.12</v>
      </c>
      <c r="I50" s="39"/>
      <c r="J50" s="39"/>
      <c r="K50" s="45">
        <f>VLOOKUP(C50,'[11]period 8. nov'!$A$2:$I$128,9,0)</f>
        <v>18482.87</v>
      </c>
      <c r="L50" s="40" t="s">
        <v>356</v>
      </c>
      <c r="M50" s="40" t="s">
        <v>359</v>
      </c>
      <c r="N50" s="38"/>
      <c r="O50" s="38"/>
      <c r="P50" s="38"/>
      <c r="Q50" s="38"/>
      <c r="R50" s="103" t="s">
        <v>36</v>
      </c>
      <c r="S50" s="103">
        <v>2073</v>
      </c>
      <c r="T50" s="38"/>
    </row>
    <row r="51" spans="1:20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158">
        <v>3045.74</v>
      </c>
      <c r="G51" s="158">
        <v>-8692.44</v>
      </c>
      <c r="H51" s="158">
        <v>109580.29</v>
      </c>
      <c r="K51" s="45">
        <f>VLOOKUP(C51,'[11]period 8. nov'!$A$2:$I$128,9,0)</f>
        <v>106534.55</v>
      </c>
      <c r="L51" s="40" t="s">
        <v>362</v>
      </c>
      <c r="M51" s="40">
        <v>100758434</v>
      </c>
      <c r="N51" s="38"/>
      <c r="O51" s="38"/>
      <c r="P51" s="38"/>
      <c r="Q51" s="38"/>
      <c r="R51" s="103" t="s">
        <v>184</v>
      </c>
      <c r="S51" s="103">
        <v>2074</v>
      </c>
      <c r="T51" s="38"/>
    </row>
    <row r="52" spans="1:20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92">
        <v>1288.59</v>
      </c>
      <c r="G52" s="92">
        <v>9245.76</v>
      </c>
      <c r="H52" s="92">
        <v>54054.88</v>
      </c>
      <c r="I52" s="39"/>
      <c r="J52" s="39"/>
      <c r="K52" s="45">
        <f>VLOOKUP(C52,'[11]period 8. nov'!$A$2:$I$128,9,0)</f>
        <v>52766.29</v>
      </c>
      <c r="L52" s="40" t="s">
        <v>353</v>
      </c>
      <c r="M52" s="40">
        <v>100755363</v>
      </c>
      <c r="N52" s="38"/>
      <c r="O52" s="38"/>
      <c r="P52" s="38"/>
      <c r="Q52" s="38"/>
      <c r="R52" s="103" t="s">
        <v>93</v>
      </c>
      <c r="S52" s="103">
        <v>2076</v>
      </c>
      <c r="T52" s="38"/>
    </row>
    <row r="53" spans="1:20" ht="16.5" thickBot="1">
      <c r="A53" s="37">
        <v>2042</v>
      </c>
      <c r="B53" s="37">
        <v>10079</v>
      </c>
      <c r="C53" s="47">
        <v>938180</v>
      </c>
      <c r="D53" s="40" t="s">
        <v>63</v>
      </c>
      <c r="E53" s="39"/>
      <c r="F53" s="92">
        <v>1068.87</v>
      </c>
      <c r="G53" s="92">
        <v>-5935.03</v>
      </c>
      <c r="H53" s="92">
        <v>171883.29</v>
      </c>
      <c r="I53" s="39"/>
      <c r="J53" s="39"/>
      <c r="K53" s="45">
        <f>VLOOKUP(C53,'[11]period 8. nov'!$A$2:$I$128,9,0)</f>
        <v>170814.42</v>
      </c>
      <c r="L53" s="40" t="s">
        <v>358</v>
      </c>
      <c r="M53" s="40">
        <v>100757731</v>
      </c>
      <c r="N53" s="38"/>
      <c r="O53" s="38"/>
      <c r="P53" s="38"/>
      <c r="Q53" s="38"/>
      <c r="R53" s="103" t="s">
        <v>186</v>
      </c>
      <c r="S53" s="103">
        <v>2077</v>
      </c>
      <c r="T53" s="38"/>
    </row>
    <row r="54" spans="1:20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92">
        <v>646.87</v>
      </c>
      <c r="G54" s="92">
        <v>5339.74</v>
      </c>
      <c r="H54" s="92">
        <v>113544</v>
      </c>
      <c r="I54" s="39"/>
      <c r="J54" s="39"/>
      <c r="K54" s="45">
        <f>VLOOKUP(C54,'[11]period 8. nov'!$A$2:$I$128,9,0)</f>
        <v>112897.13</v>
      </c>
      <c r="L54" s="40" t="s">
        <v>356</v>
      </c>
      <c r="M54" s="40">
        <v>100756743</v>
      </c>
      <c r="N54" s="38"/>
      <c r="O54" s="38"/>
      <c r="P54" s="38"/>
      <c r="Q54" s="38"/>
      <c r="R54" s="106" t="s">
        <v>187</v>
      </c>
      <c r="S54" s="103">
        <v>2078</v>
      </c>
      <c r="T54" s="38"/>
    </row>
    <row r="55" spans="1:20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92">
        <v>9500.87</v>
      </c>
      <c r="G55" s="92">
        <v>62498.57</v>
      </c>
      <c r="H55" s="92">
        <v>138881.16</v>
      </c>
      <c r="I55" s="39"/>
      <c r="J55" s="39"/>
      <c r="K55" s="45">
        <f>VLOOKUP(C55,'[11]period 8. nov'!$A$2:$I$128,9,0)</f>
        <v>129380.29</v>
      </c>
      <c r="L55" s="40" t="s">
        <v>356</v>
      </c>
      <c r="M55" s="40">
        <v>100756740</v>
      </c>
      <c r="N55" s="38"/>
      <c r="O55" s="38"/>
      <c r="P55" s="38"/>
      <c r="Q55" s="38"/>
      <c r="R55" s="103" t="s">
        <v>124</v>
      </c>
      <c r="S55" s="106">
        <v>2079</v>
      </c>
      <c r="T55" s="38"/>
    </row>
    <row r="56" spans="1:20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92">
        <v>3956.33</v>
      </c>
      <c r="G56" s="92">
        <v>33158.28</v>
      </c>
      <c r="H56" s="92">
        <v>196718.45</v>
      </c>
      <c r="I56" s="39"/>
      <c r="J56" s="39"/>
      <c r="K56" s="45">
        <f>VLOOKUP(C56,'[11]period 8. nov'!$A$2:$I$128,9,0)</f>
        <v>192762.12</v>
      </c>
      <c r="L56" s="40" t="s">
        <v>356</v>
      </c>
      <c r="M56" s="40">
        <v>100756736</v>
      </c>
      <c r="N56" s="38"/>
      <c r="O56" s="38"/>
      <c r="P56" s="38"/>
      <c r="Q56" s="38"/>
      <c r="R56" s="106" t="s">
        <v>17</v>
      </c>
      <c r="S56" s="103">
        <v>3300</v>
      </c>
      <c r="T56" s="38"/>
    </row>
    <row r="57" spans="1:20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92">
        <f>3847.5-21.24</f>
        <v>3826.26</v>
      </c>
      <c r="G57" s="92">
        <v>42514.51</v>
      </c>
      <c r="H57" s="92">
        <v>126297.38</v>
      </c>
      <c r="I57" s="39"/>
      <c r="J57" s="39"/>
      <c r="K57" s="45">
        <f>VLOOKUP(C57,'[11]period 8. nov'!$A$2:$I$128,9,0)</f>
        <v>122471.12</v>
      </c>
      <c r="L57" s="40" t="s">
        <v>351</v>
      </c>
      <c r="M57" s="40">
        <v>100755196</v>
      </c>
      <c r="N57" s="38"/>
      <c r="O57" s="38"/>
      <c r="P57" s="38"/>
      <c r="Q57" s="38"/>
      <c r="R57" s="103" t="s">
        <v>30</v>
      </c>
      <c r="S57" s="103">
        <v>3302</v>
      </c>
      <c r="T57" s="38"/>
    </row>
    <row r="58" spans="1:20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92">
        <v>2833.82</v>
      </c>
      <c r="G58" s="92">
        <v>128749.25</v>
      </c>
      <c r="H58" s="92">
        <v>135613.87</v>
      </c>
      <c r="I58" s="39"/>
      <c r="J58" s="39"/>
      <c r="K58" s="45">
        <f>VLOOKUP(C58,'[11]period 8. nov'!$A$2:$I$128,9,0)</f>
        <v>132780.05</v>
      </c>
      <c r="L58" s="40" t="s">
        <v>357</v>
      </c>
      <c r="M58" s="40">
        <v>100757218</v>
      </c>
      <c r="N58" s="38"/>
      <c r="O58" s="38"/>
      <c r="P58" s="38"/>
      <c r="Q58" s="38"/>
      <c r="R58" s="103" t="s">
        <v>54</v>
      </c>
      <c r="S58" s="103">
        <v>3304</v>
      </c>
      <c r="T58" s="38"/>
    </row>
    <row r="59" spans="1:20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92">
        <f>982.96-14.53</f>
        <v>968.4300000000001</v>
      </c>
      <c r="G59" s="92">
        <v>2410.76</v>
      </c>
      <c r="H59" s="92">
        <v>128384.02</v>
      </c>
      <c r="I59" s="39"/>
      <c r="J59" s="39"/>
      <c r="K59" s="45">
        <f>VLOOKUP(C59,'[11]period 8. nov'!$A$2:$I$128,9,0)</f>
        <v>127415.59</v>
      </c>
      <c r="L59" s="40" t="s">
        <v>348</v>
      </c>
      <c r="M59" s="40">
        <v>100754564</v>
      </c>
      <c r="N59" s="38"/>
      <c r="O59" s="38"/>
      <c r="P59" s="38"/>
      <c r="Q59" s="38"/>
      <c r="R59" s="103" t="s">
        <v>62</v>
      </c>
      <c r="S59" s="103">
        <v>3305</v>
      </c>
      <c r="T59" s="38"/>
    </row>
    <row r="60" spans="1:20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92">
        <v>1303.81</v>
      </c>
      <c r="G60" s="92">
        <v>1557.25</v>
      </c>
      <c r="H60" s="92">
        <v>436.08</v>
      </c>
      <c r="I60" s="39"/>
      <c r="J60" s="39"/>
      <c r="K60" s="45">
        <f>VLOOKUP(C60,'[11]period 8. nov'!$A$2:$I$128,9,0)</f>
        <v>-866.9300000000021</v>
      </c>
      <c r="L60" s="40" t="s">
        <v>367</v>
      </c>
      <c r="M60" s="40">
        <v>100758998</v>
      </c>
      <c r="N60" s="38"/>
      <c r="O60" s="38"/>
      <c r="P60" s="38"/>
      <c r="Q60" s="38"/>
      <c r="R60" s="103" t="s">
        <v>77</v>
      </c>
      <c r="S60" s="103">
        <v>3307</v>
      </c>
      <c r="T60" s="38"/>
    </row>
    <row r="61" spans="1:20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92">
        <f>6622.04-26.89</f>
        <v>6595.15</v>
      </c>
      <c r="G61" s="92">
        <v>30397.74</v>
      </c>
      <c r="H61" s="92">
        <v>8488.87</v>
      </c>
      <c r="I61" s="39"/>
      <c r="J61" s="39"/>
      <c r="K61" s="45">
        <f>VLOOKUP(C61,'[11]period 8. nov'!$A$2:$I$128,9,0)</f>
        <v>1893.720000000063</v>
      </c>
      <c r="L61" s="40" t="s">
        <v>348</v>
      </c>
      <c r="M61" s="40">
        <v>100754549</v>
      </c>
      <c r="N61" s="38"/>
      <c r="O61" s="38"/>
      <c r="P61" s="38"/>
      <c r="Q61" s="38"/>
      <c r="R61" s="108" t="s">
        <v>78</v>
      </c>
      <c r="S61" s="108">
        <v>3309</v>
      </c>
      <c r="T61" s="38"/>
    </row>
    <row r="62" spans="1:20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92">
        <f>3324.72-13.88</f>
        <v>3310.8399999999997</v>
      </c>
      <c r="G62" s="92">
        <v>20679.82</v>
      </c>
      <c r="H62" s="92">
        <v>66468.92</v>
      </c>
      <c r="I62" s="39"/>
      <c r="J62" s="39"/>
      <c r="K62" s="45">
        <f>VLOOKUP(C62,'[11]period 8. nov'!$A$2:$I$128,9,0)</f>
        <v>63158.08</v>
      </c>
      <c r="L62" s="40" t="s">
        <v>357</v>
      </c>
      <c r="M62" s="40">
        <v>100757201</v>
      </c>
      <c r="N62" s="38"/>
      <c r="O62" s="38"/>
      <c r="P62" s="38"/>
      <c r="Q62" s="38"/>
      <c r="R62" s="103" t="s">
        <v>81</v>
      </c>
      <c r="S62" s="103">
        <v>3311</v>
      </c>
      <c r="T62" s="38"/>
    </row>
    <row r="63" spans="1:20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92">
        <f>4330.57-6.49</f>
        <v>4324.08</v>
      </c>
      <c r="G63" s="92">
        <v>29189.98</v>
      </c>
      <c r="H63" s="92">
        <v>237136.65</v>
      </c>
      <c r="I63" s="39"/>
      <c r="J63" s="39"/>
      <c r="K63" s="45">
        <f>VLOOKUP(C63,'[11]period 8. nov'!$A$2:$I$128,9,0)</f>
        <v>232812.57</v>
      </c>
      <c r="L63" s="40" t="s">
        <v>341</v>
      </c>
      <c r="M63" s="40">
        <v>100753455</v>
      </c>
      <c r="N63" s="38"/>
      <c r="O63" s="38"/>
      <c r="P63" s="38"/>
      <c r="Q63" s="38"/>
      <c r="R63" s="103" t="s">
        <v>82</v>
      </c>
      <c r="S63" s="103">
        <v>3312</v>
      </c>
      <c r="T63" s="38"/>
    </row>
    <row r="64" spans="1:20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92">
        <v>4132.61</v>
      </c>
      <c r="G64" s="92">
        <v>-17303.05</v>
      </c>
      <c r="H64" s="92">
        <v>220937.88</v>
      </c>
      <c r="I64" s="39"/>
      <c r="J64" s="39"/>
      <c r="K64" s="45">
        <f>VLOOKUP(C64,'[11]period 8. nov'!$A$2:$I$128,9,0)</f>
        <v>216805.27</v>
      </c>
      <c r="L64" s="40" t="s">
        <v>356</v>
      </c>
      <c r="M64" s="40">
        <v>100755936</v>
      </c>
      <c r="N64" s="38"/>
      <c r="O64" s="38"/>
      <c r="P64" s="38"/>
      <c r="Q64" s="38"/>
      <c r="R64" s="103" t="s">
        <v>189</v>
      </c>
      <c r="S64" s="103">
        <v>3313</v>
      </c>
      <c r="T64" s="38"/>
    </row>
    <row r="65" spans="1:20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92">
        <f>2944.82-19.37</f>
        <v>2925.4500000000003</v>
      </c>
      <c r="G65" s="92">
        <v>19843.11</v>
      </c>
      <c r="H65" s="92">
        <v>198559.81</v>
      </c>
      <c r="I65" s="39"/>
      <c r="J65" s="39"/>
      <c r="K65" s="45">
        <f>VLOOKUP(C65,'[11]period 8. nov'!$A$2:$I$128,9,0)</f>
        <v>195634.36</v>
      </c>
      <c r="L65" s="40" t="s">
        <v>356</v>
      </c>
      <c r="M65" s="40">
        <v>100755931</v>
      </c>
      <c r="N65" s="38"/>
      <c r="O65" s="38"/>
      <c r="P65" s="38"/>
      <c r="Q65" s="38"/>
      <c r="R65" s="103" t="s">
        <v>190</v>
      </c>
      <c r="S65" s="103">
        <v>3314</v>
      </c>
      <c r="T65" s="38"/>
    </row>
    <row r="66" spans="1:20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92">
        <v>1330.25</v>
      </c>
      <c r="G66" s="92">
        <v>21922.8</v>
      </c>
      <c r="H66" s="92">
        <v>202299.1</v>
      </c>
      <c r="I66" s="39"/>
      <c r="J66" s="155" t="s">
        <v>345</v>
      </c>
      <c r="K66" s="45">
        <f>VLOOKUP(C66,'[11]period 8. nov'!$A$2:$I$128,9,0)</f>
        <v>200968.85</v>
      </c>
      <c r="L66" s="40" t="s">
        <v>354</v>
      </c>
      <c r="M66" s="40" t="s">
        <v>366</v>
      </c>
      <c r="N66" s="38"/>
      <c r="O66" s="38"/>
      <c r="P66" s="38"/>
      <c r="Q66" s="38"/>
      <c r="R66" s="103" t="s">
        <v>75</v>
      </c>
      <c r="S66" s="103">
        <v>3315</v>
      </c>
      <c r="T66" s="38"/>
    </row>
    <row r="67" spans="1:20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92">
        <f>2721.43-25.28</f>
        <v>2696.1499999999996</v>
      </c>
      <c r="G67" s="92">
        <v>-15158.58</v>
      </c>
      <c r="H67" s="92">
        <v>57980.18</v>
      </c>
      <c r="I67" s="39"/>
      <c r="J67" s="39"/>
      <c r="K67" s="45">
        <f>VLOOKUP(C67,'[11]period 8. nov'!$A$2:$I$128,9,0)</f>
        <v>55284.03</v>
      </c>
      <c r="L67" s="40" t="s">
        <v>357</v>
      </c>
      <c r="M67" s="40">
        <v>100757186</v>
      </c>
      <c r="N67" s="38"/>
      <c r="O67" s="38"/>
      <c r="P67" s="38"/>
      <c r="Q67" s="38"/>
      <c r="R67" s="103" t="s">
        <v>89</v>
      </c>
      <c r="S67" s="103">
        <v>3316</v>
      </c>
      <c r="T67" s="38"/>
    </row>
    <row r="68" spans="1:20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92">
        <v>1857.6</v>
      </c>
      <c r="G68" s="92">
        <v>2937.27</v>
      </c>
      <c r="H68" s="92">
        <v>174928.23</v>
      </c>
      <c r="I68" s="39"/>
      <c r="J68" s="39"/>
      <c r="K68" s="45">
        <f>VLOOKUP(C68,'[11]period 8. nov'!$A$2:$I$128,9,0)</f>
        <v>173070.63</v>
      </c>
      <c r="L68" s="40" t="s">
        <v>362</v>
      </c>
      <c r="M68" s="40">
        <v>100758423</v>
      </c>
      <c r="N68" s="38"/>
      <c r="O68" s="60"/>
      <c r="P68" s="38"/>
      <c r="Q68" s="38"/>
      <c r="R68" s="106" t="s">
        <v>18</v>
      </c>
      <c r="S68" s="103">
        <v>3317</v>
      </c>
      <c r="T68" s="38"/>
    </row>
    <row r="69" spans="1:20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158">
        <f>1549.17-9.53</f>
        <v>1539.64</v>
      </c>
      <c r="G69" s="158">
        <v>1304.32</v>
      </c>
      <c r="H69" s="158">
        <v>144033.92</v>
      </c>
      <c r="K69" s="45">
        <f>VLOOKUP(C69,'[11]period 8. nov'!$A$2:$I$128,9,0)</f>
        <v>142494.28</v>
      </c>
      <c r="L69" s="40" t="s">
        <v>357</v>
      </c>
      <c r="M69" s="40">
        <v>100756744</v>
      </c>
      <c r="N69" s="38"/>
      <c r="O69" s="38"/>
      <c r="P69" s="38"/>
      <c r="Q69" s="38"/>
      <c r="R69" s="106" t="s">
        <v>20</v>
      </c>
      <c r="S69" s="103">
        <v>3500</v>
      </c>
      <c r="T69" s="38"/>
    </row>
    <row r="70" spans="1:20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92">
        <v>974.9</v>
      </c>
      <c r="G70" s="92">
        <v>-3396.7</v>
      </c>
      <c r="H70" s="92">
        <v>177061.52</v>
      </c>
      <c r="I70" s="39"/>
      <c r="J70" s="39"/>
      <c r="K70" s="45">
        <f>VLOOKUP(C70,'[11]period 8. nov'!$A$2:$I$128,9,0)</f>
        <v>176086.62</v>
      </c>
      <c r="L70" s="40" t="s">
        <v>357</v>
      </c>
      <c r="M70" s="40">
        <v>100757183</v>
      </c>
      <c r="N70" s="38"/>
      <c r="O70" s="38"/>
      <c r="P70" s="38"/>
      <c r="Q70" s="38"/>
      <c r="R70" s="103" t="s">
        <v>67</v>
      </c>
      <c r="S70" s="103">
        <v>3501</v>
      </c>
      <c r="T70" s="38"/>
    </row>
    <row r="71" spans="1:20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92">
        <f>2402.09-19.02</f>
        <v>2383.07</v>
      </c>
      <c r="G71" s="92">
        <v>12343.32</v>
      </c>
      <c r="H71" s="92">
        <v>39814.4</v>
      </c>
      <c r="I71" s="40"/>
      <c r="J71" s="40"/>
      <c r="K71" s="45">
        <f>VLOOKUP(C71,'[11]period 8. nov'!$A$2:$I$128,9,0)</f>
        <v>37431.33</v>
      </c>
      <c r="L71" s="40" t="s">
        <v>362</v>
      </c>
      <c r="M71" s="40">
        <v>100758393</v>
      </c>
      <c r="N71" s="38"/>
      <c r="O71" s="38"/>
      <c r="P71" s="38"/>
      <c r="Q71" s="38"/>
      <c r="R71" s="103" t="s">
        <v>74</v>
      </c>
      <c r="S71" s="103">
        <v>3502</v>
      </c>
      <c r="T71" s="38"/>
    </row>
    <row r="72" spans="1:20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92">
        <f>1877.74-17.56</f>
        <v>1860.18</v>
      </c>
      <c r="G72" s="92">
        <v>11788.86</v>
      </c>
      <c r="H72" s="92">
        <v>97348.31</v>
      </c>
      <c r="I72" s="39"/>
      <c r="J72" s="39"/>
      <c r="K72" s="45">
        <f>VLOOKUP(C72,'[11]period 8. nov'!$A$2:$I$128,9,0)</f>
        <v>95488.13000000005</v>
      </c>
      <c r="L72" s="40" t="s">
        <v>354</v>
      </c>
      <c r="M72" s="40">
        <v>100755909</v>
      </c>
      <c r="N72" s="38"/>
      <c r="O72" s="38"/>
      <c r="P72" s="38"/>
      <c r="Q72" s="38"/>
      <c r="R72" s="103" t="s">
        <v>76</v>
      </c>
      <c r="S72" s="103">
        <v>3504</v>
      </c>
      <c r="T72" s="38"/>
    </row>
    <row r="73" spans="1:20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92">
        <v>1092.95</v>
      </c>
      <c r="G73" s="92">
        <v>-17713.75</v>
      </c>
      <c r="H73" s="92">
        <v>142041.63</v>
      </c>
      <c r="I73" s="39"/>
      <c r="J73" s="40"/>
      <c r="K73" s="45">
        <f>VLOOKUP(C73,'[11]period 8. nov'!$A$2:$I$128,9,0)</f>
        <v>140948.68</v>
      </c>
      <c r="L73" s="40" t="s">
        <v>351</v>
      </c>
      <c r="M73" s="40">
        <v>100755209</v>
      </c>
      <c r="N73" s="38"/>
      <c r="O73" s="38"/>
      <c r="P73" s="38"/>
      <c r="Q73" s="38"/>
      <c r="R73" s="103" t="s">
        <v>86</v>
      </c>
      <c r="S73" s="103">
        <v>3506</v>
      </c>
      <c r="T73" s="38"/>
    </row>
    <row r="74" spans="1:20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92">
        <v>3727.34</v>
      </c>
      <c r="G74" s="92">
        <v>20192.7</v>
      </c>
      <c r="H74" s="92">
        <v>184868.97</v>
      </c>
      <c r="I74" s="39"/>
      <c r="J74" s="39"/>
      <c r="K74" s="45">
        <f>VLOOKUP(C74,'[11]period 8. nov'!$A$2:$I$128,9,0)</f>
        <v>181141.63</v>
      </c>
      <c r="L74" s="40" t="s">
        <v>354</v>
      </c>
      <c r="M74" s="40">
        <v>100755918</v>
      </c>
      <c r="N74" s="38"/>
      <c r="O74" s="38"/>
      <c r="P74" s="38"/>
      <c r="Q74" s="38"/>
      <c r="R74" s="103" t="s">
        <v>85</v>
      </c>
      <c r="S74" s="103">
        <v>3507</v>
      </c>
      <c r="T74" s="38"/>
    </row>
    <row r="75" spans="1:20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92">
        <v>8308.42</v>
      </c>
      <c r="G75" s="92">
        <v>32330.38</v>
      </c>
      <c r="H75" s="92">
        <v>175893.11</v>
      </c>
      <c r="I75" s="39"/>
      <c r="J75" s="96">
        <v>-696.2</v>
      </c>
      <c r="K75" s="45">
        <f>VLOOKUP(C75,'[11]period 8. nov'!$A$2:$I$128,9,0)</f>
        <v>167584.69</v>
      </c>
      <c r="L75" s="40" t="s">
        <v>362</v>
      </c>
      <c r="M75" s="40" t="s">
        <v>363</v>
      </c>
      <c r="N75" s="38"/>
      <c r="O75" s="38"/>
      <c r="P75" s="38"/>
      <c r="Q75" s="38"/>
      <c r="R75" s="103" t="s">
        <v>80</v>
      </c>
      <c r="S75" s="103">
        <v>3508</v>
      </c>
      <c r="T75" s="38"/>
    </row>
    <row r="76" spans="1:20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92">
        <f>857.59-4.29</f>
        <v>853.3000000000001</v>
      </c>
      <c r="G76" s="92">
        <v>7639.6</v>
      </c>
      <c r="H76" s="92">
        <v>132708.27</v>
      </c>
      <c r="I76" s="39"/>
      <c r="J76" s="39"/>
      <c r="K76" s="45">
        <f>VLOOKUP(C76,'[11]period 8. nov'!$A$2:$I$128,9,0)</f>
        <v>131854.97</v>
      </c>
      <c r="L76" s="40" t="s">
        <v>351</v>
      </c>
      <c r="M76" s="40">
        <v>100755189</v>
      </c>
      <c r="N76" s="38"/>
      <c r="O76" s="38"/>
      <c r="P76" s="38"/>
      <c r="Q76" s="38"/>
      <c r="R76" s="103" t="s">
        <v>79</v>
      </c>
      <c r="S76" s="103">
        <v>3509</v>
      </c>
      <c r="T76" s="38"/>
    </row>
    <row r="77" spans="1:20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92">
        <f>2848.37-9.64</f>
        <v>2838.73</v>
      </c>
      <c r="G77" s="92">
        <v>-14252.45</v>
      </c>
      <c r="H77" s="92">
        <v>168634.42</v>
      </c>
      <c r="I77" s="39"/>
      <c r="J77" s="39"/>
      <c r="K77" s="45">
        <f>VLOOKUP(C77,'[11]period 8. nov'!$A$2:$I$128,9,0)</f>
        <v>165795.69</v>
      </c>
      <c r="L77" s="40" t="s">
        <v>358</v>
      </c>
      <c r="M77" s="40">
        <v>100757732</v>
      </c>
      <c r="N77" s="38"/>
      <c r="O77" s="38"/>
      <c r="P77" s="38"/>
      <c r="Q77" s="38"/>
      <c r="R77" s="103" t="s">
        <v>73</v>
      </c>
      <c r="S77" s="103">
        <v>3510</v>
      </c>
      <c r="T77" s="38"/>
    </row>
    <row r="78" spans="1:20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92">
        <v>1691.94</v>
      </c>
      <c r="G78" s="92">
        <v>10544.86</v>
      </c>
      <c r="H78" s="92">
        <v>87180.37</v>
      </c>
      <c r="I78" s="39"/>
      <c r="J78" s="39"/>
      <c r="K78" s="45">
        <f>VLOOKUP(C78,'[11]period 8. nov'!$A$2:$I$128,9,0)</f>
        <v>85488.43000000011</v>
      </c>
      <c r="L78" s="40" t="s">
        <v>353</v>
      </c>
      <c r="M78" s="40">
        <v>100755228</v>
      </c>
      <c r="N78" s="38"/>
      <c r="O78" s="38"/>
      <c r="P78" s="38"/>
      <c r="Q78" s="38"/>
      <c r="R78" s="106" t="s">
        <v>24</v>
      </c>
      <c r="S78" s="106">
        <v>3511</v>
      </c>
      <c r="T78" s="38"/>
    </row>
    <row r="79" spans="1:20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92">
        <f>4402.77-2.54</f>
        <v>4400.2300000000005</v>
      </c>
      <c r="G79" s="92">
        <v>79847.56</v>
      </c>
      <c r="H79" s="92">
        <v>76738.34</v>
      </c>
      <c r="I79" s="39"/>
      <c r="J79" s="39"/>
      <c r="K79" s="45">
        <f>VLOOKUP(C79,'[11]period 8. nov'!$A$2:$I$128,9,0)</f>
        <v>72338.11000000007</v>
      </c>
      <c r="L79" s="40" t="s">
        <v>348</v>
      </c>
      <c r="M79" s="40">
        <v>100754560</v>
      </c>
      <c r="N79" s="38"/>
      <c r="O79" s="38"/>
      <c r="P79" s="38"/>
      <c r="Q79" s="38"/>
      <c r="R79" s="103" t="s">
        <v>72</v>
      </c>
      <c r="S79" s="103">
        <v>3512</v>
      </c>
      <c r="T79" s="38"/>
    </row>
    <row r="80" spans="1:20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92">
        <f>3940.14-14.5</f>
        <v>3925.64</v>
      </c>
      <c r="G80" s="92">
        <v>31186.21</v>
      </c>
      <c r="H80" s="92">
        <v>289427.36</v>
      </c>
      <c r="I80" s="39"/>
      <c r="J80" s="39"/>
      <c r="K80" s="45">
        <f>VLOOKUP(C80,'[11]period 8. nov'!$A$2:$I$128,9,0)</f>
        <v>285501.72</v>
      </c>
      <c r="L80" s="40" t="s">
        <v>356</v>
      </c>
      <c r="M80" s="40">
        <v>100756739</v>
      </c>
      <c r="N80" s="38"/>
      <c r="O80" s="38"/>
      <c r="P80" s="38"/>
      <c r="Q80" s="38"/>
      <c r="R80" s="103" t="s">
        <v>60</v>
      </c>
      <c r="S80" s="103">
        <v>3513</v>
      </c>
      <c r="T80" s="38"/>
    </row>
    <row r="81" spans="1:20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92">
        <f>816.14-11.24</f>
        <v>804.9</v>
      </c>
      <c r="G81" s="92">
        <v>6159.22</v>
      </c>
      <c r="H81" s="92">
        <v>131133.67</v>
      </c>
      <c r="I81" s="39"/>
      <c r="J81" s="39"/>
      <c r="K81" s="45">
        <f>VLOOKUP(C81,'[11]period 8. nov'!$A$2:$I$128,9,0)</f>
        <v>130328.77</v>
      </c>
      <c r="L81" s="40" t="s">
        <v>365</v>
      </c>
      <c r="M81" s="40">
        <v>100758984</v>
      </c>
      <c r="N81" s="38"/>
      <c r="O81" s="38"/>
      <c r="P81" s="38"/>
      <c r="Q81" s="38"/>
      <c r="R81" s="106" t="s">
        <v>19</v>
      </c>
      <c r="S81" s="103">
        <v>3514</v>
      </c>
      <c r="T81" s="38"/>
    </row>
    <row r="82" spans="1:20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92">
        <v>1704.41</v>
      </c>
      <c r="G82" s="92">
        <v>12603.03</v>
      </c>
      <c r="H82" s="92">
        <v>63223.76</v>
      </c>
      <c r="I82" s="39"/>
      <c r="J82" s="40"/>
      <c r="K82" s="45">
        <f>VLOOKUP(C82,'[11]period 8. nov'!$A$2:$I$128,9,0)</f>
        <v>61519.34999999993</v>
      </c>
      <c r="L82" s="40" t="s">
        <v>357</v>
      </c>
      <c r="M82" s="40">
        <v>100757196</v>
      </c>
      <c r="N82" s="38"/>
      <c r="O82" s="38"/>
      <c r="P82" s="38"/>
      <c r="Q82" s="38"/>
      <c r="R82" s="103" t="s">
        <v>56</v>
      </c>
      <c r="S82" s="103">
        <v>3515</v>
      </c>
      <c r="T82" s="38"/>
    </row>
    <row r="83" spans="1:20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92">
        <f>2415.16-35.56</f>
        <v>2379.6</v>
      </c>
      <c r="G83" s="92">
        <v>18230.77</v>
      </c>
      <c r="H83" s="92">
        <v>87800.28</v>
      </c>
      <c r="I83" s="39"/>
      <c r="J83" s="39"/>
      <c r="K83" s="45">
        <f>VLOOKUP(C83,'[11]period 8. nov'!$A$2:$I$128,9,0)</f>
        <v>85420.68000000005</v>
      </c>
      <c r="L83" s="40" t="s">
        <v>357</v>
      </c>
      <c r="M83" s="40">
        <v>100757209</v>
      </c>
      <c r="N83" s="38"/>
      <c r="O83" s="38"/>
      <c r="P83" s="38"/>
      <c r="Q83" s="38"/>
      <c r="R83" s="103" t="s">
        <v>51</v>
      </c>
      <c r="S83" s="103">
        <v>3516</v>
      </c>
      <c r="T83" s="38"/>
    </row>
    <row r="84" spans="1:20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92">
        <v>11280.91</v>
      </c>
      <c r="G84" s="92">
        <v>65177.64</v>
      </c>
      <c r="H84" s="92">
        <v>79100.37</v>
      </c>
      <c r="I84" s="39"/>
      <c r="J84" s="39"/>
      <c r="K84" s="45">
        <f>VLOOKUP(C84,'[11]period 8. nov'!$A$2:$I$128,9,0)</f>
        <v>67819.4599999998</v>
      </c>
      <c r="L84" s="40" t="s">
        <v>351</v>
      </c>
      <c r="M84" s="40">
        <v>100755214</v>
      </c>
      <c r="N84" s="38"/>
      <c r="O84" s="38"/>
      <c r="P84" s="38"/>
      <c r="Q84" s="38"/>
      <c r="R84" s="103" t="s">
        <v>191</v>
      </c>
      <c r="S84" s="103">
        <v>3518</v>
      </c>
      <c r="T84" s="38"/>
    </row>
    <row r="85" spans="1:20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92">
        <v>2138.84</v>
      </c>
      <c r="G85" s="92">
        <v>19285.16</v>
      </c>
      <c r="H85" s="92">
        <v>156686.27</v>
      </c>
      <c r="I85" s="39"/>
      <c r="J85" s="39"/>
      <c r="K85" s="45">
        <f>VLOOKUP(C85,'[11]period 8. nov'!$A$2:$I$128,9,0)</f>
        <v>154547.43</v>
      </c>
      <c r="L85" s="40" t="s">
        <v>356</v>
      </c>
      <c r="M85" s="40">
        <v>100756737</v>
      </c>
      <c r="N85" s="38"/>
      <c r="O85" s="38"/>
      <c r="P85" s="38"/>
      <c r="Q85" s="38"/>
      <c r="R85" s="103" t="s">
        <v>182</v>
      </c>
      <c r="S85" s="103">
        <v>3519</v>
      </c>
      <c r="T85" s="38"/>
    </row>
    <row r="86" spans="1:20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92">
        <f>4660.7-38.19</f>
        <v>4622.51</v>
      </c>
      <c r="G86" s="92">
        <v>17348.57</v>
      </c>
      <c r="H86" s="92">
        <v>312475.77</v>
      </c>
      <c r="I86" s="39"/>
      <c r="J86" s="39"/>
      <c r="K86" s="45">
        <f>VLOOKUP(C86,'[11]period 8. nov'!$A$2:$I$128,9,0)</f>
        <v>307853.26</v>
      </c>
      <c r="L86" s="40" t="s">
        <v>353</v>
      </c>
      <c r="M86" s="40">
        <v>100755365</v>
      </c>
      <c r="N86" s="38"/>
      <c r="O86" s="38"/>
      <c r="P86" s="38"/>
      <c r="Q86" s="38"/>
      <c r="R86" s="105" t="s">
        <v>176</v>
      </c>
      <c r="S86" s="106">
        <v>3520</v>
      </c>
      <c r="T86" s="38"/>
    </row>
    <row r="87" spans="1:20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92">
        <f>2696.11-3.36</f>
        <v>2692.75</v>
      </c>
      <c r="G87" s="92">
        <v>13257.06</v>
      </c>
      <c r="H87" s="92">
        <v>402778.06</v>
      </c>
      <c r="I87" s="39"/>
      <c r="J87" s="39"/>
      <c r="K87" s="45">
        <f>VLOOKUP(C87,'[11]period 8. nov'!$A$2:$I$128,9,0)</f>
        <v>400085.31</v>
      </c>
      <c r="L87" s="40" t="s">
        <v>358</v>
      </c>
      <c r="M87" s="40">
        <v>100757729</v>
      </c>
      <c r="N87" s="38"/>
      <c r="O87" s="38"/>
      <c r="P87" s="38"/>
      <c r="Q87" s="38"/>
      <c r="R87" s="108" t="s">
        <v>188</v>
      </c>
      <c r="S87" s="108">
        <v>3521</v>
      </c>
      <c r="T87" s="38"/>
    </row>
    <row r="88" spans="1:20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92">
        <f>2963.77-10.1</f>
        <v>2953.67</v>
      </c>
      <c r="G88" s="92">
        <v>31795.55</v>
      </c>
      <c r="H88" s="92">
        <v>195646.43</v>
      </c>
      <c r="I88" s="39"/>
      <c r="J88" s="39"/>
      <c r="K88" s="45">
        <f>VLOOKUP(C88,'[11]period 8. nov'!$A$2:$I$128,9,0)</f>
        <v>192692.76</v>
      </c>
      <c r="L88" s="40" t="s">
        <v>341</v>
      </c>
      <c r="M88" s="40">
        <v>100753462</v>
      </c>
      <c r="N88" s="38"/>
      <c r="O88" s="38"/>
      <c r="P88" s="38"/>
      <c r="Q88" s="38"/>
      <c r="R88" s="103" t="s">
        <v>140</v>
      </c>
      <c r="S88" s="103">
        <v>3522</v>
      </c>
      <c r="T88" s="38"/>
    </row>
    <row r="89" spans="1:20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92">
        <f>2620.45-18.39</f>
        <v>2602.06</v>
      </c>
      <c r="G89" s="92">
        <v>10735.43</v>
      </c>
      <c r="H89" s="92">
        <v>185233.12</v>
      </c>
      <c r="I89" s="39"/>
      <c r="J89" s="39"/>
      <c r="K89" s="45">
        <f>VLOOKUP(C89,'[11]period 8. nov'!$A$2:$I$128,9,0)</f>
        <v>182631.06</v>
      </c>
      <c r="L89" s="40" t="s">
        <v>365</v>
      </c>
      <c r="M89" s="40">
        <v>100758973</v>
      </c>
      <c r="N89" s="38"/>
      <c r="O89" s="38"/>
      <c r="P89" s="38"/>
      <c r="Q89" s="38"/>
      <c r="R89" s="103" t="s">
        <v>185</v>
      </c>
      <c r="S89" s="103">
        <v>3523</v>
      </c>
      <c r="T89" s="38"/>
    </row>
    <row r="90" spans="1:20" ht="16.5" thickBot="1">
      <c r="A90" s="37">
        <v>5406</v>
      </c>
      <c r="B90" s="37">
        <v>10136</v>
      </c>
      <c r="C90" s="47">
        <v>938530</v>
      </c>
      <c r="D90" s="40" t="s">
        <v>370</v>
      </c>
      <c r="E90" s="39"/>
      <c r="F90" s="135"/>
      <c r="G90" s="135"/>
      <c r="H90" s="135"/>
      <c r="J90" s="40"/>
      <c r="K90" s="45">
        <f>VLOOKUP(C90,'[11]period 8. nov'!$A$2:$I$128,9,0)</f>
        <v>402914.49</v>
      </c>
      <c r="L90" s="40"/>
      <c r="M90" s="40"/>
      <c r="N90" s="38"/>
      <c r="O90" s="38"/>
      <c r="P90" s="38"/>
      <c r="Q90" s="38"/>
      <c r="R90" s="103" t="s">
        <v>103</v>
      </c>
      <c r="S90" s="103">
        <v>4003</v>
      </c>
      <c r="T90" s="38"/>
    </row>
    <row r="91" spans="1:20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92">
        <v>8347.72</v>
      </c>
      <c r="G91" s="92">
        <v>85408.33</v>
      </c>
      <c r="H91" s="92">
        <v>148760.71</v>
      </c>
      <c r="I91" s="39"/>
      <c r="J91" s="39"/>
      <c r="K91" s="45">
        <f>VLOOKUP(C91,'[11]period 8. nov'!$A$2:$I$128,9,0)</f>
        <v>140412.99</v>
      </c>
      <c r="L91" s="40" t="s">
        <v>361</v>
      </c>
      <c r="M91" s="40">
        <v>100757991</v>
      </c>
      <c r="N91" s="38"/>
      <c r="O91" s="38"/>
      <c r="P91" s="38"/>
      <c r="Q91" s="38"/>
      <c r="R91" s="103" t="s">
        <v>110</v>
      </c>
      <c r="S91" s="103">
        <v>4009</v>
      </c>
      <c r="T91" s="38"/>
    </row>
    <row r="92" spans="1:20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92">
        <v>18684.09</v>
      </c>
      <c r="G92" s="92">
        <v>156279.26</v>
      </c>
      <c r="H92" s="92">
        <v>309951.3</v>
      </c>
      <c r="I92" s="39"/>
      <c r="J92" s="39"/>
      <c r="K92" s="45">
        <f>VLOOKUP(C92,'[11]period 8. nov'!$A$2:$I$128,9,0)</f>
        <v>291267.21</v>
      </c>
      <c r="L92" s="40" t="s">
        <v>354</v>
      </c>
      <c r="M92" s="40" t="s">
        <v>355</v>
      </c>
      <c r="N92" s="38"/>
      <c r="O92" s="38"/>
      <c r="P92" s="38"/>
      <c r="Q92" s="38"/>
      <c r="R92" s="103" t="s">
        <v>113</v>
      </c>
      <c r="S92" s="103">
        <v>4012</v>
      </c>
      <c r="T92" s="38"/>
    </row>
    <row r="93" spans="1:20" ht="16.5" thickBot="1">
      <c r="A93" s="37">
        <v>4215</v>
      </c>
      <c r="B93" s="37">
        <v>10138</v>
      </c>
      <c r="C93" s="47">
        <v>938475</v>
      </c>
      <c r="D93" s="40" t="s">
        <v>99</v>
      </c>
      <c r="E93" s="39"/>
      <c r="F93" s="92">
        <f>12463.75-289.89</f>
        <v>12173.86</v>
      </c>
      <c r="G93" s="92">
        <v>199947.68</v>
      </c>
      <c r="H93" s="92">
        <v>381029.9</v>
      </c>
      <c r="I93" s="39"/>
      <c r="J93" s="39"/>
      <c r="K93" s="45">
        <f>VLOOKUP(C93,'[11]period 8. nov'!$A$2:$I$128,9,0)</f>
        <v>368856.04</v>
      </c>
      <c r="L93" s="40" t="s">
        <v>361</v>
      </c>
      <c r="M93" s="40">
        <v>100757996</v>
      </c>
      <c r="N93" s="38"/>
      <c r="O93" s="38"/>
      <c r="P93" s="38"/>
      <c r="Q93" s="38"/>
      <c r="R93" s="103" t="s">
        <v>109</v>
      </c>
      <c r="S93" s="103">
        <v>4208</v>
      </c>
      <c r="T93" s="38"/>
    </row>
    <row r="94" spans="1:20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92">
        <f>16585.1-72.31</f>
        <v>16512.789999999997</v>
      </c>
      <c r="G94" s="92">
        <v>142025.85</v>
      </c>
      <c r="H94" s="92">
        <v>823821.65</v>
      </c>
      <c r="I94" s="39"/>
      <c r="J94" s="39"/>
      <c r="K94" s="45">
        <f>VLOOKUP(C94,'[11]period 8. nov'!$A$2:$I$128,9,0)</f>
        <v>807308.8599999992</v>
      </c>
      <c r="L94" s="40" t="s">
        <v>356</v>
      </c>
      <c r="M94" s="40">
        <v>100755934</v>
      </c>
      <c r="N94" s="38"/>
      <c r="O94" s="38"/>
      <c r="P94" s="38"/>
      <c r="Q94" s="38"/>
      <c r="R94" s="103" t="s">
        <v>100</v>
      </c>
      <c r="S94" s="103">
        <v>4210</v>
      </c>
      <c r="T94" s="38"/>
    </row>
    <row r="95" spans="1:20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92">
        <f>13127.41-620.8</f>
        <v>12506.61</v>
      </c>
      <c r="G95" s="92">
        <v>78686.59</v>
      </c>
      <c r="H95" s="92">
        <v>694471.16</v>
      </c>
      <c r="I95" s="39"/>
      <c r="J95" s="39"/>
      <c r="K95" s="45">
        <f>VLOOKUP(C95,'[11]period 8. nov'!$A$2:$I$128,9,0)</f>
        <v>681964.5500000006</v>
      </c>
      <c r="L95" s="40" t="s">
        <v>367</v>
      </c>
      <c r="M95" s="40">
        <v>100758996</v>
      </c>
      <c r="N95" s="38"/>
      <c r="O95" s="38"/>
      <c r="P95" s="38"/>
      <c r="Q95" s="38"/>
      <c r="R95" s="103" t="s">
        <v>98</v>
      </c>
      <c r="S95" s="103">
        <v>4211</v>
      </c>
      <c r="T95" s="38"/>
    </row>
    <row r="96" spans="1:20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92">
        <v>19705.74</v>
      </c>
      <c r="G96" s="92">
        <v>67660.68</v>
      </c>
      <c r="H96" s="92">
        <v>1008793</v>
      </c>
      <c r="I96" s="39"/>
      <c r="J96" s="39"/>
      <c r="K96" s="45">
        <f>VLOOKUP(C96,'[11]period 8. nov'!$A$2:$I$128,9,0)</f>
        <v>989087.26</v>
      </c>
      <c r="L96" s="40" t="s">
        <v>357</v>
      </c>
      <c r="M96" s="40">
        <v>100757184</v>
      </c>
      <c r="N96" s="38"/>
      <c r="O96" s="38"/>
      <c r="P96" s="38"/>
      <c r="Q96" s="38"/>
      <c r="R96" s="103" t="s">
        <v>101</v>
      </c>
      <c r="S96" s="103">
        <v>4212</v>
      </c>
      <c r="T96" s="38"/>
    </row>
    <row r="97" spans="1:20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92">
        <v>12235.29</v>
      </c>
      <c r="G97" s="92">
        <v>98170.07</v>
      </c>
      <c r="H97" s="92">
        <v>176346.95</v>
      </c>
      <c r="I97" s="39"/>
      <c r="J97" s="39"/>
      <c r="K97" s="45">
        <f>VLOOKUP(C97,'[11]period 8. nov'!$A$2:$I$128,9,0)</f>
        <v>164111.66</v>
      </c>
      <c r="L97" s="40" t="s">
        <v>354</v>
      </c>
      <c r="M97" s="40">
        <v>100755915</v>
      </c>
      <c r="N97" s="38"/>
      <c r="O97" s="38"/>
      <c r="P97" s="38"/>
      <c r="Q97" s="38"/>
      <c r="R97" s="103" t="s">
        <v>192</v>
      </c>
      <c r="S97" s="103">
        <v>4215</v>
      </c>
      <c r="T97" s="38"/>
    </row>
    <row r="98" spans="1:20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92">
        <v>12731.88</v>
      </c>
      <c r="G98" s="92">
        <v>18200.65</v>
      </c>
      <c r="H98" s="92">
        <v>19744.06</v>
      </c>
      <c r="I98" s="39"/>
      <c r="J98" s="39"/>
      <c r="K98" s="45">
        <f>VLOOKUP(C98,'[11]period 8. nov'!$A$2:$I$128,9,0)</f>
        <v>7012.180000000011</v>
      </c>
      <c r="L98" s="40" t="s">
        <v>362</v>
      </c>
      <c r="M98" s="40">
        <v>100758431</v>
      </c>
      <c r="N98" s="38"/>
      <c r="O98" s="38"/>
      <c r="P98" s="38"/>
      <c r="Q98" s="38"/>
      <c r="R98" s="103" t="s">
        <v>106</v>
      </c>
      <c r="S98" s="103">
        <v>4752</v>
      </c>
      <c r="T98" s="38"/>
    </row>
    <row r="99" spans="1:20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92">
        <v>10558.62</v>
      </c>
      <c r="G99" s="92">
        <v>57345.71</v>
      </c>
      <c r="H99" s="92">
        <v>567296.77</v>
      </c>
      <c r="I99" s="39"/>
      <c r="J99" s="109"/>
      <c r="K99" s="45">
        <f>VLOOKUP(C99,'[11]period 8. nov'!$A$2:$I$128,9,0)</f>
        <v>556738.15</v>
      </c>
      <c r="L99" s="40" t="s">
        <v>361</v>
      </c>
      <c r="M99" s="40">
        <v>100757992</v>
      </c>
      <c r="N99" s="38"/>
      <c r="O99" s="38"/>
      <c r="P99" s="38"/>
      <c r="Q99" s="38"/>
      <c r="R99" s="106" t="s">
        <v>39</v>
      </c>
      <c r="S99" s="103">
        <v>5200</v>
      </c>
      <c r="T99" s="38"/>
    </row>
    <row r="100" spans="1:20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92">
        <v>7661</v>
      </c>
      <c r="G100" s="92">
        <v>37041.19</v>
      </c>
      <c r="H100" s="92">
        <v>96457.56</v>
      </c>
      <c r="I100" s="39"/>
      <c r="J100" s="39"/>
      <c r="K100" s="45">
        <f>VLOOKUP(C100,'[11]period 8. nov'!$A$2:$I$128,9,0)</f>
        <v>81685.13000000006</v>
      </c>
      <c r="L100" s="40" t="s">
        <v>354</v>
      </c>
      <c r="M100" s="40">
        <v>100755924</v>
      </c>
      <c r="N100" s="38"/>
      <c r="O100" s="38"/>
      <c r="P100" s="38"/>
      <c r="Q100" s="38"/>
      <c r="R100" s="103" t="s">
        <v>68</v>
      </c>
      <c r="S100" s="103">
        <v>5201</v>
      </c>
      <c r="T100" s="38"/>
    </row>
    <row r="101" spans="1:20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92">
        <v>14859.84</v>
      </c>
      <c r="G101" s="92">
        <v>-108441.78</v>
      </c>
      <c r="H101" s="92">
        <v>531075.9</v>
      </c>
      <c r="I101" s="39"/>
      <c r="J101" s="39"/>
      <c r="K101" s="45">
        <f>VLOOKUP(C101,'[11]period 8. nov'!$A$2:$I$128,9,0)</f>
        <v>516216.06</v>
      </c>
      <c r="L101" s="40" t="s">
        <v>358</v>
      </c>
      <c r="M101" s="40">
        <v>100757734</v>
      </c>
      <c r="N101" s="38"/>
      <c r="O101" s="38"/>
      <c r="P101" s="38"/>
      <c r="Q101" s="38"/>
      <c r="R101" s="103"/>
      <c r="S101" s="103"/>
      <c r="T101" s="38"/>
    </row>
    <row r="102" spans="1:20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92">
        <f>25107.47-35.7</f>
        <v>25071.77</v>
      </c>
      <c r="G102" s="92">
        <v>138516.75</v>
      </c>
      <c r="H102" s="92">
        <v>896403.03</v>
      </c>
      <c r="I102" s="39"/>
      <c r="J102" s="39"/>
      <c r="K102" s="45">
        <f>VLOOKUP(C102,'[11]period 8. nov'!$A$2:$I$128,9,0)</f>
        <v>871331.26</v>
      </c>
      <c r="L102" s="40" t="s">
        <v>357</v>
      </c>
      <c r="M102" s="40">
        <v>100757213</v>
      </c>
      <c r="N102" s="38"/>
      <c r="O102" s="38"/>
      <c r="P102" s="38"/>
      <c r="Q102" s="38"/>
      <c r="R102" s="103" t="s">
        <v>105</v>
      </c>
      <c r="S102" s="103">
        <v>5400</v>
      </c>
      <c r="T102" s="38"/>
    </row>
    <row r="103" spans="1:20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92">
        <v>20967.8</v>
      </c>
      <c r="G103" s="92">
        <v>180880.54</v>
      </c>
      <c r="H103" s="92">
        <v>422294.05</v>
      </c>
      <c r="I103" s="39"/>
      <c r="J103" s="39"/>
      <c r="K103" s="45">
        <f>VLOOKUP(C103,'[11]period 8. nov'!$A$2:$I$128,9,0)</f>
        <v>401326.25</v>
      </c>
      <c r="L103" s="40" t="s">
        <v>368</v>
      </c>
      <c r="M103" s="40">
        <v>100760078</v>
      </c>
      <c r="N103" s="38"/>
      <c r="O103" s="38"/>
      <c r="P103" s="38"/>
      <c r="Q103" s="38"/>
      <c r="R103" s="103" t="s">
        <v>108</v>
      </c>
      <c r="S103" s="103">
        <v>5401</v>
      </c>
      <c r="T103" s="38"/>
    </row>
    <row r="104" spans="1:20" ht="16.5" thickBot="1">
      <c r="A104" s="37">
        <v>5401</v>
      </c>
      <c r="B104" s="37">
        <v>10149</v>
      </c>
      <c r="C104" s="47">
        <v>938505</v>
      </c>
      <c r="D104" s="40" t="s">
        <v>371</v>
      </c>
      <c r="E104" s="39"/>
      <c r="F104" s="144">
        <v>0</v>
      </c>
      <c r="G104" s="144">
        <v>156946.14</v>
      </c>
      <c r="H104" s="144">
        <v>200</v>
      </c>
      <c r="I104" s="161" t="s">
        <v>373</v>
      </c>
      <c r="J104" s="157"/>
      <c r="K104" s="156">
        <f>VLOOKUP(C104,'[11]period 8. nov'!$A$2:$I$128,9,0)</f>
        <v>157146.14</v>
      </c>
      <c r="L104" s="146"/>
      <c r="M104" s="136">
        <v>100761362</v>
      </c>
      <c r="N104" s="38"/>
      <c r="O104" s="38"/>
      <c r="P104" s="38"/>
      <c r="Q104" s="38"/>
      <c r="R104" s="103" t="s">
        <v>107</v>
      </c>
      <c r="S104" s="103">
        <v>5402</v>
      </c>
      <c r="T104" s="38"/>
    </row>
    <row r="105" spans="1:20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92">
        <f>18658.47-3.2</f>
        <v>18655.27</v>
      </c>
      <c r="G105" s="92">
        <v>166798.64</v>
      </c>
      <c r="H105" s="92">
        <v>1167299.08</v>
      </c>
      <c r="I105" s="39"/>
      <c r="J105" s="39"/>
      <c r="K105" s="45">
        <f>VLOOKUP(C105,'[11]period 8. nov'!$A$2:$I$128,9,0)</f>
        <v>1148643.81</v>
      </c>
      <c r="L105" s="40" t="s">
        <v>341</v>
      </c>
      <c r="M105" s="40">
        <v>100753459</v>
      </c>
      <c r="N105" s="38"/>
      <c r="O105" s="38"/>
      <c r="P105" s="38"/>
      <c r="Q105" s="38"/>
      <c r="R105" s="103" t="s">
        <v>112</v>
      </c>
      <c r="S105" s="103">
        <v>5403</v>
      </c>
      <c r="T105" s="38"/>
    </row>
    <row r="106" spans="1:20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92">
        <f>11454.66-90.08</f>
        <v>11364.58</v>
      </c>
      <c r="G106" s="92">
        <v>111434.2</v>
      </c>
      <c r="H106" s="92">
        <v>416104.46</v>
      </c>
      <c r="I106" s="39"/>
      <c r="J106" s="39"/>
      <c r="K106" s="45">
        <f>VLOOKUP(C106,'[11]period 8. nov'!$A$2:$I$128,9,0)</f>
        <v>404739.88</v>
      </c>
      <c r="L106" s="40" t="s">
        <v>367</v>
      </c>
      <c r="M106" s="40">
        <v>100759003</v>
      </c>
      <c r="N106" s="38"/>
      <c r="O106" s="38"/>
      <c r="P106" s="38"/>
      <c r="Q106" s="38"/>
      <c r="R106" s="106" t="s">
        <v>126</v>
      </c>
      <c r="S106" s="103">
        <v>5404</v>
      </c>
      <c r="T106" s="38"/>
    </row>
    <row r="107" spans="1:20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92">
        <v>9964.59</v>
      </c>
      <c r="G107" s="92">
        <v>62155.47</v>
      </c>
      <c r="H107" s="92">
        <v>268168.74</v>
      </c>
      <c r="I107" s="39"/>
      <c r="J107" s="39"/>
      <c r="K107" s="45">
        <f>VLOOKUP(C107,'[11]period 8. nov'!$A$2:$I$128,9,0)</f>
        <v>258204.15</v>
      </c>
      <c r="L107" s="40" t="s">
        <v>362</v>
      </c>
      <c r="M107" s="40">
        <v>100758407</v>
      </c>
      <c r="N107" s="38"/>
      <c r="O107" s="38"/>
      <c r="P107" s="38"/>
      <c r="Q107" s="38"/>
      <c r="R107" s="103" t="s">
        <v>102</v>
      </c>
      <c r="S107" s="103">
        <v>5405</v>
      </c>
      <c r="T107" s="38"/>
    </row>
    <row r="108" spans="1:20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92">
        <f>5732.09-105.54</f>
        <v>5626.55</v>
      </c>
      <c r="G108" s="92">
        <v>32157.7</v>
      </c>
      <c r="H108" s="92">
        <v>171093.29</v>
      </c>
      <c r="I108" s="39"/>
      <c r="J108" s="39"/>
      <c r="K108" s="45">
        <f>VLOOKUP(C108,'[11]period 8. nov'!$A$2:$I$128,9,0)</f>
        <v>165466.74</v>
      </c>
      <c r="L108" s="40" t="s">
        <v>354</v>
      </c>
      <c r="M108" s="40">
        <v>100755385</v>
      </c>
      <c r="N108" s="38"/>
      <c r="O108" s="38"/>
      <c r="P108" s="38"/>
      <c r="Q108" s="38"/>
      <c r="R108" s="106" t="s">
        <v>96</v>
      </c>
      <c r="S108" s="103">
        <v>5406</v>
      </c>
      <c r="T108" s="38"/>
    </row>
    <row r="109" spans="1:20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92">
        <f>26731.62-31.17</f>
        <v>26700.45</v>
      </c>
      <c r="G109" s="92">
        <v>102783.92</v>
      </c>
      <c r="H109" s="92">
        <v>615710.65</v>
      </c>
      <c r="I109" s="39"/>
      <c r="J109" s="39"/>
      <c r="K109" s="45">
        <f>VLOOKUP(C109,'[11]period 8. nov'!$A$2:$I$128,9,0)</f>
        <v>589010.2</v>
      </c>
      <c r="L109" s="40" t="s">
        <v>358</v>
      </c>
      <c r="M109" s="40">
        <v>100757721</v>
      </c>
      <c r="N109" s="38"/>
      <c r="O109" s="38"/>
      <c r="P109" s="38"/>
      <c r="Q109" s="38"/>
      <c r="R109" s="103" t="s">
        <v>111</v>
      </c>
      <c r="S109" s="103">
        <v>5407</v>
      </c>
      <c r="T109" s="38"/>
    </row>
    <row r="110" spans="1:20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92">
        <v>3220.07</v>
      </c>
      <c r="G110" s="92">
        <v>34790.79</v>
      </c>
      <c r="H110" s="92">
        <v>263757.91</v>
      </c>
      <c r="I110" s="39"/>
      <c r="J110" s="39"/>
      <c r="K110" s="45">
        <f>VLOOKUP(C110,'[11]period 8. nov'!$A$2:$I$128,9,0)</f>
        <v>260537.84</v>
      </c>
      <c r="L110" s="40" t="s">
        <v>351</v>
      </c>
      <c r="M110" s="40">
        <v>100755192</v>
      </c>
      <c r="N110" s="38"/>
      <c r="O110" s="38"/>
      <c r="P110" s="38"/>
      <c r="Q110" s="38"/>
      <c r="R110" s="103" t="s">
        <v>97</v>
      </c>
      <c r="S110" s="103">
        <v>5408</v>
      </c>
      <c r="T110" s="38"/>
    </row>
    <row r="111" spans="1:20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92">
        <v>1919.75</v>
      </c>
      <c r="G111" s="92">
        <v>16379.21</v>
      </c>
      <c r="H111" s="92">
        <v>199994.06</v>
      </c>
      <c r="I111" s="39"/>
      <c r="J111" s="41"/>
      <c r="K111" s="45">
        <f>VLOOKUP(C111,'[11]period 8. nov'!$A$2:$I$128,9,0)</f>
        <v>198074.31</v>
      </c>
      <c r="L111" s="40" t="s">
        <v>351</v>
      </c>
      <c r="M111" s="40">
        <v>100755207</v>
      </c>
      <c r="N111" s="38"/>
      <c r="O111" s="38"/>
      <c r="P111" s="38"/>
      <c r="Q111" s="38"/>
      <c r="R111" s="103" t="s">
        <v>104</v>
      </c>
      <c r="S111" s="103">
        <v>5409</v>
      </c>
      <c r="T111" s="38"/>
    </row>
    <row r="112" spans="1:20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92">
        <v>3951.02</v>
      </c>
      <c r="G112" s="92">
        <v>19401.7</v>
      </c>
      <c r="H112" s="92">
        <v>482048.75</v>
      </c>
      <c r="I112" s="39"/>
      <c r="J112" s="39"/>
      <c r="K112" s="45">
        <f>VLOOKUP(C112,'[11]period 8. nov'!$A$2:$I$128,9,0)</f>
        <v>478097.73</v>
      </c>
      <c r="L112" s="40" t="s">
        <v>351</v>
      </c>
      <c r="M112" s="40">
        <v>100755190</v>
      </c>
      <c r="N112" s="38"/>
      <c r="O112" s="38"/>
      <c r="P112" s="38"/>
      <c r="Q112" s="38"/>
      <c r="R112" s="106" t="s">
        <v>59</v>
      </c>
      <c r="S112" s="103">
        <v>5948</v>
      </c>
      <c r="T112" s="38"/>
    </row>
    <row r="113" spans="1:20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92">
        <v>8121.36</v>
      </c>
      <c r="G113" s="92">
        <v>44088.49</v>
      </c>
      <c r="H113" s="92">
        <v>54122.78</v>
      </c>
      <c r="I113" s="39"/>
      <c r="J113" s="39"/>
      <c r="K113" s="45">
        <f>VLOOKUP(C113,'[11]period 8. nov'!$A$2:$I$128,9,0)</f>
        <v>46001.41999999992</v>
      </c>
      <c r="L113" s="40" t="s">
        <v>353</v>
      </c>
      <c r="M113" s="40">
        <v>100755362</v>
      </c>
      <c r="N113" s="38"/>
      <c r="O113" s="38"/>
      <c r="P113" s="38"/>
      <c r="Q113" s="38"/>
      <c r="R113" s="103" t="s">
        <v>61</v>
      </c>
      <c r="S113" s="103">
        <v>5949</v>
      </c>
      <c r="T113" s="38"/>
    </row>
    <row r="114" spans="1:20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92">
        <v>2255.53</v>
      </c>
      <c r="G114" s="92">
        <v>13921.13</v>
      </c>
      <c r="H114" s="92">
        <v>150733.58</v>
      </c>
      <c r="I114" s="39"/>
      <c r="J114" s="39"/>
      <c r="K114" s="45">
        <f>VLOOKUP(C114,'[11]period 8. nov'!$A$2:$I$128,9,0)</f>
        <v>148478.05</v>
      </c>
      <c r="L114" s="40" t="s">
        <v>351</v>
      </c>
      <c r="M114" s="40">
        <v>100755208</v>
      </c>
      <c r="N114" s="38"/>
      <c r="O114" s="38"/>
      <c r="P114" s="38"/>
      <c r="Q114" s="38"/>
      <c r="R114" s="103" t="s">
        <v>117</v>
      </c>
      <c r="S114" s="103">
        <v>7000</v>
      </c>
      <c r="T114" s="38"/>
    </row>
    <row r="115" spans="1:20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92">
        <v>764.91</v>
      </c>
      <c r="G115" s="92">
        <v>5801.77</v>
      </c>
      <c r="H115" s="92">
        <v>172626.61</v>
      </c>
      <c r="I115" s="39"/>
      <c r="J115" s="39"/>
      <c r="K115" s="45">
        <f>VLOOKUP(C115,'[11]period 8. nov'!$A$2:$I$128,9,0)</f>
        <v>171861.7</v>
      </c>
      <c r="L115" s="40" t="s">
        <v>354</v>
      </c>
      <c r="M115" s="40">
        <v>100755379</v>
      </c>
      <c r="N115" s="38"/>
      <c r="O115" s="38"/>
      <c r="P115" s="38"/>
      <c r="Q115" s="38"/>
      <c r="R115" s="103" t="s">
        <v>115</v>
      </c>
      <c r="S115" s="103">
        <v>7005</v>
      </c>
      <c r="T115" s="38"/>
    </row>
    <row r="116" spans="1:20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92">
        <v>1610.31</v>
      </c>
      <c r="G116" s="92">
        <v>-1085.36</v>
      </c>
      <c r="H116" s="92">
        <v>164456.73</v>
      </c>
      <c r="I116" s="92"/>
      <c r="J116" s="92"/>
      <c r="K116" s="45">
        <f>VLOOKUP(C116,'[11]period 8. nov'!$A$2:$I$128,9,0)</f>
        <v>162846.42</v>
      </c>
      <c r="L116" s="40" t="s">
        <v>351</v>
      </c>
      <c r="M116" s="40">
        <v>100755191</v>
      </c>
      <c r="N116" s="38"/>
      <c r="O116" s="38"/>
      <c r="P116" s="38"/>
      <c r="Q116" s="38"/>
      <c r="R116" s="103" t="s">
        <v>116</v>
      </c>
      <c r="S116" s="103">
        <v>7009</v>
      </c>
      <c r="T116" s="38"/>
    </row>
    <row r="117" spans="1:20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92">
        <v>1177.01</v>
      </c>
      <c r="G117" s="92">
        <v>2686.67</v>
      </c>
      <c r="H117" s="92">
        <v>147091.36</v>
      </c>
      <c r="I117" s="39"/>
      <c r="J117" s="39"/>
      <c r="K117" s="45">
        <f>VLOOKUP(C117,'[11]period 8. nov'!$A$2:$I$128,9,0)</f>
        <v>145914.35</v>
      </c>
      <c r="L117" s="40" t="s">
        <v>353</v>
      </c>
      <c r="M117" s="40">
        <v>100755367</v>
      </c>
      <c r="N117" s="38"/>
      <c r="O117" s="38"/>
      <c r="P117" s="38"/>
      <c r="Q117" s="38"/>
      <c r="R117" s="106" t="s">
        <v>114</v>
      </c>
      <c r="S117" s="103">
        <v>7010</v>
      </c>
      <c r="T117" s="38"/>
    </row>
    <row r="118" spans="2:20" ht="15.75">
      <c r="B118" s="38"/>
      <c r="C118" s="42"/>
      <c r="D118" s="43" t="s">
        <v>139</v>
      </c>
      <c r="E118" s="92">
        <f>SUM(E3:E117)</f>
        <v>0</v>
      </c>
      <c r="F118" s="96">
        <f>SUM(F3:F117)+I118</f>
        <v>596757.2299999999</v>
      </c>
      <c r="G118" s="96">
        <f>SUM(G3:G117)</f>
        <v>3845322.2300000023</v>
      </c>
      <c r="H118" s="96">
        <f>SUM(H3:H117)</f>
        <v>23985381.609999992</v>
      </c>
      <c r="I118" s="96">
        <f>SUM(I3:I117)</f>
        <v>0</v>
      </c>
      <c r="J118" s="96">
        <f>SUM(J3:J117)</f>
        <v>-696.2</v>
      </c>
      <c r="K118" s="96">
        <f>SUM(K3:K117)</f>
        <v>24024930.749999993</v>
      </c>
      <c r="L118" s="42"/>
      <c r="M118" s="42"/>
      <c r="N118" s="38"/>
      <c r="O118" s="38"/>
      <c r="P118" s="38"/>
      <c r="Q118" s="38"/>
      <c r="R118" s="38"/>
      <c r="S118" s="38"/>
      <c r="T118" s="38"/>
    </row>
    <row r="119" spans="2:20" ht="15.75">
      <c r="B119" s="38"/>
      <c r="C119" s="42"/>
      <c r="D119" s="41"/>
      <c r="E119" s="39"/>
      <c r="F119" s="99"/>
      <c r="G119" s="99"/>
      <c r="H119" s="99"/>
      <c r="I119" s="39"/>
      <c r="J119" s="39"/>
      <c r="K119" s="39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3:20" ht="15.75">
      <c r="C120" s="1">
        <f>COUNT(C3:C117)</f>
        <v>115</v>
      </c>
      <c r="D120" s="86">
        <f>COUNT(A3:A117)-COUNTA(M3:M117)</f>
        <v>1</v>
      </c>
      <c r="E120" s="37" t="s">
        <v>175</v>
      </c>
      <c r="F120" s="37" t="s">
        <v>175</v>
      </c>
      <c r="G120" s="38"/>
      <c r="H120" s="38"/>
      <c r="I120" s="38"/>
      <c r="J120" s="64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4:20" ht="15.75">
      <c r="D121" s="86">
        <f>C120-D120</f>
        <v>114</v>
      </c>
      <c r="E121" s="38" t="s">
        <v>174</v>
      </c>
      <c r="F121" s="38" t="s">
        <v>174</v>
      </c>
      <c r="G121" s="38"/>
      <c r="H121" s="38"/>
      <c r="I121" s="38"/>
      <c r="J121" s="38"/>
      <c r="K121" s="85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>
      <c r="F122" s="40"/>
      <c r="G122" s="40"/>
      <c r="H122" s="40"/>
      <c r="I122" s="38"/>
      <c r="J122" s="38"/>
      <c r="K122" s="85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>
      <c r="F123" s="40"/>
      <c r="G123" s="40"/>
      <c r="H123" s="40"/>
      <c r="I123" s="38"/>
      <c r="J123" s="38"/>
      <c r="K123" s="85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>
      <c r="F124" s="40"/>
      <c r="G124" s="40"/>
      <c r="H124" s="40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>
      <c r="F125" s="40"/>
      <c r="G125" s="40"/>
      <c r="H125" s="40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>
      <c r="F126" s="40"/>
      <c r="G126" s="40"/>
      <c r="H126" s="40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>
      <c r="F127" s="40"/>
      <c r="G127" s="40"/>
      <c r="H127" s="40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>
      <c r="F128" s="40"/>
      <c r="G128" s="40"/>
      <c r="H128" s="40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>
      <c r="F129" s="40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>
      <c r="F130" s="4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>
      <c r="F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>
      <c r="F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>
      <c r="F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>
      <c r="F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>
      <c r="F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>
      <c r="F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>
      <c r="F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>
      <c r="F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>
      <c r="F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>
      <c r="F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>
      <c r="F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>
      <c r="F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>
      <c r="F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>
      <c r="F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>
      <c r="F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>
      <c r="F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>
      <c r="F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>
      <c r="F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>
      <c r="F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>
      <c r="F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>
      <c r="F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>
      <c r="F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>
      <c r="F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>
      <c r="F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>
      <c r="F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>
      <c r="F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>
      <c r="F161" s="40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>
      <c r="F162" s="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</sheetData>
  <autoFilter ref="A2:M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D3:D117">
    <cfRule type="expression" priority="1" dxfId="2" stopIfTrue="1">
      <formula>M3&lt;1</formula>
    </cfRule>
  </conditionalFormatting>
  <conditionalFormatting sqref="F70:H118 J75 I118:K118 E118 F3:H50 I116:J116 F52:H68">
    <cfRule type="cellIs" priority="2" dxfId="1" operator="lessThan" stopIfTrue="1">
      <formula>0</formula>
    </cfRule>
  </conditionalFormatting>
  <printOptions/>
  <pageMargins left="0.35433070866141736" right="0.15748031496062992" top="0.3937007874015748" bottom="0.5905511811023623" header="0.5118110236220472" footer="0.31496062992125984"/>
  <pageSetup fitToHeight="1" fitToWidth="1" horizontalDpi="600" verticalDpi="600" orientation="landscape" paperSize="9" scale="26" r:id="rId3"/>
  <headerFooter alignWithMargins="0">
    <oddFooter>&amp;L&amp;Z&amp;F&amp;R&amp;D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33"/>
    <pageSetUpPr fitToPage="1"/>
  </sheetPr>
  <dimension ref="A1:S193"/>
  <sheetViews>
    <sheetView zoomScale="75" zoomScaleNormal="75" zoomScaleSheetLayoutView="70" workbookViewId="0" topLeftCell="A1">
      <pane xSplit="3" ySplit="2" topLeftCell="D86" activePane="bottomRight" state="frozen"/>
      <selection pane="topLeft" activeCell="D120" sqref="D120"/>
      <selection pane="topRight" activeCell="D120" sqref="D120"/>
      <selection pane="bottomLeft" activeCell="D120" sqref="D120"/>
      <selection pane="bottomRight" activeCell="D120" sqref="D120"/>
    </sheetView>
  </sheetViews>
  <sheetFormatPr defaultColWidth="8.88671875" defaultRowHeight="15"/>
  <cols>
    <col min="1" max="1" width="5.6640625" style="37" customWidth="1"/>
    <col min="2" max="2" width="7.77734375" style="37" customWidth="1"/>
    <col min="3" max="3" width="8.10546875" style="1" customWidth="1"/>
    <col min="4" max="4" width="31.88671875" style="37" customWidth="1"/>
    <col min="5" max="5" width="0.3359375" style="36" customWidth="1"/>
    <col min="6" max="6" width="15.3359375" style="37" customWidth="1"/>
    <col min="7" max="7" width="15.77734375" style="37" customWidth="1"/>
    <col min="8" max="8" width="16.21484375" style="37" customWidth="1"/>
    <col min="9" max="9" width="14.21484375" style="37" customWidth="1"/>
    <col min="10" max="10" width="13.21484375" style="37" customWidth="1"/>
    <col min="11" max="11" width="17.77734375" style="37" customWidth="1"/>
    <col min="12" max="12" width="13.3359375" style="37" customWidth="1"/>
    <col min="13" max="13" width="19.77734375" style="37" customWidth="1"/>
    <col min="14" max="17" width="8.88671875" style="37" customWidth="1"/>
    <col min="18" max="18" width="20.3359375" style="37" customWidth="1"/>
    <col min="19" max="19" width="8.5546875" style="37" customWidth="1"/>
    <col min="20" max="16384" width="8.88671875" style="37" customWidth="1"/>
  </cols>
  <sheetData>
    <row r="1" spans="1:13" s="59" customFormat="1" ht="15.75" customHeight="1">
      <c r="A1" s="56" t="s">
        <v>118</v>
      </c>
      <c r="B1" s="56" t="s">
        <v>120</v>
      </c>
      <c r="C1" s="56" t="s">
        <v>163</v>
      </c>
      <c r="D1" s="56" t="s">
        <v>121</v>
      </c>
      <c r="E1" s="197" t="s">
        <v>164</v>
      </c>
      <c r="F1" s="198" t="s">
        <v>122</v>
      </c>
      <c r="G1" s="198" t="s">
        <v>165</v>
      </c>
      <c r="H1" s="198" t="s">
        <v>125</v>
      </c>
      <c r="I1" s="198" t="s">
        <v>166</v>
      </c>
      <c r="J1" s="198" t="s">
        <v>167</v>
      </c>
      <c r="K1" s="198" t="s">
        <v>138</v>
      </c>
      <c r="L1" s="198" t="s">
        <v>168</v>
      </c>
      <c r="M1" s="198" t="s">
        <v>169</v>
      </c>
    </row>
    <row r="2" spans="1:13" s="59" customFormat="1" ht="16.5" customHeight="1">
      <c r="A2" s="57" t="s">
        <v>119</v>
      </c>
      <c r="B2" s="57" t="s">
        <v>137</v>
      </c>
      <c r="C2" s="57" t="s">
        <v>172</v>
      </c>
      <c r="D2" s="57" t="s">
        <v>256</v>
      </c>
      <c r="E2" s="197"/>
      <c r="F2" s="198"/>
      <c r="G2" s="198"/>
      <c r="H2" s="198"/>
      <c r="I2" s="198"/>
      <c r="J2" s="198"/>
      <c r="K2" s="198"/>
      <c r="L2" s="198"/>
      <c r="M2" s="198"/>
    </row>
    <row r="3" spans="1:19" ht="15.75">
      <c r="A3" s="37">
        <v>3520</v>
      </c>
      <c r="B3" s="36">
        <v>11094</v>
      </c>
      <c r="C3" s="22">
        <v>938585</v>
      </c>
      <c r="D3" s="40" t="s">
        <v>176</v>
      </c>
      <c r="E3" s="39"/>
      <c r="F3" s="83">
        <v>2096.43</v>
      </c>
      <c r="G3" s="92">
        <v>793.68</v>
      </c>
      <c r="H3" s="83">
        <v>202335.31</v>
      </c>
      <c r="I3" s="38"/>
      <c r="J3" s="39"/>
      <c r="K3" s="45">
        <f>VLOOKUP(C3,'[10]PERIOD 7. OCT.'!$A$2:$I$128,9,0)</f>
        <v>200238.88</v>
      </c>
      <c r="L3" s="40" t="s">
        <v>327</v>
      </c>
      <c r="M3" s="40">
        <v>100747424</v>
      </c>
      <c r="N3" s="38"/>
      <c r="O3" s="38"/>
      <c r="P3" s="38"/>
      <c r="Q3" s="38"/>
      <c r="R3" s="103" t="s">
        <v>178</v>
      </c>
      <c r="S3" s="104">
        <v>1000</v>
      </c>
    </row>
    <row r="4" spans="1:19" ht="16.5" thickBot="1">
      <c r="A4" s="37">
        <v>3317</v>
      </c>
      <c r="B4" s="36">
        <v>10042</v>
      </c>
      <c r="C4" s="22">
        <v>938350</v>
      </c>
      <c r="D4" s="40" t="s">
        <v>18</v>
      </c>
      <c r="E4" s="39"/>
      <c r="F4" s="83">
        <f>1443.73-15.97</f>
        <v>1427.76</v>
      </c>
      <c r="G4" s="92">
        <v>6157.27</v>
      </c>
      <c r="H4" s="83">
        <v>124797.63</v>
      </c>
      <c r="I4" s="39"/>
      <c r="J4" s="39"/>
      <c r="K4" s="45">
        <f>VLOOKUP(C4,'[10]PERIOD 7. OCT.'!$A$2:$I$128,9,0)</f>
        <v>123370.02</v>
      </c>
      <c r="L4" s="40" t="s">
        <v>328</v>
      </c>
      <c r="M4" s="40">
        <v>100747816</v>
      </c>
      <c r="N4" s="38"/>
      <c r="O4" s="38"/>
      <c r="P4" s="38"/>
      <c r="Q4" s="38"/>
      <c r="R4" s="103" t="s">
        <v>179</v>
      </c>
      <c r="S4" s="104">
        <v>1001</v>
      </c>
    </row>
    <row r="5" spans="1:19" ht="16.5" thickBot="1">
      <c r="A5" s="37">
        <v>3300</v>
      </c>
      <c r="B5" s="37">
        <v>10040</v>
      </c>
      <c r="C5" s="47">
        <v>938282</v>
      </c>
      <c r="D5" s="40" t="s">
        <v>17</v>
      </c>
      <c r="F5" s="83">
        <f>1045.38-6.6</f>
        <v>1038.7800000000002</v>
      </c>
      <c r="G5" s="83">
        <v>-24424.99</v>
      </c>
      <c r="H5" s="92">
        <v>98341.71</v>
      </c>
      <c r="I5" s="39"/>
      <c r="J5" s="40"/>
      <c r="K5" s="45">
        <f>VLOOKUP(C5,'[10]PERIOD 7. OCT.'!$A$2:$I$128,9,0)</f>
        <v>97302.93000000008</v>
      </c>
      <c r="L5" s="40" t="s">
        <v>319</v>
      </c>
      <c r="M5" s="38">
        <v>100740612</v>
      </c>
      <c r="N5" s="38"/>
      <c r="O5" s="38"/>
      <c r="P5" s="38"/>
      <c r="Q5" s="38"/>
      <c r="R5" s="103" t="s">
        <v>180</v>
      </c>
      <c r="S5" s="104">
        <v>1002</v>
      </c>
    </row>
    <row r="6" spans="1:19" ht="16.5" thickBot="1">
      <c r="A6" s="37">
        <v>3500</v>
      </c>
      <c r="B6" s="37">
        <v>10043</v>
      </c>
      <c r="C6" s="47">
        <v>938355</v>
      </c>
      <c r="D6" s="40" t="s">
        <v>20</v>
      </c>
      <c r="E6" s="39"/>
      <c r="F6" s="83">
        <v>342.08</v>
      </c>
      <c r="G6" s="92">
        <v>1156.33</v>
      </c>
      <c r="H6" s="83">
        <v>148937.16</v>
      </c>
      <c r="I6" s="39"/>
      <c r="J6" s="39"/>
      <c r="K6" s="45">
        <f>VLOOKUP(C6,'[10]PERIOD 7. OCT.'!$A$2:$I$128,9,0)</f>
        <v>148595.08</v>
      </c>
      <c r="L6" s="40" t="s">
        <v>327</v>
      </c>
      <c r="M6" s="40">
        <v>100747429</v>
      </c>
      <c r="N6" s="38"/>
      <c r="O6" s="38"/>
      <c r="P6" s="38"/>
      <c r="Q6" s="38"/>
      <c r="R6" s="103" t="s">
        <v>181</v>
      </c>
      <c r="S6" s="104">
        <v>1003</v>
      </c>
    </row>
    <row r="7" spans="1:19" ht="16.5" thickBot="1">
      <c r="A7" s="37">
        <v>3514</v>
      </c>
      <c r="B7" s="37">
        <v>10117</v>
      </c>
      <c r="C7" s="47">
        <v>938415</v>
      </c>
      <c r="D7" s="40" t="s">
        <v>19</v>
      </c>
      <c r="E7" s="39"/>
      <c r="F7" s="83">
        <f>2184.95-7.98</f>
        <v>2176.97</v>
      </c>
      <c r="G7" s="92">
        <v>-4287.73</v>
      </c>
      <c r="H7" s="83">
        <v>94001.57</v>
      </c>
      <c r="I7" s="39"/>
      <c r="J7" s="39"/>
      <c r="K7" s="45">
        <f>VLOOKUP(C7,'[10]PERIOD 7. OCT.'!$A$2:$I$128,9,0)</f>
        <v>91824.59999999985</v>
      </c>
      <c r="L7" s="40" t="s">
        <v>319</v>
      </c>
      <c r="M7" s="40">
        <v>100739975</v>
      </c>
      <c r="N7" s="38"/>
      <c r="O7" s="38"/>
      <c r="P7" s="38"/>
      <c r="Q7" s="38"/>
      <c r="R7" s="103" t="s">
        <v>69</v>
      </c>
      <c r="S7" s="103">
        <v>2000</v>
      </c>
    </row>
    <row r="8" spans="1:19" ht="16.5" thickBot="1">
      <c r="A8" s="37">
        <v>2002</v>
      </c>
      <c r="B8" s="37">
        <v>10044</v>
      </c>
      <c r="C8" s="47">
        <v>938025</v>
      </c>
      <c r="D8" s="40" t="s">
        <v>22</v>
      </c>
      <c r="E8" s="39"/>
      <c r="F8" s="83">
        <v>5944.34</v>
      </c>
      <c r="G8" s="92">
        <v>41258.69</v>
      </c>
      <c r="H8" s="83">
        <v>300206.86</v>
      </c>
      <c r="I8" s="39"/>
      <c r="J8" s="39"/>
      <c r="K8" s="45">
        <f>VLOOKUP(C8,'[10]PERIOD 7. OCT.'!$A$2:$I$128,9,0)</f>
        <v>294262.52</v>
      </c>
      <c r="L8" s="40" t="s">
        <v>321</v>
      </c>
      <c r="M8" s="40">
        <v>100740959</v>
      </c>
      <c r="N8" s="38"/>
      <c r="O8" s="38"/>
      <c r="P8" s="38"/>
      <c r="Q8" s="38"/>
      <c r="R8" s="106" t="s">
        <v>23</v>
      </c>
      <c r="S8" s="106">
        <v>2003</v>
      </c>
    </row>
    <row r="9" spans="1:19" ht="16.5" thickBot="1">
      <c r="A9" s="37">
        <v>2079</v>
      </c>
      <c r="B9" s="37">
        <v>10128</v>
      </c>
      <c r="C9" s="47">
        <v>938280</v>
      </c>
      <c r="D9" s="40" t="s">
        <v>124</v>
      </c>
      <c r="E9" s="39"/>
      <c r="F9" s="83">
        <v>4658.53</v>
      </c>
      <c r="G9" s="92">
        <v>9382.68</v>
      </c>
      <c r="H9" s="83">
        <v>7293.32</v>
      </c>
      <c r="I9" s="39"/>
      <c r="J9" s="39"/>
      <c r="K9" s="45">
        <f>VLOOKUP(C9,'[10]PERIOD 7. OCT.'!$A$2:$I$128,9,0)</f>
        <v>2634.8000000000065</v>
      </c>
      <c r="L9" s="40" t="s">
        <v>322</v>
      </c>
      <c r="M9" s="40">
        <v>100741836</v>
      </c>
      <c r="N9" s="38"/>
      <c r="O9" s="38"/>
      <c r="P9" s="38"/>
      <c r="Q9" s="38"/>
      <c r="R9" s="103" t="s">
        <v>25</v>
      </c>
      <c r="S9" s="103">
        <v>2007</v>
      </c>
    </row>
    <row r="10" spans="1:19" ht="16.5" thickBot="1">
      <c r="A10" s="37">
        <v>2003</v>
      </c>
      <c r="B10" s="37">
        <v>10045</v>
      </c>
      <c r="C10" s="47">
        <v>938030</v>
      </c>
      <c r="D10" s="40" t="s">
        <v>23</v>
      </c>
      <c r="E10" s="39"/>
      <c r="F10" s="83">
        <f>1833.87-27.15</f>
        <v>1806.7199999999998</v>
      </c>
      <c r="G10" s="92">
        <v>-85575.64</v>
      </c>
      <c r="H10" s="83">
        <v>293987.92</v>
      </c>
      <c r="I10" s="38"/>
      <c r="J10" s="39"/>
      <c r="K10" s="45">
        <f>VLOOKUP(C10,'[10]PERIOD 7. OCT.'!$A$2:$I$128,9,0)</f>
        <v>292181.2</v>
      </c>
      <c r="L10" s="40" t="s">
        <v>320</v>
      </c>
      <c r="M10" s="40">
        <v>100740928</v>
      </c>
      <c r="N10" s="38"/>
      <c r="O10" s="38"/>
      <c r="P10" s="38"/>
      <c r="Q10" s="38"/>
      <c r="R10" s="103" t="s">
        <v>26</v>
      </c>
      <c r="S10" s="103">
        <v>2008</v>
      </c>
    </row>
    <row r="11" spans="1:19" ht="16.5" thickBot="1">
      <c r="A11" s="37">
        <v>3511</v>
      </c>
      <c r="B11" s="37">
        <v>10115</v>
      </c>
      <c r="C11" s="47">
        <v>938400</v>
      </c>
      <c r="D11" s="40" t="s">
        <v>24</v>
      </c>
      <c r="E11" s="39"/>
      <c r="F11" s="83">
        <f>1900.6-7.62</f>
        <v>1892.98</v>
      </c>
      <c r="G11" s="92">
        <v>17611.01</v>
      </c>
      <c r="H11" s="83">
        <v>112313.53</v>
      </c>
      <c r="I11" s="39"/>
      <c r="J11" s="146" t="s">
        <v>248</v>
      </c>
      <c r="K11" s="45">
        <f>VLOOKUP(C11,'[10]PERIOD 7. OCT.'!$A$2:$I$128,9,0)</f>
        <v>110420.55</v>
      </c>
      <c r="L11" s="40" t="s">
        <v>328</v>
      </c>
      <c r="M11" s="40" t="s">
        <v>329</v>
      </c>
      <c r="N11" s="38"/>
      <c r="O11" s="38"/>
      <c r="P11" s="38"/>
      <c r="Q11" s="38"/>
      <c r="R11" s="103" t="s">
        <v>27</v>
      </c>
      <c r="S11" s="103">
        <v>2009</v>
      </c>
    </row>
    <row r="12" spans="1:19" ht="16.5" thickBot="1">
      <c r="A12" s="37">
        <v>3519</v>
      </c>
      <c r="B12" s="37">
        <v>10134</v>
      </c>
      <c r="C12" s="47">
        <v>938435</v>
      </c>
      <c r="D12" s="40" t="s">
        <v>130</v>
      </c>
      <c r="E12" s="39"/>
      <c r="F12" s="83">
        <f>1708.75-11.61</f>
        <v>1697.14</v>
      </c>
      <c r="G12" s="92">
        <v>-75476.47</v>
      </c>
      <c r="H12" s="83">
        <v>269862.52</v>
      </c>
      <c r="I12" s="39"/>
      <c r="J12" s="39"/>
      <c r="K12" s="45">
        <f>VLOOKUP(C12,'[10]PERIOD 7. OCT.'!$A$2:$I$128,9,0)</f>
        <v>268165.38</v>
      </c>
      <c r="L12" s="40" t="s">
        <v>322</v>
      </c>
      <c r="M12" s="40">
        <v>100741374</v>
      </c>
      <c r="N12" s="38"/>
      <c r="O12" s="38"/>
      <c r="P12" s="38"/>
      <c r="Q12" s="38"/>
      <c r="R12" s="103" t="s">
        <v>29</v>
      </c>
      <c r="S12" s="103">
        <v>2010</v>
      </c>
    </row>
    <row r="13" spans="1:19" ht="16.5" thickBot="1">
      <c r="A13" s="37">
        <v>2008</v>
      </c>
      <c r="B13" s="37">
        <v>10047</v>
      </c>
      <c r="C13" s="47">
        <v>938040</v>
      </c>
      <c r="D13" s="40" t="s">
        <v>26</v>
      </c>
      <c r="E13" s="39"/>
      <c r="F13" s="83">
        <v>649.51</v>
      </c>
      <c r="G13" s="92">
        <v>146.41</v>
      </c>
      <c r="H13" s="83">
        <v>248875.64</v>
      </c>
      <c r="I13" s="39"/>
      <c r="J13" s="39"/>
      <c r="K13" s="45">
        <f>VLOOKUP(C13,'[10]PERIOD 7. OCT.'!$A$2:$I$128,9,0)</f>
        <v>248226.13</v>
      </c>
      <c r="L13" s="40" t="s">
        <v>320</v>
      </c>
      <c r="M13" s="40">
        <v>100740671</v>
      </c>
      <c r="N13" s="38"/>
      <c r="O13" s="38"/>
      <c r="P13" s="38"/>
      <c r="Q13" s="38"/>
      <c r="R13" s="103" t="s">
        <v>31</v>
      </c>
      <c r="S13" s="103">
        <v>2011</v>
      </c>
    </row>
    <row r="14" spans="1:19" ht="16.5" thickBot="1">
      <c r="A14" s="37">
        <v>2007</v>
      </c>
      <c r="B14" s="37">
        <v>10046</v>
      </c>
      <c r="C14" s="47">
        <v>938035</v>
      </c>
      <c r="D14" s="40" t="s">
        <v>25</v>
      </c>
      <c r="E14" s="39"/>
      <c r="F14" s="83">
        <f>2015.56-19.78</f>
        <v>1995.78</v>
      </c>
      <c r="G14" s="92">
        <v>-7717.6</v>
      </c>
      <c r="H14" s="83">
        <v>207191.57</v>
      </c>
      <c r="I14" s="39"/>
      <c r="J14" s="39"/>
      <c r="K14" s="45">
        <f>VLOOKUP(C14,'[10]PERIOD 7. OCT.'!$A$2:$I$128,9,0)</f>
        <v>205195.79</v>
      </c>
      <c r="L14" s="40" t="s">
        <v>320</v>
      </c>
      <c r="M14" s="40">
        <v>100740927</v>
      </c>
      <c r="N14" s="38"/>
      <c r="O14" s="38"/>
      <c r="P14" s="38"/>
      <c r="Q14" s="38"/>
      <c r="R14" s="103" t="s">
        <v>32</v>
      </c>
      <c r="S14" s="103">
        <v>2014</v>
      </c>
    </row>
    <row r="15" spans="1:19" ht="16.5" thickBot="1">
      <c r="A15" s="37">
        <v>2009</v>
      </c>
      <c r="B15" s="37">
        <v>10048</v>
      </c>
      <c r="C15" s="47">
        <v>938045</v>
      </c>
      <c r="D15" s="40" t="s">
        <v>27</v>
      </c>
      <c r="E15" s="39"/>
      <c r="F15" s="83">
        <f>1835.84-13.86</f>
        <v>1821.98</v>
      </c>
      <c r="G15" s="92">
        <v>1552.73</v>
      </c>
      <c r="H15" s="83">
        <v>200312.3</v>
      </c>
      <c r="I15" s="39"/>
      <c r="J15" s="39"/>
      <c r="K15" s="45">
        <f>VLOOKUP(C15,'[10]PERIOD 7. OCT.'!$A$2:$I$128,9,0)</f>
        <v>198490.32</v>
      </c>
      <c r="L15" s="40" t="s">
        <v>321</v>
      </c>
      <c r="M15" s="40">
        <v>100741348</v>
      </c>
      <c r="N15" s="38"/>
      <c r="O15" s="38"/>
      <c r="P15" s="38"/>
      <c r="Q15" s="38"/>
      <c r="R15" s="103" t="s">
        <v>33</v>
      </c>
      <c r="S15" s="103">
        <v>2015</v>
      </c>
    </row>
    <row r="16" spans="1:19" ht="16.5" thickBot="1">
      <c r="A16" s="37">
        <v>2067</v>
      </c>
      <c r="B16" s="37">
        <v>10118</v>
      </c>
      <c r="C16" s="47">
        <v>938235</v>
      </c>
      <c r="D16" s="40" t="s">
        <v>28</v>
      </c>
      <c r="E16" s="39"/>
      <c r="F16" s="83">
        <v>993.72</v>
      </c>
      <c r="G16" s="92">
        <v>-22340.17</v>
      </c>
      <c r="H16" s="83">
        <v>205699.37</v>
      </c>
      <c r="I16" s="39"/>
      <c r="J16" s="39"/>
      <c r="K16" s="45">
        <f>VLOOKUP(C16,'[10]PERIOD 7. OCT.'!$A$2:$I$128,9,0)</f>
        <v>204705.65</v>
      </c>
      <c r="L16" s="40" t="s">
        <v>318</v>
      </c>
      <c r="M16" s="40">
        <v>100739957</v>
      </c>
      <c r="N16" s="38"/>
      <c r="O16" s="38"/>
      <c r="P16" s="38"/>
      <c r="Q16" s="38"/>
      <c r="R16" s="103" t="s">
        <v>34</v>
      </c>
      <c r="S16" s="103">
        <v>2016</v>
      </c>
    </row>
    <row r="17" spans="1:19" ht="16.5" thickBot="1">
      <c r="A17" s="37">
        <v>2010</v>
      </c>
      <c r="B17" s="37">
        <v>10049</v>
      </c>
      <c r="C17" s="47">
        <v>938050</v>
      </c>
      <c r="D17" s="40" t="s">
        <v>29</v>
      </c>
      <c r="E17" s="39"/>
      <c r="F17" s="83">
        <f>3321.22-13.89</f>
        <v>3307.33</v>
      </c>
      <c r="G17" s="92">
        <v>-77240.36</v>
      </c>
      <c r="H17" s="83">
        <v>449921.28</v>
      </c>
      <c r="I17" s="39"/>
      <c r="J17" s="39"/>
      <c r="K17" s="45">
        <f>VLOOKUP(C17,'[10]PERIOD 7. OCT.'!$A$2:$I$128,9,0)</f>
        <v>446613.95</v>
      </c>
      <c r="L17" s="40" t="s">
        <v>321</v>
      </c>
      <c r="M17" s="40">
        <v>100741351</v>
      </c>
      <c r="N17" s="38"/>
      <c r="O17" s="38"/>
      <c r="P17" s="38"/>
      <c r="Q17" s="38"/>
      <c r="R17" s="103" t="s">
        <v>35</v>
      </c>
      <c r="S17" s="103">
        <v>2017</v>
      </c>
    </row>
    <row r="18" spans="1:19" ht="16.5" thickBot="1">
      <c r="A18" s="37">
        <v>3302</v>
      </c>
      <c r="B18" s="37">
        <v>10050</v>
      </c>
      <c r="C18" s="47">
        <v>938285</v>
      </c>
      <c r="D18" s="40" t="s">
        <v>30</v>
      </c>
      <c r="E18" s="39"/>
      <c r="F18" s="83">
        <v>612.41</v>
      </c>
      <c r="G18" s="92">
        <v>-19551.79</v>
      </c>
      <c r="H18" s="83">
        <v>129001.62</v>
      </c>
      <c r="I18" s="39"/>
      <c r="J18" s="39"/>
      <c r="K18" s="45">
        <f>VLOOKUP(C18,'[10]PERIOD 7. OCT.'!$A$2:$I$128,9,0)</f>
        <v>128389.21</v>
      </c>
      <c r="L18" s="40" t="s">
        <v>322</v>
      </c>
      <c r="M18" s="40">
        <v>100741363</v>
      </c>
      <c r="N18" s="38"/>
      <c r="O18" s="38"/>
      <c r="P18" s="38"/>
      <c r="Q18" s="38"/>
      <c r="R18" s="107" t="s">
        <v>37</v>
      </c>
      <c r="S18" s="103">
        <v>2018</v>
      </c>
    </row>
    <row r="19" spans="1:19" ht="16.5" thickBot="1">
      <c r="A19" s="37">
        <v>2011</v>
      </c>
      <c r="B19" s="37">
        <v>10051</v>
      </c>
      <c r="C19" s="47">
        <v>938055</v>
      </c>
      <c r="D19" s="40" t="s">
        <v>31</v>
      </c>
      <c r="E19" s="39"/>
      <c r="F19" s="83">
        <v>2267.63</v>
      </c>
      <c r="G19" s="92">
        <v>3868.61</v>
      </c>
      <c r="H19" s="83">
        <v>130572.61</v>
      </c>
      <c r="I19" s="39"/>
      <c r="J19" s="39"/>
      <c r="K19" s="45">
        <f>VLOOKUP(C19,'[10]PERIOD 7. OCT.'!$A$2:$I$128,9,0)</f>
        <v>128304.98</v>
      </c>
      <c r="L19" s="40" t="s">
        <v>326</v>
      </c>
      <c r="M19" s="40">
        <v>100746925</v>
      </c>
      <c r="N19" s="42"/>
      <c r="O19" s="38"/>
      <c r="P19" s="38"/>
      <c r="Q19" s="38"/>
      <c r="R19" s="103" t="s">
        <v>38</v>
      </c>
      <c r="S19" s="103">
        <v>2019</v>
      </c>
    </row>
    <row r="20" spans="1:19" ht="16.5" thickBot="1">
      <c r="A20" s="37">
        <v>3522</v>
      </c>
      <c r="B20" s="37">
        <v>10953</v>
      </c>
      <c r="C20" s="47">
        <v>938438</v>
      </c>
      <c r="D20" s="40" t="s">
        <v>140</v>
      </c>
      <c r="E20" s="39"/>
      <c r="F20" s="83">
        <v>6420.38</v>
      </c>
      <c r="G20" s="92">
        <v>47095.53</v>
      </c>
      <c r="H20" s="83">
        <v>147210.63</v>
      </c>
      <c r="I20" s="39"/>
      <c r="J20" s="39"/>
      <c r="K20" s="45">
        <f>VLOOKUP(C20,'[10]PERIOD 7. OCT.'!$A$2:$I$128,9,0)</f>
        <v>140790.25</v>
      </c>
      <c r="L20" s="40" t="s">
        <v>326</v>
      </c>
      <c r="M20" s="40">
        <v>100745590</v>
      </c>
      <c r="N20" s="38"/>
      <c r="O20" s="38"/>
      <c r="P20" s="38"/>
      <c r="Q20" s="38"/>
      <c r="R20" s="103" t="s">
        <v>40</v>
      </c>
      <c r="S20" s="103">
        <v>2021</v>
      </c>
    </row>
    <row r="21" spans="1:19" ht="16.5" thickBot="1">
      <c r="A21" s="37">
        <v>2014</v>
      </c>
      <c r="B21" s="37">
        <v>10054</v>
      </c>
      <c r="C21" s="47">
        <v>938070</v>
      </c>
      <c r="D21" s="40" t="s">
        <v>32</v>
      </c>
      <c r="E21" s="39"/>
      <c r="F21" s="83">
        <f>1358.16-5.81</f>
        <v>1352.3500000000001</v>
      </c>
      <c r="G21" s="92">
        <v>-76537.1</v>
      </c>
      <c r="H21" s="83">
        <v>403043.08</v>
      </c>
      <c r="I21" s="39"/>
      <c r="J21" s="39"/>
      <c r="K21" s="45">
        <f>VLOOKUP(C21,'[10]PERIOD 7. OCT.'!$A$2:$I$128,9,0)</f>
        <v>401690.73</v>
      </c>
      <c r="L21" s="40" t="s">
        <v>319</v>
      </c>
      <c r="M21" s="40">
        <v>100739976</v>
      </c>
      <c r="N21" s="38"/>
      <c r="O21" s="38"/>
      <c r="P21" s="38"/>
      <c r="Q21" s="38"/>
      <c r="R21" s="103" t="s">
        <v>41</v>
      </c>
      <c r="S21" s="103">
        <v>2022</v>
      </c>
    </row>
    <row r="22" spans="1:19" ht="16.5" thickBot="1">
      <c r="A22" s="37">
        <v>2015</v>
      </c>
      <c r="B22" s="37">
        <v>10055</v>
      </c>
      <c r="C22" s="47">
        <v>938075</v>
      </c>
      <c r="D22" s="40" t="s">
        <v>33</v>
      </c>
      <c r="E22" s="39"/>
      <c r="F22" s="83">
        <f>1232.28-48.93</f>
        <v>1183.35</v>
      </c>
      <c r="G22" s="92">
        <v>-20799.72</v>
      </c>
      <c r="H22" s="83">
        <v>327401.27</v>
      </c>
      <c r="I22" s="40"/>
      <c r="J22" s="41"/>
      <c r="K22" s="45">
        <f>VLOOKUP(C22,'[10]PERIOD 7. OCT.'!$A$2:$I$128,9,0)</f>
        <v>326217.92</v>
      </c>
      <c r="L22" s="40" t="s">
        <v>330</v>
      </c>
      <c r="M22" s="40">
        <v>100747818</v>
      </c>
      <c r="N22" s="38"/>
      <c r="O22" s="38"/>
      <c r="P22" s="38"/>
      <c r="Q22" s="38"/>
      <c r="R22" s="103" t="s">
        <v>42</v>
      </c>
      <c r="S22" s="103">
        <v>2023</v>
      </c>
    </row>
    <row r="23" spans="1:19" ht="16.5" thickBot="1">
      <c r="A23" s="37">
        <v>2016</v>
      </c>
      <c r="B23" s="37">
        <v>10056</v>
      </c>
      <c r="C23" s="47">
        <v>938080</v>
      </c>
      <c r="D23" s="40" t="s">
        <v>34</v>
      </c>
      <c r="E23" s="39"/>
      <c r="F23" s="83">
        <f>2510.83-0.9</f>
        <v>2509.93</v>
      </c>
      <c r="G23" s="92">
        <v>-20028.26</v>
      </c>
      <c r="H23" s="83">
        <v>93879.81</v>
      </c>
      <c r="I23" s="39"/>
      <c r="J23" s="39"/>
      <c r="K23" s="45">
        <f>VLOOKUP(C23,'[10]PERIOD 7. OCT.'!$A$2:$I$128,9,0)</f>
        <v>91369.8800000001</v>
      </c>
      <c r="L23" s="40" t="s">
        <v>319</v>
      </c>
      <c r="M23" s="40">
        <v>100740619</v>
      </c>
      <c r="N23" s="38"/>
      <c r="O23" s="38"/>
      <c r="P23" s="38"/>
      <c r="Q23" s="38"/>
      <c r="R23" s="103" t="s">
        <v>183</v>
      </c>
      <c r="S23" s="103">
        <v>2024</v>
      </c>
    </row>
    <row r="24" spans="1:19" ht="16.5" thickBot="1">
      <c r="A24" s="37">
        <v>2017</v>
      </c>
      <c r="B24" s="37">
        <v>10057</v>
      </c>
      <c r="C24" s="47">
        <v>938085</v>
      </c>
      <c r="D24" s="40" t="s">
        <v>35</v>
      </c>
      <c r="E24" s="39"/>
      <c r="F24" s="83">
        <v>2768.02</v>
      </c>
      <c r="G24" s="92">
        <v>-47108.18</v>
      </c>
      <c r="H24" s="83">
        <v>153622.47</v>
      </c>
      <c r="I24" s="39"/>
      <c r="J24" s="39"/>
      <c r="K24" s="45">
        <f>VLOOKUP(C24,'[10]PERIOD 7. OCT.'!$A$2:$I$128,9,0)</f>
        <v>150854.45</v>
      </c>
      <c r="L24" s="40" t="s">
        <v>321</v>
      </c>
      <c r="M24" s="40">
        <v>100740983</v>
      </c>
      <c r="N24" s="38"/>
      <c r="O24" s="38"/>
      <c r="P24" s="38"/>
      <c r="Q24" s="38"/>
      <c r="R24" s="103" t="s">
        <v>44</v>
      </c>
      <c r="S24" s="103">
        <v>2025</v>
      </c>
    </row>
    <row r="25" spans="1:19" ht="16.5" thickBot="1">
      <c r="A25" s="37">
        <v>2073</v>
      </c>
      <c r="B25" s="37">
        <v>10083</v>
      </c>
      <c r="C25" s="47">
        <v>938255</v>
      </c>
      <c r="D25" s="40" t="s">
        <v>36</v>
      </c>
      <c r="E25" s="39"/>
      <c r="F25" s="83">
        <v>4666.79</v>
      </c>
      <c r="G25" s="92">
        <v>-11931.32</v>
      </c>
      <c r="H25" s="83">
        <v>356537.88</v>
      </c>
      <c r="I25" s="39"/>
      <c r="J25" s="40"/>
      <c r="K25" s="45">
        <f>VLOOKUP(C25,'[10]PERIOD 7. OCT.'!$A$2:$I$128,9,0)</f>
        <v>351871.09</v>
      </c>
      <c r="L25" s="40" t="s">
        <v>326</v>
      </c>
      <c r="M25" s="40">
        <v>100745580</v>
      </c>
      <c r="N25" s="38"/>
      <c r="O25" s="38"/>
      <c r="P25" s="38"/>
      <c r="Q25" s="38"/>
      <c r="R25" s="103" t="s">
        <v>45</v>
      </c>
      <c r="S25" s="103">
        <v>2026</v>
      </c>
    </row>
    <row r="26" spans="1:19" ht="16.5" thickBot="1">
      <c r="A26" s="37">
        <v>2019</v>
      </c>
      <c r="B26" s="37">
        <v>10059</v>
      </c>
      <c r="C26" s="47">
        <v>938095</v>
      </c>
      <c r="D26" s="40" t="s">
        <v>38</v>
      </c>
      <c r="E26" s="39"/>
      <c r="F26" s="83">
        <f>1959.84-22.52</f>
        <v>1937.32</v>
      </c>
      <c r="G26" s="92">
        <v>-3327.64</v>
      </c>
      <c r="H26" s="83">
        <v>137957.67</v>
      </c>
      <c r="I26" s="39"/>
      <c r="J26" s="39"/>
      <c r="K26" s="45">
        <f>VLOOKUP(C26,'[10]PERIOD 7. OCT.'!$A$2:$I$128,9,0)</f>
        <v>136020.35</v>
      </c>
      <c r="L26" s="40" t="s">
        <v>321</v>
      </c>
      <c r="M26" s="40">
        <v>100740957</v>
      </c>
      <c r="N26" s="38"/>
      <c r="O26" s="38"/>
      <c r="P26" s="38"/>
      <c r="Q26" s="38"/>
      <c r="R26" s="103" t="s">
        <v>46</v>
      </c>
      <c r="S26" s="103">
        <v>2027</v>
      </c>
    </row>
    <row r="27" spans="1:19" ht="16.5" thickBot="1">
      <c r="A27" s="37">
        <v>2018</v>
      </c>
      <c r="B27" s="37">
        <v>10058</v>
      </c>
      <c r="C27" s="47">
        <v>938090</v>
      </c>
      <c r="D27" s="40" t="s">
        <v>37</v>
      </c>
      <c r="E27" s="39"/>
      <c r="F27" s="83">
        <f>1942.12-34.48</f>
        <v>1907.6399999999999</v>
      </c>
      <c r="G27" s="92">
        <v>-118584.75</v>
      </c>
      <c r="H27" s="83">
        <v>367118.48</v>
      </c>
      <c r="I27" s="40"/>
      <c r="J27" s="40"/>
      <c r="K27" s="45">
        <f>VLOOKUP(C27,'[10]PERIOD 7. OCT.'!$A$2:$I$128,9,0)</f>
        <v>365210.84</v>
      </c>
      <c r="L27" s="40" t="s">
        <v>326</v>
      </c>
      <c r="M27" s="40">
        <v>100745587</v>
      </c>
      <c r="N27" s="38"/>
      <c r="O27" s="38"/>
      <c r="P27" s="38"/>
      <c r="Q27" s="38"/>
      <c r="R27" s="103" t="s">
        <v>47</v>
      </c>
      <c r="S27" s="103">
        <v>2028</v>
      </c>
    </row>
    <row r="28" spans="1:19" ht="16.5" thickBot="1">
      <c r="A28" s="37">
        <v>2021</v>
      </c>
      <c r="B28" s="37">
        <v>10061</v>
      </c>
      <c r="C28" s="47">
        <v>938100</v>
      </c>
      <c r="D28" s="40" t="s">
        <v>40</v>
      </c>
      <c r="E28" s="39"/>
      <c r="F28" s="83">
        <f>4234.11-30.72</f>
        <v>4203.389999999999</v>
      </c>
      <c r="G28" s="92">
        <v>21046.45</v>
      </c>
      <c r="H28" s="83">
        <v>197562.16</v>
      </c>
      <c r="I28" s="39"/>
      <c r="J28" s="39"/>
      <c r="K28" s="45">
        <f>VLOOKUP(C28,'[10]PERIOD 7. OCT.'!$A$2:$I$128,9,0)</f>
        <v>193358.77</v>
      </c>
      <c r="L28" s="40" t="s">
        <v>330</v>
      </c>
      <c r="M28" s="40">
        <v>100747822</v>
      </c>
      <c r="N28" s="38"/>
      <c r="O28" s="38"/>
      <c r="P28" s="38"/>
      <c r="Q28" s="38"/>
      <c r="R28" s="103" t="s">
        <v>48</v>
      </c>
      <c r="S28" s="103">
        <v>2029</v>
      </c>
    </row>
    <row r="29" spans="1:19" ht="16.5" thickBot="1">
      <c r="A29" s="37">
        <v>5200</v>
      </c>
      <c r="B29" s="37">
        <v>10060</v>
      </c>
      <c r="C29" s="47">
        <v>938490</v>
      </c>
      <c r="D29" s="40" t="s">
        <v>39</v>
      </c>
      <c r="E29" s="39"/>
      <c r="F29" s="83">
        <v>6173.83</v>
      </c>
      <c r="G29" s="92">
        <v>42640.2</v>
      </c>
      <c r="H29" s="83">
        <v>40724.42</v>
      </c>
      <c r="K29" s="45">
        <f>VLOOKUP(C29,'[10]PERIOD 7. OCT.'!$A$2:$I$128,9,0)</f>
        <v>34550.59</v>
      </c>
      <c r="L29" s="40" t="s">
        <v>328</v>
      </c>
      <c r="M29" s="40">
        <v>100747478</v>
      </c>
      <c r="N29" s="38"/>
      <c r="O29" s="38"/>
      <c r="P29" s="38"/>
      <c r="Q29" s="38"/>
      <c r="R29" s="103" t="s">
        <v>50</v>
      </c>
      <c r="S29" s="103">
        <v>2030</v>
      </c>
    </row>
    <row r="30" spans="1:19" ht="16.5" thickBot="1">
      <c r="A30" s="37">
        <v>2023</v>
      </c>
      <c r="B30" s="37">
        <v>10063</v>
      </c>
      <c r="C30" s="47">
        <v>938110</v>
      </c>
      <c r="D30" s="40" t="s">
        <v>42</v>
      </c>
      <c r="E30" s="39"/>
      <c r="F30" s="83">
        <v>1715.61</v>
      </c>
      <c r="G30" s="92">
        <v>-11336.54</v>
      </c>
      <c r="H30" s="83">
        <v>241959.84</v>
      </c>
      <c r="I30" s="39"/>
      <c r="J30" s="146" t="s">
        <v>248</v>
      </c>
      <c r="K30" s="45">
        <f>VLOOKUP(C30,'[10]PERIOD 7. OCT.'!$A$2:$I$128,9,0)</f>
        <v>239947.23</v>
      </c>
      <c r="L30" s="40" t="s">
        <v>332</v>
      </c>
      <c r="M30" s="40" t="s">
        <v>334</v>
      </c>
      <c r="N30" s="38"/>
      <c r="O30" s="38"/>
      <c r="P30" s="38"/>
      <c r="Q30" s="38"/>
      <c r="R30" s="106" t="s">
        <v>52</v>
      </c>
      <c r="S30" s="103">
        <v>2031</v>
      </c>
    </row>
    <row r="31" spans="1:19" ht="16.5" thickBot="1">
      <c r="A31" s="37">
        <v>2022</v>
      </c>
      <c r="B31" s="37">
        <v>10062</v>
      </c>
      <c r="C31" s="47">
        <v>938105</v>
      </c>
      <c r="D31" s="40" t="s">
        <v>41</v>
      </c>
      <c r="E31" s="39"/>
      <c r="F31" s="83">
        <v>7098.89</v>
      </c>
      <c r="G31" s="92">
        <v>-38094.02</v>
      </c>
      <c r="H31" s="83">
        <v>251444.56</v>
      </c>
      <c r="I31" s="39"/>
      <c r="J31" s="39"/>
      <c r="K31" s="45">
        <f>VLOOKUP(C31,'[10]PERIOD 7. OCT.'!$A$2:$I$128,9,0)</f>
        <v>244345.66</v>
      </c>
      <c r="L31" s="40" t="s">
        <v>320</v>
      </c>
      <c r="M31" s="40">
        <v>100740922</v>
      </c>
      <c r="N31" s="38"/>
      <c r="O31" s="38"/>
      <c r="P31" s="38"/>
      <c r="Q31" s="38"/>
      <c r="R31" s="103" t="s">
        <v>53</v>
      </c>
      <c r="S31" s="103">
        <v>2032</v>
      </c>
    </row>
    <row r="32" spans="1:19" ht="16.5" thickBot="1">
      <c r="A32" s="37">
        <v>3524</v>
      </c>
      <c r="B32" s="37">
        <v>11278</v>
      </c>
      <c r="C32" s="47">
        <v>938590</v>
      </c>
      <c r="D32" s="40" t="s">
        <v>396</v>
      </c>
      <c r="E32" s="39"/>
      <c r="F32" s="83"/>
      <c r="G32" s="92"/>
      <c r="H32" s="83"/>
      <c r="I32" s="39"/>
      <c r="J32" s="39"/>
      <c r="K32" s="45"/>
      <c r="L32" s="40"/>
      <c r="M32" s="40">
        <v>1</v>
      </c>
      <c r="N32" s="38"/>
      <c r="O32" s="38"/>
      <c r="P32" s="38"/>
      <c r="Q32" s="38"/>
      <c r="R32" s="103"/>
      <c r="S32" s="103"/>
    </row>
    <row r="33" spans="1:19" ht="16.5" thickBot="1">
      <c r="A33" s="37">
        <v>2024</v>
      </c>
      <c r="B33" s="37">
        <v>10064</v>
      </c>
      <c r="C33" s="47">
        <v>938115</v>
      </c>
      <c r="D33" s="40" t="s">
        <v>43</v>
      </c>
      <c r="E33" s="39"/>
      <c r="F33" s="83">
        <f>2829.26-260</f>
        <v>2569.26</v>
      </c>
      <c r="G33" s="92">
        <v>4322.92</v>
      </c>
      <c r="H33" s="83">
        <v>245410.86</v>
      </c>
      <c r="I33" s="39"/>
      <c r="J33" s="39"/>
      <c r="K33" s="45">
        <f>VLOOKUP(C33,'[10]PERIOD 7. OCT.'!$A$2:$I$128,9,0)</f>
        <v>242841.6</v>
      </c>
      <c r="L33" s="40" t="s">
        <v>321</v>
      </c>
      <c r="M33" s="40">
        <v>100741347</v>
      </c>
      <c r="N33" s="38"/>
      <c r="O33" s="38"/>
      <c r="P33" s="38"/>
      <c r="Q33" s="38"/>
      <c r="R33" s="103" t="s">
        <v>57</v>
      </c>
      <c r="S33" s="103">
        <v>2036</v>
      </c>
    </row>
    <row r="34" spans="1:19" ht="16.5" thickBot="1">
      <c r="A34" s="37">
        <v>2025</v>
      </c>
      <c r="B34" s="37">
        <v>10065</v>
      </c>
      <c r="C34" s="47">
        <v>938120</v>
      </c>
      <c r="D34" s="40" t="s">
        <v>44</v>
      </c>
      <c r="E34" s="39"/>
      <c r="F34" s="83">
        <v>1552.94</v>
      </c>
      <c r="G34" s="92">
        <v>7175.48</v>
      </c>
      <c r="H34" s="83">
        <v>209931.01</v>
      </c>
      <c r="I34" s="39"/>
      <c r="J34" s="39"/>
      <c r="K34" s="45">
        <f>VLOOKUP(C34,'[10]PERIOD 7. OCT.'!$A$2:$I$128,9,0)</f>
        <v>208378.07</v>
      </c>
      <c r="L34" s="40" t="s">
        <v>325</v>
      </c>
      <c r="M34" s="40">
        <v>100745574</v>
      </c>
      <c r="N34" s="38"/>
      <c r="O34" s="38"/>
      <c r="P34" s="38"/>
      <c r="Q34" s="38"/>
      <c r="R34" s="103" t="s">
        <v>58</v>
      </c>
      <c r="S34" s="103">
        <v>2037</v>
      </c>
    </row>
    <row r="35" spans="1:19" ht="16.5" thickBot="1">
      <c r="A35" s="37">
        <v>2026</v>
      </c>
      <c r="B35" s="37">
        <v>10066</v>
      </c>
      <c r="C35" s="47">
        <v>938125</v>
      </c>
      <c r="D35" s="40" t="s">
        <v>45</v>
      </c>
      <c r="E35" s="39"/>
      <c r="F35" s="83">
        <v>6125.57</v>
      </c>
      <c r="G35" s="92">
        <v>-37550.26</v>
      </c>
      <c r="H35" s="83">
        <v>331970.11</v>
      </c>
      <c r="I35" s="39"/>
      <c r="J35" s="39"/>
      <c r="K35" s="45">
        <f>VLOOKUP(C35,'[10]PERIOD 7. OCT.'!$A$2:$I$128,9,0)</f>
        <v>325844.54</v>
      </c>
      <c r="L35" s="40" t="s">
        <v>322</v>
      </c>
      <c r="M35" s="40">
        <v>100741372</v>
      </c>
      <c r="N35" s="38"/>
      <c r="O35" s="38"/>
      <c r="P35" s="38"/>
      <c r="Q35" s="38"/>
      <c r="R35" s="103" t="s">
        <v>63</v>
      </c>
      <c r="S35" s="103">
        <v>2042</v>
      </c>
    </row>
    <row r="36" spans="1:19" ht="16.5" thickBot="1">
      <c r="A36" s="37">
        <v>2028</v>
      </c>
      <c r="B36" s="37">
        <v>10068</v>
      </c>
      <c r="C36" s="47">
        <v>938135</v>
      </c>
      <c r="D36" s="40" t="s">
        <v>47</v>
      </c>
      <c r="E36" s="39"/>
      <c r="F36" s="83">
        <f>2681.01-5.6</f>
        <v>2675.4100000000003</v>
      </c>
      <c r="G36" s="92">
        <v>-11065.61</v>
      </c>
      <c r="H36" s="83">
        <v>71213.73</v>
      </c>
      <c r="I36" s="39"/>
      <c r="J36" s="39"/>
      <c r="K36" s="45">
        <f>VLOOKUP(C36,'[10]PERIOD 7. OCT.'!$A$2:$I$128,9,0)</f>
        <v>68538.32</v>
      </c>
      <c r="L36" s="40" t="s">
        <v>325</v>
      </c>
      <c r="M36" s="40">
        <v>100744555</v>
      </c>
      <c r="N36" s="38"/>
      <c r="O36" s="38"/>
      <c r="P36" s="38"/>
      <c r="Q36" s="38"/>
      <c r="R36" s="103" t="s">
        <v>64</v>
      </c>
      <c r="S36" s="103">
        <v>2043</v>
      </c>
    </row>
    <row r="37" spans="1:19" ht="16.5" thickBot="1">
      <c r="A37" s="37">
        <v>2027</v>
      </c>
      <c r="B37" s="37">
        <v>10067</v>
      </c>
      <c r="C37" s="47">
        <v>938130</v>
      </c>
      <c r="D37" s="40" t="s">
        <v>46</v>
      </c>
      <c r="E37" s="39"/>
      <c r="F37" s="83">
        <f>8838.72-22.82</f>
        <v>8815.9</v>
      </c>
      <c r="G37" s="92">
        <v>29273.98</v>
      </c>
      <c r="H37" s="83">
        <v>153693.57</v>
      </c>
      <c r="I37" s="39"/>
      <c r="J37" s="39"/>
      <c r="K37" s="45">
        <f>VLOOKUP(C37,'[10]PERIOD 7. OCT.'!$A$2:$I$128,9,0)</f>
        <v>144877.67</v>
      </c>
      <c r="L37" s="40" t="s">
        <v>326</v>
      </c>
      <c r="M37" s="40">
        <v>100745593</v>
      </c>
      <c r="N37" s="38"/>
      <c r="O37" s="38"/>
      <c r="P37" s="38"/>
      <c r="Q37" s="38"/>
      <c r="R37" s="106" t="s">
        <v>65</v>
      </c>
      <c r="S37" s="103">
        <v>2044</v>
      </c>
    </row>
    <row r="38" spans="1:19" ht="16.5" thickBot="1">
      <c r="A38" s="37">
        <v>2029</v>
      </c>
      <c r="B38" s="37">
        <v>10069</v>
      </c>
      <c r="C38" s="47">
        <v>938140</v>
      </c>
      <c r="D38" s="40" t="s">
        <v>48</v>
      </c>
      <c r="E38" s="39"/>
      <c r="F38" s="83">
        <v>10121.49</v>
      </c>
      <c r="G38" s="92">
        <v>111061.07</v>
      </c>
      <c r="H38" s="83">
        <v>228788.73</v>
      </c>
      <c r="I38" s="39"/>
      <c r="J38" s="39"/>
      <c r="K38" s="45">
        <f>VLOOKUP(C38,'[10]PERIOD 7. OCT.'!$A$2:$I$128,9,0)</f>
        <v>218667.24</v>
      </c>
      <c r="L38" s="40" t="s">
        <v>332</v>
      </c>
      <c r="M38" s="40">
        <v>100748318</v>
      </c>
      <c r="N38" s="38"/>
      <c r="O38" s="38"/>
      <c r="P38" s="38"/>
      <c r="Q38" s="38"/>
      <c r="R38" s="103" t="s">
        <v>66</v>
      </c>
      <c r="S38" s="103">
        <v>2045</v>
      </c>
    </row>
    <row r="39" spans="1:19" ht="16.5" thickBot="1">
      <c r="A39" s="37">
        <v>2030</v>
      </c>
      <c r="B39" s="37">
        <v>10070</v>
      </c>
      <c r="C39" s="47">
        <v>938145</v>
      </c>
      <c r="D39" s="40" t="s">
        <v>50</v>
      </c>
      <c r="E39" s="39"/>
      <c r="F39" s="83">
        <v>533.51</v>
      </c>
      <c r="G39" s="92">
        <v>-10690.3</v>
      </c>
      <c r="H39" s="83">
        <v>115334.1</v>
      </c>
      <c r="I39" s="39"/>
      <c r="J39" s="39"/>
      <c r="K39" s="45">
        <f>VLOOKUP(C39,'[10]PERIOD 7. OCT.'!$A$2:$I$128,9,0)</f>
        <v>114800.59</v>
      </c>
      <c r="L39" s="40" t="s">
        <v>325</v>
      </c>
      <c r="M39" s="40">
        <v>100745538</v>
      </c>
      <c r="N39" s="38"/>
      <c r="O39" s="38"/>
      <c r="P39" s="38"/>
      <c r="Q39" s="38"/>
      <c r="R39" s="103" t="s">
        <v>87</v>
      </c>
      <c r="S39" s="103">
        <v>2052</v>
      </c>
    </row>
    <row r="40" spans="1:19" ht="16.5" thickBot="1">
      <c r="A40" s="37">
        <v>3516</v>
      </c>
      <c r="B40" s="37">
        <v>10121</v>
      </c>
      <c r="C40" s="47">
        <v>938425</v>
      </c>
      <c r="D40" s="40" t="s">
        <v>51</v>
      </c>
      <c r="E40" s="39"/>
      <c r="F40" s="83">
        <v>3362.77</v>
      </c>
      <c r="G40" s="92">
        <v>19275.81</v>
      </c>
      <c r="H40" s="83">
        <v>5921.34</v>
      </c>
      <c r="I40" s="39"/>
      <c r="J40" s="39"/>
      <c r="K40" s="45">
        <f>VLOOKUP(C40,'[10]PERIOD 7. OCT.'!$A$2:$I$128,9,0)</f>
        <v>2558.5699999999742</v>
      </c>
      <c r="L40" s="40" t="s">
        <v>324</v>
      </c>
      <c r="M40" s="40">
        <v>100744547</v>
      </c>
      <c r="N40" s="38"/>
      <c r="O40" s="38"/>
      <c r="P40" s="38"/>
      <c r="Q40" s="38"/>
      <c r="R40" s="103" t="s">
        <v>95</v>
      </c>
      <c r="S40" s="103">
        <v>2054</v>
      </c>
    </row>
    <row r="41" spans="1:19" ht="16.5" thickBot="1">
      <c r="A41" s="37">
        <v>2031</v>
      </c>
      <c r="B41" s="37">
        <v>10071</v>
      </c>
      <c r="C41" s="47">
        <v>938150</v>
      </c>
      <c r="D41" s="40" t="s">
        <v>52</v>
      </c>
      <c r="E41" s="39"/>
      <c r="F41" s="83">
        <v>1212.22</v>
      </c>
      <c r="G41" s="92">
        <v>-55656.27</v>
      </c>
      <c r="H41" s="83">
        <v>89862.91</v>
      </c>
      <c r="I41" s="39"/>
      <c r="J41" s="39"/>
      <c r="K41" s="45">
        <f>VLOOKUP(C41,'[10]PERIOD 7. OCT.'!$A$2:$I$128,9,0)</f>
        <v>88650.68999999989</v>
      </c>
      <c r="L41" s="40" t="s">
        <v>332</v>
      </c>
      <c r="M41" s="40">
        <v>100748317</v>
      </c>
      <c r="N41" s="38"/>
      <c r="O41" s="38"/>
      <c r="P41" s="38"/>
      <c r="Q41" s="38"/>
      <c r="R41" s="103" t="s">
        <v>90</v>
      </c>
      <c r="S41" s="103">
        <v>2055</v>
      </c>
    </row>
    <row r="42" spans="1:19" ht="16.5" thickBot="1">
      <c r="A42" s="37">
        <v>2032</v>
      </c>
      <c r="B42" s="37">
        <v>10072</v>
      </c>
      <c r="C42" s="47">
        <v>938155</v>
      </c>
      <c r="D42" s="40" t="s">
        <v>53</v>
      </c>
      <c r="E42" s="39"/>
      <c r="F42" s="83">
        <v>1913.63</v>
      </c>
      <c r="G42" s="92">
        <v>12950.3</v>
      </c>
      <c r="H42" s="83">
        <v>132176.04</v>
      </c>
      <c r="I42" s="39"/>
      <c r="J42" s="39"/>
      <c r="K42" s="45">
        <f>VLOOKUP(C42,'[10]PERIOD 7. OCT.'!$A$2:$I$128,9,0)</f>
        <v>130262.41</v>
      </c>
      <c r="L42" s="40" t="s">
        <v>328</v>
      </c>
      <c r="M42" s="40">
        <v>100747815</v>
      </c>
      <c r="N42" s="38"/>
      <c r="O42" s="38"/>
      <c r="P42" s="38"/>
      <c r="Q42" s="38"/>
      <c r="R42" s="103" t="s">
        <v>91</v>
      </c>
      <c r="S42" s="103">
        <v>2056</v>
      </c>
    </row>
    <row r="43" spans="1:19" ht="16.5" thickBot="1">
      <c r="A43" s="37">
        <v>3304</v>
      </c>
      <c r="B43" s="37">
        <v>10073</v>
      </c>
      <c r="C43" s="47">
        <v>938290</v>
      </c>
      <c r="D43" s="40" t="s">
        <v>54</v>
      </c>
      <c r="E43" s="39"/>
      <c r="F43" s="83">
        <v>1372.47</v>
      </c>
      <c r="G43" s="92">
        <v>-24826.45</v>
      </c>
      <c r="H43" s="83">
        <v>125519.54</v>
      </c>
      <c r="I43" s="39"/>
      <c r="J43" s="39"/>
      <c r="K43" s="45">
        <f>VLOOKUP(C43,'[10]PERIOD 7. OCT.'!$A$2:$I$128,9,0)</f>
        <v>124147.07</v>
      </c>
      <c r="L43" s="40" t="s">
        <v>328</v>
      </c>
      <c r="M43" s="40">
        <v>100747473</v>
      </c>
      <c r="N43" s="38"/>
      <c r="O43" s="38"/>
      <c r="P43" s="38"/>
      <c r="Q43" s="38"/>
      <c r="R43" s="103" t="s">
        <v>92</v>
      </c>
      <c r="S43" s="103">
        <v>2057</v>
      </c>
    </row>
    <row r="44" spans="1:19" ht="16.5" thickBot="1">
      <c r="A44" s="37">
        <v>2074</v>
      </c>
      <c r="B44" s="37">
        <v>10122</v>
      </c>
      <c r="C44" s="47">
        <v>938260</v>
      </c>
      <c r="D44" s="40" t="s">
        <v>55</v>
      </c>
      <c r="E44" s="39"/>
      <c r="F44" s="83">
        <v>6214.62</v>
      </c>
      <c r="G44" s="92">
        <v>-74919.06</v>
      </c>
      <c r="H44" s="83">
        <v>399781.23</v>
      </c>
      <c r="I44" s="39"/>
      <c r="J44" s="39"/>
      <c r="K44" s="45">
        <f>VLOOKUP(C44,'[10]PERIOD 7. OCT.'!$A$2:$I$128,9,0)</f>
        <v>393566.62</v>
      </c>
      <c r="L44" s="40" t="s">
        <v>323</v>
      </c>
      <c r="M44" s="40">
        <v>100742158</v>
      </c>
      <c r="N44" s="38"/>
      <c r="O44" s="38"/>
      <c r="P44" s="38"/>
      <c r="Q44" s="38"/>
      <c r="R44" s="103" t="s">
        <v>94</v>
      </c>
      <c r="S44" s="103">
        <v>2060</v>
      </c>
    </row>
    <row r="45" spans="1:19" ht="16.5" thickBot="1">
      <c r="A45" s="37">
        <v>3515</v>
      </c>
      <c r="B45" s="37">
        <v>10106</v>
      </c>
      <c r="C45" s="47">
        <v>938420</v>
      </c>
      <c r="D45" s="40" t="s">
        <v>56</v>
      </c>
      <c r="E45" s="39"/>
      <c r="F45" s="83">
        <v>3473.28</v>
      </c>
      <c r="G45" s="92">
        <v>-19497.24</v>
      </c>
      <c r="H45" s="83">
        <v>46996.66</v>
      </c>
      <c r="I45" s="39"/>
      <c r="J45" s="39"/>
      <c r="K45" s="45">
        <f>VLOOKUP(C45,'[10]PERIOD 7. OCT.'!$A$2:$I$128,9,0)</f>
        <v>43523.38</v>
      </c>
      <c r="L45" s="40" t="s">
        <v>328</v>
      </c>
      <c r="M45" s="40">
        <v>100747475</v>
      </c>
      <c r="N45" s="38"/>
      <c r="O45" s="38"/>
      <c r="P45" s="38"/>
      <c r="Q45" s="38"/>
      <c r="R45" s="106" t="s">
        <v>21</v>
      </c>
      <c r="S45" s="103">
        <v>2064</v>
      </c>
    </row>
    <row r="46" spans="1:19" ht="16.5" thickBot="1">
      <c r="A46" s="37">
        <v>2036</v>
      </c>
      <c r="B46" s="37">
        <v>10074</v>
      </c>
      <c r="C46" s="47">
        <v>938160</v>
      </c>
      <c r="D46" s="40" t="s">
        <v>57</v>
      </c>
      <c r="E46" s="39"/>
      <c r="F46" s="83">
        <v>2988.93</v>
      </c>
      <c r="G46" s="92">
        <v>-21128.46</v>
      </c>
      <c r="H46" s="83">
        <v>227050.31</v>
      </c>
      <c r="I46" s="39"/>
      <c r="J46" s="39"/>
      <c r="K46" s="45">
        <f>VLOOKUP(C46,'[10]PERIOD 7. OCT.'!$A$2:$I$128,9,0)</f>
        <v>224061.38</v>
      </c>
      <c r="L46" s="40" t="s">
        <v>330</v>
      </c>
      <c r="M46" s="40">
        <v>100747823</v>
      </c>
      <c r="N46" s="38"/>
      <c r="O46" s="38"/>
      <c r="P46" s="38"/>
      <c r="Q46" s="38"/>
      <c r="R46" s="103" t="s">
        <v>28</v>
      </c>
      <c r="S46" s="103">
        <v>2067</v>
      </c>
    </row>
    <row r="47" spans="1:19" ht="16.5" thickBot="1">
      <c r="A47" s="37">
        <v>2037</v>
      </c>
      <c r="B47" s="37">
        <v>10075</v>
      </c>
      <c r="C47" s="47">
        <v>938165</v>
      </c>
      <c r="D47" s="40" t="s">
        <v>58</v>
      </c>
      <c r="E47" s="39"/>
      <c r="F47" s="83">
        <f>1215.08-1.98</f>
        <v>1213.1</v>
      </c>
      <c r="G47" s="92">
        <v>3615.56</v>
      </c>
      <c r="H47" s="83">
        <v>199290.51</v>
      </c>
      <c r="I47" s="39"/>
      <c r="J47" s="39"/>
      <c r="K47" s="45">
        <f>VLOOKUP(C47,'[10]PERIOD 7. OCT.'!$A$2:$I$128,9,0)</f>
        <v>198077.41</v>
      </c>
      <c r="L47" s="40" t="s">
        <v>322</v>
      </c>
      <c r="M47" s="40">
        <v>100741380</v>
      </c>
      <c r="N47" s="38"/>
      <c r="O47" s="38"/>
      <c r="P47" s="38"/>
      <c r="Q47" s="38"/>
      <c r="R47" s="103" t="s">
        <v>88</v>
      </c>
      <c r="S47" s="103">
        <v>2070</v>
      </c>
    </row>
    <row r="48" spans="1:19" ht="16.5" thickBot="1">
      <c r="A48" s="37">
        <v>3523</v>
      </c>
      <c r="B48" s="37">
        <v>11093</v>
      </c>
      <c r="C48" s="47">
        <v>938580</v>
      </c>
      <c r="D48" s="40" t="s">
        <v>177</v>
      </c>
      <c r="E48" s="39"/>
      <c r="F48" s="83">
        <v>3617.29</v>
      </c>
      <c r="G48" s="92">
        <v>-222939.99</v>
      </c>
      <c r="H48" s="83">
        <v>380373.02</v>
      </c>
      <c r="I48" s="39"/>
      <c r="J48" s="39"/>
      <c r="K48" s="45">
        <f>VLOOKUP(C48,'[10]PERIOD 7. OCT.'!$A$2:$I$128,9,0)</f>
        <v>376755.73</v>
      </c>
      <c r="L48" s="40" t="s">
        <v>326</v>
      </c>
      <c r="M48" s="40">
        <v>100746937</v>
      </c>
      <c r="N48" s="38"/>
      <c r="O48" s="38"/>
      <c r="P48" s="38"/>
      <c r="Q48" s="38"/>
      <c r="R48" s="103" t="s">
        <v>71</v>
      </c>
      <c r="S48" s="103">
        <v>2071</v>
      </c>
    </row>
    <row r="49" spans="1:19" ht="16.5" thickBot="1">
      <c r="A49" s="37">
        <v>5948</v>
      </c>
      <c r="B49" s="37">
        <v>10125</v>
      </c>
      <c r="C49" s="47">
        <v>938550</v>
      </c>
      <c r="D49" s="40" t="s">
        <v>59</v>
      </c>
      <c r="E49" s="39"/>
      <c r="F49" s="83">
        <v>1952.93</v>
      </c>
      <c r="G49" s="92">
        <v>91340.85</v>
      </c>
      <c r="H49" s="83">
        <v>61511.58</v>
      </c>
      <c r="I49" s="39"/>
      <c r="J49" s="39"/>
      <c r="K49" s="45">
        <f>VLOOKUP(C49,'[10]PERIOD 7. OCT.'!$A$2:$I$128,9,0)</f>
        <v>59558.649999999936</v>
      </c>
      <c r="L49" s="40" t="s">
        <v>328</v>
      </c>
      <c r="M49" s="40">
        <v>100747813</v>
      </c>
      <c r="N49" s="38"/>
      <c r="O49" s="38"/>
      <c r="P49" s="38"/>
      <c r="Q49" s="38"/>
      <c r="R49" s="103" t="s">
        <v>70</v>
      </c>
      <c r="S49" s="103">
        <v>2072</v>
      </c>
    </row>
    <row r="50" spans="1:19" ht="16.5" thickBot="1">
      <c r="A50" s="37">
        <v>5949</v>
      </c>
      <c r="B50" s="37">
        <v>10126</v>
      </c>
      <c r="C50" s="47">
        <v>938555</v>
      </c>
      <c r="D50" s="40" t="s">
        <v>61</v>
      </c>
      <c r="E50" s="39"/>
      <c r="F50" s="83">
        <v>1842.37</v>
      </c>
      <c r="G50" s="92">
        <v>5908.84</v>
      </c>
      <c r="H50" s="83">
        <v>3124.36</v>
      </c>
      <c r="I50" s="39"/>
      <c r="J50" s="39"/>
      <c r="K50" s="45">
        <f>VLOOKUP(C50,'[10]PERIOD 7. OCT.'!$A$2:$I$128,9,0)</f>
        <v>1281.99</v>
      </c>
      <c r="L50" s="40" t="s">
        <v>326</v>
      </c>
      <c r="M50" s="40">
        <v>100745591</v>
      </c>
      <c r="N50" s="38"/>
      <c r="O50" s="38"/>
      <c r="P50" s="38"/>
      <c r="Q50" s="38"/>
      <c r="R50" s="103" t="s">
        <v>36</v>
      </c>
      <c r="S50" s="103">
        <v>2073</v>
      </c>
    </row>
    <row r="51" spans="1:19" ht="16.5" thickBot="1">
      <c r="A51" s="37">
        <v>3513</v>
      </c>
      <c r="B51" s="37">
        <v>10114</v>
      </c>
      <c r="C51" s="47">
        <v>938410</v>
      </c>
      <c r="D51" s="40" t="s">
        <v>60</v>
      </c>
      <c r="E51" s="39"/>
      <c r="F51" s="83">
        <f>1675.2-0.84</f>
        <v>1674.3600000000001</v>
      </c>
      <c r="G51" s="92">
        <v>20293.48</v>
      </c>
      <c r="H51" s="83">
        <v>97842.11</v>
      </c>
      <c r="I51" s="39"/>
      <c r="J51" s="39"/>
      <c r="K51" s="45">
        <f>VLOOKUP(C51,'[10]PERIOD 7. OCT.'!$A$2:$I$128,9,0)</f>
        <v>96167.75000000015</v>
      </c>
      <c r="L51" s="40" t="s">
        <v>330</v>
      </c>
      <c r="M51" s="40">
        <v>100747825</v>
      </c>
      <c r="N51" s="38"/>
      <c r="O51" s="38"/>
      <c r="P51" s="38"/>
      <c r="Q51" s="38"/>
      <c r="R51" s="103" t="s">
        <v>184</v>
      </c>
      <c r="S51" s="103">
        <v>2074</v>
      </c>
    </row>
    <row r="52" spans="1:19" ht="16.5" thickBot="1">
      <c r="A52" s="37">
        <v>3305</v>
      </c>
      <c r="B52" s="37">
        <v>10078</v>
      </c>
      <c r="C52" s="47">
        <v>938295</v>
      </c>
      <c r="D52" s="40" t="s">
        <v>62</v>
      </c>
      <c r="E52" s="39"/>
      <c r="F52" s="83">
        <v>1933.07</v>
      </c>
      <c r="G52" s="92">
        <v>-5948.43</v>
      </c>
      <c r="H52" s="83">
        <v>62012.05</v>
      </c>
      <c r="I52" s="39"/>
      <c r="J52" s="39"/>
      <c r="K52" s="45">
        <f>VLOOKUP(C52,'[10]PERIOD 7. OCT.'!$A$2:$I$128,9,0)</f>
        <v>60078.98</v>
      </c>
      <c r="L52" s="40" t="s">
        <v>323</v>
      </c>
      <c r="M52" s="40">
        <v>100742161</v>
      </c>
      <c r="N52" s="38"/>
      <c r="O52" s="38"/>
      <c r="P52" s="38"/>
      <c r="Q52" s="38"/>
      <c r="R52" s="103" t="s">
        <v>93</v>
      </c>
      <c r="S52" s="103">
        <v>2076</v>
      </c>
    </row>
    <row r="53" spans="1:19" ht="16.5" thickBot="1">
      <c r="A53" s="37">
        <v>2042</v>
      </c>
      <c r="B53" s="37">
        <v>10079</v>
      </c>
      <c r="C53" s="47">
        <v>938180</v>
      </c>
      <c r="D53" s="40" t="s">
        <v>63</v>
      </c>
      <c r="E53" s="110"/>
      <c r="F53" s="83">
        <v>4466</v>
      </c>
      <c r="G53" s="92">
        <v>-563.58</v>
      </c>
      <c r="H53" s="83">
        <v>164879.39</v>
      </c>
      <c r="I53" s="39"/>
      <c r="J53" s="38"/>
      <c r="K53" s="45">
        <f>VLOOKUP(C53,'[10]PERIOD 7. OCT.'!$A$2:$I$128,9,0)</f>
        <v>160413.39</v>
      </c>
      <c r="L53" s="40" t="s">
        <v>326</v>
      </c>
      <c r="M53" s="40">
        <v>100746920</v>
      </c>
      <c r="N53" s="38"/>
      <c r="O53" s="38"/>
      <c r="P53" s="38"/>
      <c r="Q53" s="38"/>
      <c r="R53" s="103" t="s">
        <v>186</v>
      </c>
      <c r="S53" s="103">
        <v>2077</v>
      </c>
    </row>
    <row r="54" spans="1:19" ht="16.5" thickBot="1">
      <c r="A54" s="37">
        <v>2044</v>
      </c>
      <c r="B54" s="37">
        <v>10081</v>
      </c>
      <c r="C54" s="47">
        <v>938190</v>
      </c>
      <c r="D54" s="40" t="s">
        <v>65</v>
      </c>
      <c r="E54" s="39"/>
      <c r="F54" s="83">
        <v>450.25</v>
      </c>
      <c r="G54" s="92">
        <v>2168.61</v>
      </c>
      <c r="H54" s="83">
        <v>118236.87</v>
      </c>
      <c r="I54" s="39"/>
      <c r="J54" s="39"/>
      <c r="K54" s="45">
        <f>VLOOKUP(C54,'[10]PERIOD 7. OCT.'!$A$2:$I$128,9,0)</f>
        <v>117786.62</v>
      </c>
      <c r="L54" s="40" t="s">
        <v>327</v>
      </c>
      <c r="M54" s="40">
        <v>100747425</v>
      </c>
      <c r="N54" s="38"/>
      <c r="O54" s="38"/>
      <c r="P54" s="38"/>
      <c r="Q54" s="38"/>
      <c r="R54" s="106" t="s">
        <v>187</v>
      </c>
      <c r="S54" s="103">
        <v>2078</v>
      </c>
    </row>
    <row r="55" spans="1:19" ht="16.5" thickBot="1">
      <c r="A55" s="37">
        <v>2043</v>
      </c>
      <c r="B55" s="37">
        <v>10080</v>
      </c>
      <c r="C55" s="47">
        <v>938185</v>
      </c>
      <c r="D55" s="40" t="s">
        <v>64</v>
      </c>
      <c r="E55" s="39"/>
      <c r="F55" s="83">
        <v>3715.14</v>
      </c>
      <c r="G55" s="92">
        <v>4740.91</v>
      </c>
      <c r="H55" s="83">
        <v>191878.86</v>
      </c>
      <c r="I55" s="39"/>
      <c r="J55" s="39"/>
      <c r="K55" s="45">
        <f>VLOOKUP(C55,'[10]PERIOD 7. OCT.'!$A$2:$I$128,9,0)</f>
        <v>188163.72</v>
      </c>
      <c r="L55" s="40" t="s">
        <v>326</v>
      </c>
      <c r="M55" s="40">
        <v>100745615</v>
      </c>
      <c r="N55" s="38"/>
      <c r="O55" s="38"/>
      <c r="P55" s="38"/>
      <c r="Q55" s="38"/>
      <c r="R55" s="103" t="s">
        <v>124</v>
      </c>
      <c r="S55" s="106">
        <v>2079</v>
      </c>
    </row>
    <row r="56" spans="1:19" ht="16.5" thickBot="1">
      <c r="A56" s="37">
        <v>2045</v>
      </c>
      <c r="B56" s="37">
        <v>10082</v>
      </c>
      <c r="C56" s="47">
        <v>938195</v>
      </c>
      <c r="D56" s="40" t="s">
        <v>66</v>
      </c>
      <c r="E56" s="39"/>
      <c r="F56" s="149">
        <v>-608.25</v>
      </c>
      <c r="G56" s="149">
        <v>-4276.41</v>
      </c>
      <c r="H56" s="148">
        <v>225920.4</v>
      </c>
      <c r="I56" s="39"/>
      <c r="J56" s="39"/>
      <c r="K56" s="45">
        <f>VLOOKUP(C56,'[10]PERIOD 7. OCT.'!$A$2:$I$128,9,0)</f>
        <v>226528.65</v>
      </c>
      <c r="L56" s="40" t="s">
        <v>327</v>
      </c>
      <c r="M56" s="40">
        <v>100747462</v>
      </c>
      <c r="N56" s="38"/>
      <c r="O56" s="38"/>
      <c r="P56" s="38"/>
      <c r="Q56" s="38"/>
      <c r="R56" s="106" t="s">
        <v>17</v>
      </c>
      <c r="S56" s="103">
        <v>3300</v>
      </c>
    </row>
    <row r="57" spans="1:19" ht="16.5" thickBot="1">
      <c r="A57" s="37">
        <v>2077</v>
      </c>
      <c r="B57" s="37">
        <v>10127</v>
      </c>
      <c r="C57" s="47">
        <v>938270</v>
      </c>
      <c r="D57" s="40" t="s">
        <v>49</v>
      </c>
      <c r="E57" s="39"/>
      <c r="F57" s="83">
        <f>3040.75-16.22</f>
        <v>3024.53</v>
      </c>
      <c r="G57" s="92">
        <v>35044.91</v>
      </c>
      <c r="H57" s="83">
        <v>164985.63</v>
      </c>
      <c r="I57" s="39"/>
      <c r="J57" s="39"/>
      <c r="K57" s="45">
        <f>VLOOKUP(C57,'[10]PERIOD 7. OCT.'!$A$2:$I$128,9,0)</f>
        <v>161961.1</v>
      </c>
      <c r="L57" s="40" t="s">
        <v>322</v>
      </c>
      <c r="M57" s="40">
        <v>100741855</v>
      </c>
      <c r="N57" s="38"/>
      <c r="O57" s="38"/>
      <c r="P57" s="38"/>
      <c r="Q57" s="38"/>
      <c r="R57" s="103" t="s">
        <v>30</v>
      </c>
      <c r="S57" s="103">
        <v>3302</v>
      </c>
    </row>
    <row r="58" spans="1:19" ht="16.5" thickBot="1">
      <c r="A58" s="37">
        <v>5201</v>
      </c>
      <c r="B58" s="37">
        <v>10084</v>
      </c>
      <c r="C58" s="47">
        <v>938495</v>
      </c>
      <c r="D58" s="40" t="s">
        <v>68</v>
      </c>
      <c r="E58" s="39"/>
      <c r="F58" s="83">
        <f>8859.01-50.86</f>
        <v>8808.15</v>
      </c>
      <c r="G58" s="92">
        <v>-61526.41</v>
      </c>
      <c r="H58" s="83">
        <v>261529.3</v>
      </c>
      <c r="I58" s="39"/>
      <c r="J58" s="40"/>
      <c r="K58" s="45">
        <f>VLOOKUP(C58,'[10]PERIOD 7. OCT.'!$A$2:$I$128,9,0)</f>
        <v>252721.15</v>
      </c>
      <c r="L58" s="40" t="s">
        <v>328</v>
      </c>
      <c r="M58" s="40">
        <v>100747808</v>
      </c>
      <c r="N58" s="38"/>
      <c r="O58" s="38"/>
      <c r="P58" s="38"/>
      <c r="Q58" s="38"/>
      <c r="R58" s="103" t="s">
        <v>54</v>
      </c>
      <c r="S58" s="103">
        <v>3304</v>
      </c>
    </row>
    <row r="59" spans="1:19" ht="16.5" thickBot="1">
      <c r="A59" s="37">
        <v>3501</v>
      </c>
      <c r="B59" s="37">
        <v>10085</v>
      </c>
      <c r="C59" s="47">
        <v>938360</v>
      </c>
      <c r="D59" s="40" t="s">
        <v>67</v>
      </c>
      <c r="E59" s="39"/>
      <c r="F59" s="83">
        <f>1744.31-12.52</f>
        <v>1731.79</v>
      </c>
      <c r="G59" s="92">
        <v>-11762.54</v>
      </c>
      <c r="H59" s="83">
        <v>129826.35</v>
      </c>
      <c r="I59" s="39"/>
      <c r="J59" s="39"/>
      <c r="K59" s="45">
        <f>VLOOKUP(C59,'[10]PERIOD 7. OCT.'!$A$2:$I$128,9,0)</f>
        <v>128094.56</v>
      </c>
      <c r="L59" s="40" t="s">
        <v>321</v>
      </c>
      <c r="M59" s="40">
        <v>100741359</v>
      </c>
      <c r="N59" s="38"/>
      <c r="O59" s="38"/>
      <c r="P59" s="38"/>
      <c r="Q59" s="38"/>
      <c r="R59" s="103" t="s">
        <v>62</v>
      </c>
      <c r="S59" s="103">
        <v>3305</v>
      </c>
    </row>
    <row r="60" spans="1:19" ht="16.5" thickBot="1">
      <c r="A60" s="37">
        <v>2078</v>
      </c>
      <c r="B60" s="37">
        <v>10129</v>
      </c>
      <c r="C60" s="47">
        <v>938275</v>
      </c>
      <c r="D60" s="40" t="s">
        <v>123</v>
      </c>
      <c r="E60" s="39"/>
      <c r="F60" s="83">
        <v>4151.81</v>
      </c>
      <c r="G60" s="92">
        <v>5967.13</v>
      </c>
      <c r="H60" s="83">
        <v>689.52</v>
      </c>
      <c r="I60" s="39"/>
      <c r="J60" s="39"/>
      <c r="K60" s="45">
        <f>VLOOKUP(C60,'[10]PERIOD 7. OCT.'!$A$2:$I$128,9,0)</f>
        <v>-3461.49</v>
      </c>
      <c r="L60" s="40" t="s">
        <v>328</v>
      </c>
      <c r="M60" s="40">
        <v>100747472</v>
      </c>
      <c r="N60" s="38"/>
      <c r="O60" s="38"/>
      <c r="P60" s="38"/>
      <c r="Q60" s="38"/>
      <c r="R60" s="103" t="s">
        <v>77</v>
      </c>
      <c r="S60" s="103">
        <v>3307</v>
      </c>
    </row>
    <row r="61" spans="1:19" ht="16.5" thickBot="1">
      <c r="A61" s="37">
        <v>2000</v>
      </c>
      <c r="B61" s="37">
        <v>10120</v>
      </c>
      <c r="C61" s="47">
        <v>938020</v>
      </c>
      <c r="D61" s="40" t="s">
        <v>69</v>
      </c>
      <c r="E61" s="39"/>
      <c r="F61" s="83">
        <f>10337.47-77.85</f>
        <v>10259.619999999999</v>
      </c>
      <c r="G61" s="92">
        <v>63047.79</v>
      </c>
      <c r="H61" s="83">
        <v>32291.46</v>
      </c>
      <c r="I61" s="39"/>
      <c r="J61" s="39"/>
      <c r="K61" s="45">
        <f>VLOOKUP(C61,'[10]PERIOD 7. OCT.'!$A$2:$I$128,9,0)</f>
        <v>22031.840000000062</v>
      </c>
      <c r="L61" s="40" t="s">
        <v>327</v>
      </c>
      <c r="M61" s="40">
        <v>100747003</v>
      </c>
      <c r="N61" s="38"/>
      <c r="O61" s="38"/>
      <c r="P61" s="38"/>
      <c r="Q61" s="38"/>
      <c r="R61" s="108" t="s">
        <v>78</v>
      </c>
      <c r="S61" s="108">
        <v>3309</v>
      </c>
    </row>
    <row r="62" spans="1:19" ht="16.5" thickBot="1">
      <c r="A62" s="37">
        <v>2071</v>
      </c>
      <c r="B62" s="37">
        <v>10119</v>
      </c>
      <c r="C62" s="47">
        <v>938245</v>
      </c>
      <c r="D62" s="40" t="s">
        <v>71</v>
      </c>
      <c r="E62" s="39"/>
      <c r="F62" s="83">
        <f>2352.37-12.23</f>
        <v>2340.14</v>
      </c>
      <c r="G62" s="92">
        <v>15384.12</v>
      </c>
      <c r="H62" s="83">
        <v>83837.9</v>
      </c>
      <c r="I62" s="39"/>
      <c r="J62" s="39"/>
      <c r="K62" s="45">
        <f>VLOOKUP(C62,'[10]PERIOD 7. OCT.'!$A$2:$I$128,9,0)</f>
        <v>81497.76</v>
      </c>
      <c r="L62" s="40" t="s">
        <v>327</v>
      </c>
      <c r="M62" s="40">
        <v>100746947</v>
      </c>
      <c r="N62" s="38"/>
      <c r="O62" s="38"/>
      <c r="P62" s="38"/>
      <c r="Q62" s="38"/>
      <c r="R62" s="103" t="s">
        <v>81</v>
      </c>
      <c r="S62" s="103">
        <v>3311</v>
      </c>
    </row>
    <row r="63" spans="1:19" ht="16.5" thickBot="1">
      <c r="A63" s="37">
        <v>2072</v>
      </c>
      <c r="B63" s="37">
        <v>10086</v>
      </c>
      <c r="C63" s="47">
        <v>938250</v>
      </c>
      <c r="D63" s="40" t="s">
        <v>70</v>
      </c>
      <c r="E63" s="39"/>
      <c r="F63" s="83">
        <v>1513.46</v>
      </c>
      <c r="G63" s="92">
        <v>13314.89</v>
      </c>
      <c r="H63" s="83">
        <v>262002.55</v>
      </c>
      <c r="I63" s="39"/>
      <c r="J63" s="39"/>
      <c r="K63" s="45">
        <f>VLOOKUP(C63,'[10]PERIOD 7. OCT.'!$A$2:$I$128,9,0)</f>
        <v>260489.09</v>
      </c>
      <c r="L63" s="40" t="s">
        <v>325</v>
      </c>
      <c r="M63" s="40">
        <v>100744554</v>
      </c>
      <c r="N63" s="38"/>
      <c r="O63" s="38"/>
      <c r="P63" s="38"/>
      <c r="Q63" s="38"/>
      <c r="R63" s="103" t="s">
        <v>82</v>
      </c>
      <c r="S63" s="103">
        <v>3312</v>
      </c>
    </row>
    <row r="64" spans="1:19" ht="16.5" thickBot="1">
      <c r="A64" s="37">
        <v>3512</v>
      </c>
      <c r="B64" s="37">
        <v>10112</v>
      </c>
      <c r="C64" s="47">
        <v>938405</v>
      </c>
      <c r="D64" s="40" t="s">
        <v>72</v>
      </c>
      <c r="E64" s="39"/>
      <c r="F64" s="83">
        <v>1273.17</v>
      </c>
      <c r="G64" s="92">
        <v>7763.55</v>
      </c>
      <c r="H64" s="83">
        <v>199502.22</v>
      </c>
      <c r="I64" s="39"/>
      <c r="J64" s="39"/>
      <c r="K64" s="45">
        <f>VLOOKUP(C64,'[10]PERIOD 7. OCT.'!$A$2:$I$128,9,0)</f>
        <v>198229.05</v>
      </c>
      <c r="L64" s="40" t="s">
        <v>320</v>
      </c>
      <c r="M64" s="40">
        <v>100740628</v>
      </c>
      <c r="N64" s="38"/>
      <c r="O64" s="38"/>
      <c r="P64" s="38"/>
      <c r="Q64" s="38"/>
      <c r="R64" s="103" t="s">
        <v>189</v>
      </c>
      <c r="S64" s="103">
        <v>3313</v>
      </c>
    </row>
    <row r="65" spans="1:19" ht="16.5" thickBot="1">
      <c r="A65" s="37">
        <v>3510</v>
      </c>
      <c r="B65" s="37">
        <v>10110</v>
      </c>
      <c r="C65" s="47">
        <v>938395</v>
      </c>
      <c r="D65" s="40" t="s">
        <v>73</v>
      </c>
      <c r="E65" s="39"/>
      <c r="F65" s="83">
        <f>833.68-3.27</f>
        <v>830.41</v>
      </c>
      <c r="G65" s="92">
        <v>-21692.57</v>
      </c>
      <c r="H65" s="83">
        <v>215477.47</v>
      </c>
      <c r="I65" s="39"/>
      <c r="J65" s="39"/>
      <c r="K65" s="45">
        <f>VLOOKUP(C65,'[10]PERIOD 7. OCT.'!$A$2:$I$128,9,0)</f>
        <v>214647.06</v>
      </c>
      <c r="L65" s="40" t="s">
        <v>320</v>
      </c>
      <c r="M65" s="40">
        <v>100740656</v>
      </c>
      <c r="N65" s="38"/>
      <c r="O65" s="38"/>
      <c r="P65" s="38"/>
      <c r="Q65" s="38"/>
      <c r="R65" s="103" t="s">
        <v>190</v>
      </c>
      <c r="S65" s="103">
        <v>3314</v>
      </c>
    </row>
    <row r="66" spans="1:19" ht="16.5" thickBot="1">
      <c r="A66" s="37">
        <v>3502</v>
      </c>
      <c r="B66" s="37">
        <v>10087</v>
      </c>
      <c r="C66" s="47">
        <v>938365</v>
      </c>
      <c r="D66" s="40" t="s">
        <v>74</v>
      </c>
      <c r="E66" s="39"/>
      <c r="F66" s="83">
        <v>1191.29</v>
      </c>
      <c r="G66" s="92">
        <v>-39640.47</v>
      </c>
      <c r="H66" s="83">
        <v>222891.65</v>
      </c>
      <c r="I66" s="119"/>
      <c r="J66" s="119"/>
      <c r="K66" s="45">
        <f>VLOOKUP(C66,'[10]PERIOD 7. OCT.'!$A$2:$I$128,9,0)</f>
        <v>221700.36</v>
      </c>
      <c r="L66" s="40" t="s">
        <v>330</v>
      </c>
      <c r="M66" s="40">
        <v>100747814</v>
      </c>
      <c r="N66" s="38"/>
      <c r="O66" s="38"/>
      <c r="P66" s="38"/>
      <c r="Q66" s="38"/>
      <c r="R66" s="103" t="s">
        <v>75</v>
      </c>
      <c r="S66" s="103">
        <v>3315</v>
      </c>
    </row>
    <row r="67" spans="1:19" ht="16.5" thickBot="1">
      <c r="A67" s="37">
        <v>3315</v>
      </c>
      <c r="B67" s="37">
        <v>10099</v>
      </c>
      <c r="C67" s="47">
        <v>938340</v>
      </c>
      <c r="D67" s="40" t="s">
        <v>75</v>
      </c>
      <c r="E67" s="39"/>
      <c r="F67" s="83">
        <v>1169.03</v>
      </c>
      <c r="G67" s="92">
        <v>10901.37</v>
      </c>
      <c r="H67" s="83">
        <v>40125.45</v>
      </c>
      <c r="I67" s="39"/>
      <c r="J67" s="39"/>
      <c r="K67" s="45">
        <f>VLOOKUP(C67,'[10]PERIOD 7. OCT.'!$A$2:$I$128,9,0)</f>
        <v>38956.42</v>
      </c>
      <c r="L67" s="40" t="s">
        <v>321</v>
      </c>
      <c r="M67" s="40">
        <v>100741356</v>
      </c>
      <c r="N67" s="38"/>
      <c r="O67" s="38"/>
      <c r="P67" s="38"/>
      <c r="Q67" s="38"/>
      <c r="R67" s="103" t="s">
        <v>89</v>
      </c>
      <c r="S67" s="103">
        <v>3316</v>
      </c>
    </row>
    <row r="68" spans="1:19" ht="16.5" thickBot="1">
      <c r="A68" s="37">
        <v>3504</v>
      </c>
      <c r="B68" s="37">
        <v>10088</v>
      </c>
      <c r="C68" s="47">
        <v>938370</v>
      </c>
      <c r="D68" s="40" t="s">
        <v>76</v>
      </c>
      <c r="E68" s="39"/>
      <c r="F68" s="83">
        <v>3025.85</v>
      </c>
      <c r="G68" s="92">
        <v>-15658.5</v>
      </c>
      <c r="H68" s="83">
        <v>176007.9</v>
      </c>
      <c r="I68" s="39"/>
      <c r="J68" s="39"/>
      <c r="K68" s="45">
        <f>VLOOKUP(C68,'[10]PERIOD 7. OCT.'!$A$2:$I$128,9,0)</f>
        <v>172982.05</v>
      </c>
      <c r="L68" s="40" t="s">
        <v>327</v>
      </c>
      <c r="M68" s="40">
        <v>100747427</v>
      </c>
      <c r="N68" s="38"/>
      <c r="O68" s="60"/>
      <c r="P68" s="38"/>
      <c r="Q68" s="38"/>
      <c r="R68" s="106" t="s">
        <v>18</v>
      </c>
      <c r="S68" s="103">
        <v>3317</v>
      </c>
    </row>
    <row r="69" spans="1:19" ht="16.5" thickBot="1">
      <c r="A69" s="37">
        <v>3307</v>
      </c>
      <c r="B69" s="37">
        <v>10089</v>
      </c>
      <c r="C69" s="47">
        <v>938300</v>
      </c>
      <c r="D69" s="40" t="s">
        <v>77</v>
      </c>
      <c r="E69" s="39"/>
      <c r="F69" s="83">
        <f>917.14-6.09</f>
        <v>911.05</v>
      </c>
      <c r="G69" s="92">
        <v>3360.85</v>
      </c>
      <c r="H69" s="83">
        <v>143798.6</v>
      </c>
      <c r="I69" s="39"/>
      <c r="J69" s="39"/>
      <c r="K69" s="45">
        <f>VLOOKUP(C69,'[10]PERIOD 7. OCT.'!$A$2:$I$128,9,0)</f>
        <v>142887.55</v>
      </c>
      <c r="L69" s="40" t="s">
        <v>320</v>
      </c>
      <c r="M69" s="40">
        <v>100740662</v>
      </c>
      <c r="N69" s="38"/>
      <c r="O69" s="38"/>
      <c r="P69" s="38"/>
      <c r="Q69" s="38"/>
      <c r="R69" s="106" t="s">
        <v>20</v>
      </c>
      <c r="S69" s="103">
        <v>3500</v>
      </c>
    </row>
    <row r="70" spans="1:19" ht="16.5" thickBot="1">
      <c r="A70" s="37">
        <v>3309</v>
      </c>
      <c r="B70" s="37">
        <v>10116</v>
      </c>
      <c r="C70" s="47">
        <v>938310</v>
      </c>
      <c r="D70" s="40" t="s">
        <v>78</v>
      </c>
      <c r="E70" s="39"/>
      <c r="F70" s="83">
        <v>894.42</v>
      </c>
      <c r="G70" s="92">
        <v>-16006.09</v>
      </c>
      <c r="H70" s="83">
        <v>172689.92</v>
      </c>
      <c r="I70" s="39"/>
      <c r="J70" s="39"/>
      <c r="K70" s="45">
        <f>VLOOKUP(C70,'[10]PERIOD 7. OCT.'!$A$2:$I$128,9,0)</f>
        <v>171795.5</v>
      </c>
      <c r="L70" s="40" t="s">
        <v>321</v>
      </c>
      <c r="M70" s="40">
        <v>100741349</v>
      </c>
      <c r="N70" s="38"/>
      <c r="O70" s="38"/>
      <c r="P70" s="38"/>
      <c r="Q70" s="38"/>
      <c r="R70" s="103" t="s">
        <v>67</v>
      </c>
      <c r="S70" s="103">
        <v>3501</v>
      </c>
    </row>
    <row r="71" spans="1:19" ht="16.5" thickBot="1">
      <c r="A71" s="37">
        <v>3508</v>
      </c>
      <c r="B71" s="37">
        <v>10111</v>
      </c>
      <c r="C71" s="47">
        <v>938385</v>
      </c>
      <c r="D71" s="40" t="s">
        <v>80</v>
      </c>
      <c r="E71" s="39"/>
      <c r="F71" s="83">
        <f>1136.56-4.62</f>
        <v>1131.94</v>
      </c>
      <c r="G71" s="92">
        <v>8696.28</v>
      </c>
      <c r="H71" s="83">
        <v>49774.65</v>
      </c>
      <c r="I71" s="39"/>
      <c r="J71" s="39"/>
      <c r="K71" s="45">
        <f>VLOOKUP(C71,'[10]PERIOD 7. OCT.'!$A$2:$I$128,9,0)</f>
        <v>48642.71</v>
      </c>
      <c r="L71" s="40" t="s">
        <v>325</v>
      </c>
      <c r="M71" s="40">
        <v>100744553</v>
      </c>
      <c r="N71" s="38"/>
      <c r="O71" s="38"/>
      <c r="P71" s="38"/>
      <c r="Q71" s="38"/>
      <c r="R71" s="103" t="s">
        <v>74</v>
      </c>
      <c r="S71" s="103">
        <v>3502</v>
      </c>
    </row>
    <row r="72" spans="1:19" ht="16.5" thickBot="1">
      <c r="A72" s="37">
        <v>3509</v>
      </c>
      <c r="B72" s="37">
        <v>10107</v>
      </c>
      <c r="C72" s="47">
        <v>938390</v>
      </c>
      <c r="D72" s="40" t="s">
        <v>79</v>
      </c>
      <c r="E72" s="39"/>
      <c r="F72" s="83">
        <f>1232.49-4.8</f>
        <v>1227.69</v>
      </c>
      <c r="G72" s="92">
        <v>10186.27</v>
      </c>
      <c r="H72" s="83">
        <v>107276.99</v>
      </c>
      <c r="I72" s="39"/>
      <c r="J72" s="40"/>
      <c r="K72" s="45">
        <f>VLOOKUP(C72,'[10]PERIOD 7. OCT.'!$A$2:$I$128,9,0)</f>
        <v>106049.3</v>
      </c>
      <c r="L72" s="40" t="s">
        <v>319</v>
      </c>
      <c r="M72" s="40">
        <v>100739984</v>
      </c>
      <c r="N72" s="38"/>
      <c r="O72" s="38"/>
      <c r="P72" s="38"/>
      <c r="Q72" s="38"/>
      <c r="R72" s="103" t="s">
        <v>76</v>
      </c>
      <c r="S72" s="103">
        <v>3504</v>
      </c>
    </row>
    <row r="73" spans="1:19" ht="16.5" thickBot="1">
      <c r="A73" s="37">
        <v>3312</v>
      </c>
      <c r="B73" s="37">
        <v>10093</v>
      </c>
      <c r="C73" s="47">
        <v>938325</v>
      </c>
      <c r="D73" s="40" t="s">
        <v>82</v>
      </c>
      <c r="E73" s="39"/>
      <c r="F73" s="83">
        <v>654.38</v>
      </c>
      <c r="G73" s="92">
        <v>-17081.62</v>
      </c>
      <c r="H73" s="83">
        <v>123234.93</v>
      </c>
      <c r="I73" s="39"/>
      <c r="J73" s="39"/>
      <c r="K73" s="45">
        <f>VLOOKUP(C73,'[10]PERIOD 7. OCT.'!$A$2:$I$128,9,0)</f>
        <v>122580.55</v>
      </c>
      <c r="L73" s="40" t="s">
        <v>318</v>
      </c>
      <c r="M73" s="40">
        <v>100739614</v>
      </c>
      <c r="N73" s="38"/>
      <c r="O73" s="38"/>
      <c r="P73" s="38"/>
      <c r="Q73" s="38"/>
      <c r="R73" s="103" t="s">
        <v>86</v>
      </c>
      <c r="S73" s="103">
        <v>3506</v>
      </c>
    </row>
    <row r="74" spans="1:19" ht="16.5" thickBot="1">
      <c r="A74" s="37">
        <v>3311</v>
      </c>
      <c r="B74" s="37">
        <v>10092</v>
      </c>
      <c r="C74" s="47">
        <v>938320</v>
      </c>
      <c r="D74" s="40" t="s">
        <v>81</v>
      </c>
      <c r="E74" s="39"/>
      <c r="F74" s="83">
        <v>1806.35</v>
      </c>
      <c r="G74" s="92">
        <v>-17821.92</v>
      </c>
      <c r="H74" s="83">
        <v>201334.33</v>
      </c>
      <c r="I74" s="39"/>
      <c r="J74" s="39"/>
      <c r="K74" s="45">
        <f>VLOOKUP(C74,'[10]PERIOD 7. OCT.'!$A$2:$I$128,9,0)</f>
        <v>199527.98</v>
      </c>
      <c r="L74" s="40" t="s">
        <v>325</v>
      </c>
      <c r="M74" s="40">
        <v>100745570</v>
      </c>
      <c r="N74" s="38"/>
      <c r="O74" s="38"/>
      <c r="P74" s="38"/>
      <c r="Q74" s="38"/>
      <c r="R74" s="103" t="s">
        <v>85</v>
      </c>
      <c r="S74" s="103">
        <v>3507</v>
      </c>
    </row>
    <row r="75" spans="1:19" ht="16.5" thickBot="1">
      <c r="A75" s="37">
        <v>3521</v>
      </c>
      <c r="B75" s="37">
        <v>10698</v>
      </c>
      <c r="C75" s="47">
        <v>938437</v>
      </c>
      <c r="D75" s="40" t="s">
        <v>136</v>
      </c>
      <c r="E75" s="39"/>
      <c r="F75" s="83">
        <v>1206.03</v>
      </c>
      <c r="G75" s="92">
        <v>-43223.45</v>
      </c>
      <c r="H75" s="83">
        <v>199218.87</v>
      </c>
      <c r="I75" s="39"/>
      <c r="J75" s="39"/>
      <c r="K75" s="45">
        <f>VLOOKUP(C75,'[10]PERIOD 7. OCT.'!$A$2:$I$128,9,0)</f>
        <v>198012.84</v>
      </c>
      <c r="L75" s="40" t="s">
        <v>319</v>
      </c>
      <c r="M75" s="40">
        <v>100740603</v>
      </c>
      <c r="N75" s="38"/>
      <c r="O75" s="38"/>
      <c r="P75" s="38"/>
      <c r="Q75" s="38"/>
      <c r="R75" s="103" t="s">
        <v>80</v>
      </c>
      <c r="S75" s="103">
        <v>3508</v>
      </c>
    </row>
    <row r="76" spans="1:19" ht="16.5" thickBot="1">
      <c r="A76" s="37">
        <v>3313</v>
      </c>
      <c r="B76" s="37">
        <v>10094</v>
      </c>
      <c r="C76" s="47">
        <v>938330</v>
      </c>
      <c r="D76" s="40" t="s">
        <v>83</v>
      </c>
      <c r="E76" s="39"/>
      <c r="F76" s="83">
        <f>767.31-28.2</f>
        <v>739.1099999999999</v>
      </c>
      <c r="G76" s="92">
        <v>-15501.18</v>
      </c>
      <c r="H76" s="83">
        <v>139494.57</v>
      </c>
      <c r="I76" s="39"/>
      <c r="J76" s="39"/>
      <c r="K76" s="45">
        <f>VLOOKUP(C76,'[10]PERIOD 7. OCT.'!$A$2:$I$128,9,0)</f>
        <v>138755.46</v>
      </c>
      <c r="L76" s="40" t="s">
        <v>322</v>
      </c>
      <c r="M76" s="40">
        <v>100741833</v>
      </c>
      <c r="N76" s="38"/>
      <c r="O76" s="38"/>
      <c r="P76" s="38"/>
      <c r="Q76" s="38"/>
      <c r="R76" s="103" t="s">
        <v>79</v>
      </c>
      <c r="S76" s="103">
        <v>3509</v>
      </c>
    </row>
    <row r="77" spans="1:19" ht="16.5" thickBot="1">
      <c r="A77" s="37">
        <v>3314</v>
      </c>
      <c r="B77" s="37">
        <v>10095</v>
      </c>
      <c r="C77" s="47">
        <v>938335</v>
      </c>
      <c r="D77" s="40" t="s">
        <v>84</v>
      </c>
      <c r="E77" s="39"/>
      <c r="F77" s="83">
        <v>771.66</v>
      </c>
      <c r="G77" s="92">
        <v>5530.36</v>
      </c>
      <c r="H77" s="83">
        <v>151543.24</v>
      </c>
      <c r="I77" s="39"/>
      <c r="J77" s="39"/>
      <c r="K77" s="45">
        <f>VLOOKUP(C77,'[10]PERIOD 7. OCT.'!$A$2:$I$128,9,0)</f>
        <v>150771.58</v>
      </c>
      <c r="L77" s="40" t="s">
        <v>316</v>
      </c>
      <c r="M77" s="40">
        <v>100739120</v>
      </c>
      <c r="N77" s="38"/>
      <c r="O77" s="38"/>
      <c r="P77" s="38"/>
      <c r="Q77" s="38"/>
      <c r="R77" s="103" t="s">
        <v>73</v>
      </c>
      <c r="S77" s="103">
        <v>3510</v>
      </c>
    </row>
    <row r="78" spans="1:19" ht="16.5" thickBot="1">
      <c r="A78" s="37">
        <v>3507</v>
      </c>
      <c r="B78" s="37">
        <v>10108</v>
      </c>
      <c r="C78" s="47">
        <v>938380</v>
      </c>
      <c r="D78" s="40" t="s">
        <v>85</v>
      </c>
      <c r="E78" s="39"/>
      <c r="F78" s="83">
        <v>1447.02</v>
      </c>
      <c r="G78" s="92">
        <v>7476.68</v>
      </c>
      <c r="H78" s="83">
        <v>96033.29</v>
      </c>
      <c r="I78" s="39"/>
      <c r="J78" s="39"/>
      <c r="K78" s="45">
        <f>VLOOKUP(C78,'[10]PERIOD 7. OCT.'!$A$2:$I$128,9,0)</f>
        <v>94586.2700000001</v>
      </c>
      <c r="L78" s="40" t="s">
        <v>323</v>
      </c>
      <c r="M78" s="40">
        <v>100741905</v>
      </c>
      <c r="N78" s="38"/>
      <c r="O78" s="38"/>
      <c r="P78" s="38"/>
      <c r="Q78" s="38"/>
      <c r="R78" s="106" t="s">
        <v>24</v>
      </c>
      <c r="S78" s="106">
        <v>3511</v>
      </c>
    </row>
    <row r="79" spans="1:19" ht="16.5" thickBot="1">
      <c r="A79" s="37">
        <v>3506</v>
      </c>
      <c r="B79" s="37">
        <v>10096</v>
      </c>
      <c r="C79" s="47">
        <v>938375</v>
      </c>
      <c r="D79" s="40" t="s">
        <v>86</v>
      </c>
      <c r="E79" s="39"/>
      <c r="F79" s="83">
        <f>1984.24-13.8</f>
        <v>1970.44</v>
      </c>
      <c r="G79" s="92">
        <v>-12599.19</v>
      </c>
      <c r="H79" s="83">
        <v>152185.67</v>
      </c>
      <c r="I79" s="39"/>
      <c r="J79" s="39"/>
      <c r="K79" s="45">
        <f>VLOOKUP(C79,'[10]PERIOD 7. OCT.'!$A$2:$I$128,9,0)</f>
        <v>150215.23</v>
      </c>
      <c r="L79" s="40" t="s">
        <v>321</v>
      </c>
      <c r="M79" s="40">
        <v>100740970</v>
      </c>
      <c r="N79" s="38"/>
      <c r="O79" s="38"/>
      <c r="P79" s="38"/>
      <c r="Q79" s="38"/>
      <c r="R79" s="103" t="s">
        <v>72</v>
      </c>
      <c r="S79" s="103">
        <v>3512</v>
      </c>
    </row>
    <row r="80" spans="1:19" ht="16.5" thickBot="1">
      <c r="A80" s="37">
        <v>2052</v>
      </c>
      <c r="B80" s="37">
        <v>10098</v>
      </c>
      <c r="C80" s="47">
        <v>938200</v>
      </c>
      <c r="D80" s="40" t="s">
        <v>87</v>
      </c>
      <c r="E80" s="39"/>
      <c r="F80" s="83">
        <f>3444.57-29.19</f>
        <v>3415.38</v>
      </c>
      <c r="G80" s="92">
        <v>18519.68</v>
      </c>
      <c r="H80" s="83">
        <v>316687.93</v>
      </c>
      <c r="I80" s="39"/>
      <c r="J80" s="39"/>
      <c r="K80" s="45">
        <f>VLOOKUP(C80,'[10]PERIOD 7. OCT.'!$A$2:$I$128,9,0)</f>
        <v>313272.55</v>
      </c>
      <c r="L80" s="40" t="s">
        <v>326</v>
      </c>
      <c r="M80" s="40">
        <v>100746931</v>
      </c>
      <c r="N80" s="38"/>
      <c r="O80" s="38"/>
      <c r="P80" s="38"/>
      <c r="Q80" s="38"/>
      <c r="R80" s="103" t="s">
        <v>60</v>
      </c>
      <c r="S80" s="103">
        <v>3513</v>
      </c>
    </row>
    <row r="81" spans="1:19" ht="16.5" thickBot="1">
      <c r="A81" s="37">
        <v>2070</v>
      </c>
      <c r="B81" s="37">
        <v>10097</v>
      </c>
      <c r="C81" s="47">
        <v>938240</v>
      </c>
      <c r="D81" s="40" t="s">
        <v>88</v>
      </c>
      <c r="E81" s="39"/>
      <c r="F81" s="83">
        <f>1312.68-22.14</f>
        <v>1290.54</v>
      </c>
      <c r="G81" s="92">
        <v>13184.51</v>
      </c>
      <c r="H81" s="83">
        <v>136487.99</v>
      </c>
      <c r="I81" s="39"/>
      <c r="J81" s="39"/>
      <c r="K81" s="45">
        <f>VLOOKUP(C81,'[10]PERIOD 7. OCT.'!$A$2:$I$128,9,0)</f>
        <v>135197.45</v>
      </c>
      <c r="L81" s="40" t="s">
        <v>327</v>
      </c>
      <c r="M81" s="40">
        <v>100747468</v>
      </c>
      <c r="N81" s="38"/>
      <c r="O81" s="38"/>
      <c r="P81" s="38"/>
      <c r="Q81" s="38"/>
      <c r="R81" s="106" t="s">
        <v>19</v>
      </c>
      <c r="S81" s="103">
        <v>3514</v>
      </c>
    </row>
    <row r="82" spans="1:19" ht="16.5" thickBot="1">
      <c r="A82" s="37">
        <v>3316</v>
      </c>
      <c r="B82" s="37">
        <v>10100</v>
      </c>
      <c r="C82" s="47">
        <v>938345</v>
      </c>
      <c r="D82" s="40" t="s">
        <v>89</v>
      </c>
      <c r="E82" s="39"/>
      <c r="F82" s="83">
        <v>868.83</v>
      </c>
      <c r="G82" s="92">
        <v>11314.55</v>
      </c>
      <c r="H82" s="83">
        <v>74122.38</v>
      </c>
      <c r="I82" s="39"/>
      <c r="J82" s="39"/>
      <c r="K82" s="45">
        <f>VLOOKUP(C82,'[10]PERIOD 7. OCT.'!$A$2:$I$128,9,0)</f>
        <v>73253.54999999993</v>
      </c>
      <c r="L82" s="40" t="s">
        <v>327</v>
      </c>
      <c r="M82" s="40">
        <v>100747432</v>
      </c>
      <c r="N82" s="38"/>
      <c r="O82" s="38"/>
      <c r="P82" s="38"/>
      <c r="Q82" s="38"/>
      <c r="R82" s="103" t="s">
        <v>56</v>
      </c>
      <c r="S82" s="103">
        <v>3515</v>
      </c>
    </row>
    <row r="83" spans="1:19" ht="16.5" thickBot="1">
      <c r="A83" s="37">
        <v>2055</v>
      </c>
      <c r="B83" s="37">
        <v>10101</v>
      </c>
      <c r="C83" s="47">
        <v>938210</v>
      </c>
      <c r="D83" s="40" t="s">
        <v>90</v>
      </c>
      <c r="E83" s="39"/>
      <c r="F83" s="83">
        <f>2353.34-9.07</f>
        <v>2344.27</v>
      </c>
      <c r="G83" s="92">
        <v>-36860.17</v>
      </c>
      <c r="H83" s="83">
        <v>103651.45</v>
      </c>
      <c r="I83" s="39"/>
      <c r="J83" s="39"/>
      <c r="K83" s="45">
        <f>VLOOKUP(C83,'[10]PERIOD 7. OCT.'!$A$2:$I$128,9,0)</f>
        <v>101307.18</v>
      </c>
      <c r="L83" s="40" t="s">
        <v>327</v>
      </c>
      <c r="M83" s="40">
        <v>100747463</v>
      </c>
      <c r="N83" s="38"/>
      <c r="O83" s="38"/>
      <c r="P83" s="38"/>
      <c r="Q83" s="38"/>
      <c r="R83" s="103" t="s">
        <v>51</v>
      </c>
      <c r="S83" s="103">
        <v>3516</v>
      </c>
    </row>
    <row r="84" spans="1:19" ht="16.5" thickBot="1">
      <c r="A84" s="37">
        <v>2057</v>
      </c>
      <c r="B84" s="37">
        <v>10103</v>
      </c>
      <c r="C84" s="47">
        <v>938220</v>
      </c>
      <c r="D84" s="40" t="s">
        <v>92</v>
      </c>
      <c r="E84" s="39"/>
      <c r="F84" s="83">
        <v>3820.35</v>
      </c>
      <c r="G84" s="92">
        <v>-4910.16</v>
      </c>
      <c r="H84" s="83">
        <v>132997.1</v>
      </c>
      <c r="I84" s="39"/>
      <c r="J84" s="39"/>
      <c r="K84" s="45">
        <f>VLOOKUP(C84,'[10]PERIOD 7. OCT.'!$A$2:$I$128,9,0)</f>
        <v>129176.75</v>
      </c>
      <c r="L84" s="40" t="s">
        <v>323</v>
      </c>
      <c r="M84" s="40">
        <v>100741888</v>
      </c>
      <c r="N84" s="38"/>
      <c r="O84" s="38"/>
      <c r="P84" s="38"/>
      <c r="Q84" s="38"/>
      <c r="R84" s="103" t="s">
        <v>191</v>
      </c>
      <c r="S84" s="103">
        <v>3518</v>
      </c>
    </row>
    <row r="85" spans="1:19" ht="16.5" thickBot="1">
      <c r="A85" s="37">
        <v>2056</v>
      </c>
      <c r="B85" s="37">
        <v>10102</v>
      </c>
      <c r="C85" s="47">
        <v>938215</v>
      </c>
      <c r="D85" s="40" t="s">
        <v>91</v>
      </c>
      <c r="E85" s="39"/>
      <c r="F85" s="83">
        <v>561.79</v>
      </c>
      <c r="G85" s="92">
        <v>3641.7</v>
      </c>
      <c r="H85" s="83">
        <v>173832.59</v>
      </c>
      <c r="I85" s="39"/>
      <c r="J85" s="39"/>
      <c r="K85" s="45">
        <f>VLOOKUP(C85,'[10]PERIOD 7. OCT.'!$A$2:$I$128,9,0)</f>
        <v>173270.8</v>
      </c>
      <c r="L85" s="40" t="s">
        <v>325</v>
      </c>
      <c r="M85" s="40">
        <v>100744552</v>
      </c>
      <c r="N85" s="38"/>
      <c r="O85" s="38"/>
      <c r="P85" s="38"/>
      <c r="Q85" s="38"/>
      <c r="R85" s="103" t="s">
        <v>182</v>
      </c>
      <c r="S85" s="103">
        <v>3519</v>
      </c>
    </row>
    <row r="86" spans="1:19" ht="16.5" thickBot="1">
      <c r="A86" s="37">
        <v>2076</v>
      </c>
      <c r="B86" s="37">
        <v>10124</v>
      </c>
      <c r="C86" s="47">
        <v>938265</v>
      </c>
      <c r="D86" s="40" t="s">
        <v>93</v>
      </c>
      <c r="E86" s="39"/>
      <c r="F86" s="83">
        <f>4355.95-11.63</f>
        <v>4344.32</v>
      </c>
      <c r="G86" s="92">
        <v>20025.61</v>
      </c>
      <c r="H86" s="83">
        <v>325201.83</v>
      </c>
      <c r="I86" s="39"/>
      <c r="J86" s="39"/>
      <c r="K86" s="45">
        <f>VLOOKUP(C86,'[10]PERIOD 7. OCT.'!$A$2:$I$128,9,0)</f>
        <v>320857.51</v>
      </c>
      <c r="L86" s="40" t="s">
        <v>326</v>
      </c>
      <c r="M86" s="40">
        <v>100746918</v>
      </c>
      <c r="N86" s="38"/>
      <c r="O86" s="38"/>
      <c r="P86" s="38"/>
      <c r="Q86" s="38"/>
      <c r="R86" s="105" t="s">
        <v>176</v>
      </c>
      <c r="S86" s="106">
        <v>3520</v>
      </c>
    </row>
    <row r="87" spans="1:19" ht="16.5" thickBot="1">
      <c r="A87" s="37">
        <v>2060</v>
      </c>
      <c r="B87" s="37">
        <v>10105</v>
      </c>
      <c r="C87" s="47">
        <v>938225</v>
      </c>
      <c r="D87" s="40" t="s">
        <v>94</v>
      </c>
      <c r="E87" s="39"/>
      <c r="F87" s="83">
        <f>4091-33.22</f>
        <v>4057.78</v>
      </c>
      <c r="G87" s="92">
        <v>35610.88</v>
      </c>
      <c r="H87" s="83">
        <v>413342.37</v>
      </c>
      <c r="I87" s="39"/>
      <c r="J87" s="39"/>
      <c r="K87" s="45">
        <f>VLOOKUP(C87,'[10]PERIOD 7. OCT.'!$A$2:$I$128,9,0)</f>
        <v>409284.59</v>
      </c>
      <c r="L87" s="40" t="s">
        <v>328</v>
      </c>
      <c r="M87" s="40">
        <v>100747812</v>
      </c>
      <c r="N87" s="38"/>
      <c r="O87" s="38"/>
      <c r="P87" s="38"/>
      <c r="Q87" s="38"/>
      <c r="R87" s="108" t="s">
        <v>188</v>
      </c>
      <c r="S87" s="108">
        <v>3521</v>
      </c>
    </row>
    <row r="88" spans="1:19" ht="16.5" thickBot="1">
      <c r="A88" s="37">
        <v>3518</v>
      </c>
      <c r="B88" s="37">
        <v>10123</v>
      </c>
      <c r="C88" s="47">
        <v>938430</v>
      </c>
      <c r="D88" s="40" t="s">
        <v>131</v>
      </c>
      <c r="E88" s="39"/>
      <c r="F88" s="83">
        <f>3780.12-6.04</f>
        <v>3774.08</v>
      </c>
      <c r="G88" s="92">
        <v>-57579.89</v>
      </c>
      <c r="H88" s="83">
        <v>224488.31</v>
      </c>
      <c r="I88" s="39"/>
      <c r="J88" s="39"/>
      <c r="K88" s="45">
        <f>VLOOKUP(C88,'[10]PERIOD 7. OCT.'!$A$2:$I$128,9,0)</f>
        <v>220714.23</v>
      </c>
      <c r="L88" s="40" t="s">
        <v>319</v>
      </c>
      <c r="M88" s="40">
        <v>100740615</v>
      </c>
      <c r="N88" s="38"/>
      <c r="O88" s="38"/>
      <c r="P88" s="38"/>
      <c r="Q88" s="38"/>
      <c r="R88" s="103" t="s">
        <v>140</v>
      </c>
      <c r="S88" s="103">
        <v>3522</v>
      </c>
    </row>
    <row r="89" spans="1:19" ht="16.5" thickBot="1">
      <c r="A89" s="37">
        <v>2054</v>
      </c>
      <c r="B89" s="37">
        <v>10109</v>
      </c>
      <c r="C89" s="47">
        <v>938205</v>
      </c>
      <c r="D89" s="40" t="s">
        <v>95</v>
      </c>
      <c r="E89" s="39"/>
      <c r="F89" s="83">
        <v>1907.31</v>
      </c>
      <c r="G89" s="92">
        <v>13672.78</v>
      </c>
      <c r="H89" s="83">
        <v>193366.49</v>
      </c>
      <c r="I89" s="39"/>
      <c r="J89" s="39"/>
      <c r="K89" s="45">
        <f>VLOOKUP(C89,'[10]PERIOD 7. OCT.'!$A$2:$I$128,9,0)</f>
        <v>191459.18</v>
      </c>
      <c r="L89" s="40" t="s">
        <v>327</v>
      </c>
      <c r="M89" s="40">
        <v>100747470</v>
      </c>
      <c r="N89" s="38"/>
      <c r="O89" s="38"/>
      <c r="P89" s="38"/>
      <c r="Q89" s="38"/>
      <c r="R89" s="103" t="s">
        <v>185</v>
      </c>
      <c r="S89" s="103">
        <v>3523</v>
      </c>
    </row>
    <row r="90" spans="1:19" ht="16.5" thickBot="1">
      <c r="A90" s="37">
        <v>5406</v>
      </c>
      <c r="B90" s="37">
        <v>10136</v>
      </c>
      <c r="C90" s="47">
        <v>938530</v>
      </c>
      <c r="D90" s="40" t="s">
        <v>96</v>
      </c>
      <c r="E90" s="39"/>
      <c r="F90" s="83"/>
      <c r="G90" s="92"/>
      <c r="H90" s="148"/>
      <c r="I90" s="39" t="s">
        <v>331</v>
      </c>
      <c r="J90" s="39" t="s">
        <v>338</v>
      </c>
      <c r="K90" s="45">
        <f>VLOOKUP(C90,'[10]PERIOD 7. OCT.'!$A$2:$I$128,9,0)</f>
        <v>286851.92</v>
      </c>
      <c r="L90" s="40"/>
      <c r="M90" s="40"/>
      <c r="N90" s="38"/>
      <c r="O90" s="38"/>
      <c r="P90" s="38"/>
      <c r="Q90" s="38"/>
      <c r="R90" s="103" t="s">
        <v>103</v>
      </c>
      <c r="S90" s="103">
        <v>4003</v>
      </c>
    </row>
    <row r="91" spans="1:19" ht="16.5" thickBot="1">
      <c r="A91" s="37">
        <v>5408</v>
      </c>
      <c r="B91" s="37">
        <v>10137</v>
      </c>
      <c r="C91" s="47">
        <v>938540</v>
      </c>
      <c r="D91" s="40" t="s">
        <v>97</v>
      </c>
      <c r="E91" s="39"/>
      <c r="F91" s="83">
        <v>4922.52</v>
      </c>
      <c r="G91" s="92">
        <v>44635.72</v>
      </c>
      <c r="H91" s="83">
        <v>225821.32</v>
      </c>
      <c r="I91" s="39"/>
      <c r="J91" s="39"/>
      <c r="K91" s="45">
        <f>VLOOKUP(C91,'[10]PERIOD 7. OCT.'!$A$2:$I$128,9,0)</f>
        <v>220898.8</v>
      </c>
      <c r="L91" s="40" t="s">
        <v>327</v>
      </c>
      <c r="M91" s="40">
        <v>100747465</v>
      </c>
      <c r="N91" s="38"/>
      <c r="O91" s="38"/>
      <c r="P91" s="38"/>
      <c r="Q91" s="38"/>
      <c r="R91" s="103" t="s">
        <v>110</v>
      </c>
      <c r="S91" s="103">
        <v>4009</v>
      </c>
    </row>
    <row r="92" spans="1:19" ht="16.5" thickBot="1">
      <c r="A92" s="37">
        <v>4211</v>
      </c>
      <c r="B92" s="37">
        <v>10151</v>
      </c>
      <c r="C92" s="47">
        <v>938465</v>
      </c>
      <c r="D92" s="40" t="s">
        <v>98</v>
      </c>
      <c r="E92" s="39"/>
      <c r="F92" s="102">
        <v>12491.51</v>
      </c>
      <c r="G92" s="102">
        <v>-103425.5</v>
      </c>
      <c r="H92" s="83">
        <v>447546.47</v>
      </c>
      <c r="I92" s="39"/>
      <c r="J92" s="39"/>
      <c r="K92" s="45">
        <f>VLOOKUP(C92,'[10]PERIOD 7. OCT.'!$A$2:$I$128,9,0)</f>
        <v>435054.96</v>
      </c>
      <c r="L92" s="40" t="s">
        <v>320</v>
      </c>
      <c r="M92" s="40">
        <v>100740911</v>
      </c>
      <c r="N92" s="38"/>
      <c r="O92" s="38"/>
      <c r="P92" s="38"/>
      <c r="Q92" s="38"/>
      <c r="R92" s="103" t="s">
        <v>113</v>
      </c>
      <c r="S92" s="103">
        <v>4012</v>
      </c>
    </row>
    <row r="93" spans="1:19" ht="16.5" thickBot="1">
      <c r="A93" s="37">
        <v>4215</v>
      </c>
      <c r="B93" s="37">
        <v>10138</v>
      </c>
      <c r="C93" s="47">
        <v>938475</v>
      </c>
      <c r="D93" s="40" t="s">
        <v>99</v>
      </c>
      <c r="E93" s="39"/>
      <c r="F93" s="83">
        <f>11491.5-172</f>
        <v>11319.5</v>
      </c>
      <c r="G93" s="92">
        <v>493476.9</v>
      </c>
      <c r="H93" s="83">
        <v>568803.72</v>
      </c>
      <c r="I93" s="39"/>
      <c r="J93" s="39"/>
      <c r="K93" s="45">
        <f>VLOOKUP(C93,'[10]PERIOD 7. OCT.'!$A$2:$I$128,9,0)</f>
        <v>557484.22</v>
      </c>
      <c r="L93" s="40" t="s">
        <v>328</v>
      </c>
      <c r="M93" s="40">
        <v>100747806</v>
      </c>
      <c r="N93" s="38"/>
      <c r="O93" s="38"/>
      <c r="P93" s="38"/>
      <c r="Q93" s="38"/>
      <c r="R93" s="103" t="s">
        <v>109</v>
      </c>
      <c r="S93" s="103">
        <v>4208</v>
      </c>
    </row>
    <row r="94" spans="1:19" ht="16.5" thickBot="1">
      <c r="A94" s="37">
        <v>4210</v>
      </c>
      <c r="B94" s="37">
        <v>10152</v>
      </c>
      <c r="C94" s="47">
        <v>938460</v>
      </c>
      <c r="D94" s="40" t="s">
        <v>100</v>
      </c>
      <c r="E94" s="39"/>
      <c r="F94" s="83">
        <f>22708.07-12.82</f>
        <v>22695.25</v>
      </c>
      <c r="G94" s="92">
        <v>161780.35</v>
      </c>
      <c r="H94" s="83">
        <v>949334.71</v>
      </c>
      <c r="I94" s="39"/>
      <c r="J94" s="39"/>
      <c r="K94" s="45">
        <f>VLOOKUP(C94,'[10]PERIOD 7. OCT.'!$A$2:$I$128,9,0)</f>
        <v>926639.4599999991</v>
      </c>
      <c r="L94" s="40" t="s">
        <v>325</v>
      </c>
      <c r="M94" s="40">
        <v>100745560</v>
      </c>
      <c r="N94" s="38"/>
      <c r="O94" s="38"/>
      <c r="P94" s="38"/>
      <c r="Q94" s="38"/>
      <c r="R94" s="103" t="s">
        <v>100</v>
      </c>
      <c r="S94" s="103">
        <v>4210</v>
      </c>
    </row>
    <row r="95" spans="1:19" ht="16.5" thickBot="1">
      <c r="A95" s="37">
        <v>4212</v>
      </c>
      <c r="B95" s="37">
        <v>10153</v>
      </c>
      <c r="C95" s="47">
        <v>938470</v>
      </c>
      <c r="D95" s="40" t="s">
        <v>101</v>
      </c>
      <c r="E95" s="39"/>
      <c r="F95" s="83">
        <f>16767.51-736.42</f>
        <v>16031.089999999998</v>
      </c>
      <c r="G95" s="92">
        <v>-66520.15</v>
      </c>
      <c r="H95" s="83">
        <v>760651.14</v>
      </c>
      <c r="I95" s="39"/>
      <c r="J95" s="39"/>
      <c r="K95" s="45">
        <f>VLOOKUP(C95,'[10]PERIOD 7. OCT.'!$A$2:$I$128,9,0)</f>
        <v>744620.0500000006</v>
      </c>
      <c r="L95" s="40" t="s">
        <v>332</v>
      </c>
      <c r="M95" s="40">
        <v>100748320</v>
      </c>
      <c r="N95" s="38"/>
      <c r="O95" s="38"/>
      <c r="P95" s="38"/>
      <c r="Q95" s="38"/>
      <c r="R95" s="103" t="s">
        <v>98</v>
      </c>
      <c r="S95" s="103">
        <v>4211</v>
      </c>
    </row>
    <row r="96" spans="1:19" ht="16.5" thickBot="1">
      <c r="A96" s="37">
        <v>5405</v>
      </c>
      <c r="B96" s="37">
        <v>10145</v>
      </c>
      <c r="C96" s="47">
        <v>938525</v>
      </c>
      <c r="D96" s="40" t="s">
        <v>102</v>
      </c>
      <c r="E96" s="39"/>
      <c r="F96" s="83">
        <v>13117.17</v>
      </c>
      <c r="G96" s="92">
        <v>-173975.85</v>
      </c>
      <c r="H96" s="83">
        <v>1056747.94</v>
      </c>
      <c r="I96" s="39"/>
      <c r="J96" s="39"/>
      <c r="K96" s="45">
        <f>VLOOKUP(C96,'[10]PERIOD 7. OCT.'!$A$2:$I$128,9,0)</f>
        <v>1043630.77</v>
      </c>
      <c r="L96" s="40" t="s">
        <v>327</v>
      </c>
      <c r="M96" s="40">
        <v>100747441</v>
      </c>
      <c r="N96" s="38"/>
      <c r="O96" s="38"/>
      <c r="P96" s="38"/>
      <c r="Q96" s="38"/>
      <c r="R96" s="103" t="s">
        <v>101</v>
      </c>
      <c r="S96" s="103">
        <v>4212</v>
      </c>
    </row>
    <row r="97" spans="1:19" ht="16.5" thickBot="1">
      <c r="A97" s="37">
        <v>4003</v>
      </c>
      <c r="B97" s="37">
        <v>10139</v>
      </c>
      <c r="C97" s="47">
        <v>938440</v>
      </c>
      <c r="D97" s="40" t="s">
        <v>103</v>
      </c>
      <c r="E97" s="39"/>
      <c r="F97" s="83">
        <f>29516.86-0.3</f>
        <v>29516.56</v>
      </c>
      <c r="G97" s="92">
        <v>185752.31</v>
      </c>
      <c r="H97" s="83">
        <v>262281.73</v>
      </c>
      <c r="I97" s="39"/>
      <c r="J97" s="39"/>
      <c r="K97" s="45">
        <f>VLOOKUP(C97,'[10]PERIOD 7. OCT.'!$A$2:$I$128,9,0)</f>
        <v>232765.17</v>
      </c>
      <c r="L97" s="40" t="s">
        <v>327</v>
      </c>
      <c r="M97" s="40">
        <v>100747004</v>
      </c>
      <c r="N97" s="38"/>
      <c r="O97" s="38"/>
      <c r="P97" s="38"/>
      <c r="Q97" s="38"/>
      <c r="R97" s="103" t="s">
        <v>192</v>
      </c>
      <c r="S97" s="103">
        <v>4215</v>
      </c>
    </row>
    <row r="98" spans="1:19" ht="16.5" thickBot="1">
      <c r="A98" s="37">
        <v>5409</v>
      </c>
      <c r="B98" s="37">
        <v>10146</v>
      </c>
      <c r="C98" s="47">
        <v>938545</v>
      </c>
      <c r="D98" s="40" t="s">
        <v>104</v>
      </c>
      <c r="E98" s="39"/>
      <c r="F98" s="83">
        <v>16914.05</v>
      </c>
      <c r="G98" s="92">
        <v>95993.37</v>
      </c>
      <c r="H98" s="83">
        <v>25212.83</v>
      </c>
      <c r="I98" s="39"/>
      <c r="J98" s="39"/>
      <c r="K98" s="45">
        <f>VLOOKUP(C98,'[10]PERIOD 7. OCT.'!$A$2:$I$128,9,0)</f>
        <v>8298.780000000013</v>
      </c>
      <c r="L98" s="40" t="s">
        <v>335</v>
      </c>
      <c r="M98" s="40">
        <v>100748707</v>
      </c>
      <c r="N98" s="38"/>
      <c r="O98" s="38"/>
      <c r="P98" s="38"/>
      <c r="Q98" s="38"/>
      <c r="R98" s="103" t="s">
        <v>106</v>
      </c>
      <c r="S98" s="103">
        <v>4752</v>
      </c>
    </row>
    <row r="99" spans="1:19" ht="16.5" thickBot="1">
      <c r="A99" s="37">
        <v>5400</v>
      </c>
      <c r="B99" s="37">
        <v>10150</v>
      </c>
      <c r="C99" s="47">
        <v>938500</v>
      </c>
      <c r="D99" s="40" t="s">
        <v>105</v>
      </c>
      <c r="E99" s="39"/>
      <c r="F99" s="83">
        <v>9642.5</v>
      </c>
      <c r="G99" s="92">
        <v>53149.97</v>
      </c>
      <c r="H99" s="83">
        <v>614083.86</v>
      </c>
      <c r="I99" s="38"/>
      <c r="J99" s="38"/>
      <c r="K99" s="45">
        <f>VLOOKUP(C99,'[10]PERIOD 7. OCT.'!$A$2:$I$128,9,0)</f>
        <v>604441.36</v>
      </c>
      <c r="L99" s="40" t="s">
        <v>326</v>
      </c>
      <c r="M99" s="40">
        <v>100746933</v>
      </c>
      <c r="N99" s="38"/>
      <c r="O99" s="38"/>
      <c r="P99" s="38"/>
      <c r="Q99" s="38"/>
      <c r="R99" s="106" t="s">
        <v>39</v>
      </c>
      <c r="S99" s="103">
        <v>5200</v>
      </c>
    </row>
    <row r="100" spans="1:19" ht="16.5" thickBot="1">
      <c r="A100" s="37">
        <v>4752</v>
      </c>
      <c r="B100" s="37">
        <v>10147</v>
      </c>
      <c r="C100" s="47">
        <v>938485</v>
      </c>
      <c r="D100" s="40" t="s">
        <v>106</v>
      </c>
      <c r="E100" s="39"/>
      <c r="F100" s="151">
        <v>7111.43</v>
      </c>
      <c r="G100" s="152">
        <v>18380.78</v>
      </c>
      <c r="H100" s="151">
        <v>125837.75</v>
      </c>
      <c r="I100" s="154" t="s">
        <v>337</v>
      </c>
      <c r="J100" s="153"/>
      <c r="K100" s="151">
        <f>VLOOKUP(C100,'[10]PERIOD 7. OCT.'!$A$2:$I$128,9,0)</f>
        <v>137107.1</v>
      </c>
      <c r="L100" s="154" t="s">
        <v>336</v>
      </c>
      <c r="M100" s="154">
        <v>100750363</v>
      </c>
      <c r="N100" s="38"/>
      <c r="O100" s="38"/>
      <c r="P100" s="38"/>
      <c r="Q100" s="38"/>
      <c r="R100" s="103" t="s">
        <v>68</v>
      </c>
      <c r="S100" s="103">
        <v>5201</v>
      </c>
    </row>
    <row r="101" spans="1:19" ht="16.5" thickBot="1">
      <c r="A101" s="37">
        <v>5427</v>
      </c>
      <c r="B101" s="37">
        <v>11174</v>
      </c>
      <c r="C101" s="47">
        <v>938548</v>
      </c>
      <c r="D101" s="40" t="s">
        <v>193</v>
      </c>
      <c r="E101" s="39"/>
      <c r="F101" s="83">
        <v>840.31</v>
      </c>
      <c r="G101" s="92">
        <v>24592.79</v>
      </c>
      <c r="H101" s="83">
        <v>407774.28</v>
      </c>
      <c r="I101" s="39"/>
      <c r="J101" s="39"/>
      <c r="K101" s="45">
        <f>VLOOKUP(C101,'[10]PERIOD 7. OCT.'!$A$2:$I$128,9,0)</f>
        <v>406933.97</v>
      </c>
      <c r="L101" s="40" t="s">
        <v>321</v>
      </c>
      <c r="M101" s="40">
        <v>100740938</v>
      </c>
      <c r="N101" s="38"/>
      <c r="O101" s="38"/>
      <c r="P101" s="38"/>
      <c r="Q101" s="38"/>
      <c r="R101" s="103"/>
      <c r="S101" s="103"/>
    </row>
    <row r="102" spans="1:19" ht="16.5" thickBot="1">
      <c r="A102" s="37">
        <v>5402</v>
      </c>
      <c r="B102" s="37">
        <v>10140</v>
      </c>
      <c r="C102" s="47">
        <v>938510</v>
      </c>
      <c r="D102" s="40" t="s">
        <v>107</v>
      </c>
      <c r="E102" s="39"/>
      <c r="F102" s="83">
        <v>31863.41</v>
      </c>
      <c r="G102" s="92">
        <v>87949.41</v>
      </c>
      <c r="H102" s="83">
        <v>1009848.01</v>
      </c>
      <c r="I102" s="39"/>
      <c r="J102" s="39"/>
      <c r="K102" s="45">
        <f>VLOOKUP(C102,'[10]PERIOD 7. OCT.'!$A$2:$I$128,9,0)</f>
        <v>977984.6</v>
      </c>
      <c r="L102" s="40" t="s">
        <v>326</v>
      </c>
      <c r="M102" s="40">
        <v>100746928</v>
      </c>
      <c r="N102" s="38"/>
      <c r="O102" s="38"/>
      <c r="P102" s="38"/>
      <c r="Q102" s="38"/>
      <c r="R102" s="103" t="s">
        <v>105</v>
      </c>
      <c r="S102" s="103">
        <v>5400</v>
      </c>
    </row>
    <row r="103" spans="1:19" ht="16.5" thickBot="1">
      <c r="A103" s="37">
        <v>4208</v>
      </c>
      <c r="B103" s="37">
        <v>10154</v>
      </c>
      <c r="C103" s="47">
        <v>938455</v>
      </c>
      <c r="D103" s="40" t="s">
        <v>109</v>
      </c>
      <c r="E103" s="39"/>
      <c r="F103" s="83">
        <v>14604.95</v>
      </c>
      <c r="G103" s="92">
        <v>-24556.71</v>
      </c>
      <c r="H103" s="83">
        <v>582206.79</v>
      </c>
      <c r="I103" s="39"/>
      <c r="J103" s="39"/>
      <c r="K103" s="45">
        <f>VLOOKUP(C103,'[10]PERIOD 7. OCT.'!$A$2:$I$128,9,0)</f>
        <v>567601.84</v>
      </c>
      <c r="L103" s="40" t="s">
        <v>328</v>
      </c>
      <c r="M103" s="40">
        <v>100747797</v>
      </c>
      <c r="N103" s="38"/>
      <c r="O103" s="38"/>
      <c r="P103" s="38"/>
      <c r="Q103" s="38"/>
      <c r="R103" s="103" t="s">
        <v>108</v>
      </c>
      <c r="S103" s="103">
        <v>5401</v>
      </c>
    </row>
    <row r="104" spans="1:19" ht="16.5" thickBot="1">
      <c r="A104" s="37">
        <v>5401</v>
      </c>
      <c r="B104" s="37">
        <v>10149</v>
      </c>
      <c r="C104" s="47">
        <v>938505</v>
      </c>
      <c r="D104" s="40" t="s">
        <v>108</v>
      </c>
      <c r="E104" s="39"/>
      <c r="F104" s="151">
        <v>16.49</v>
      </c>
      <c r="G104" s="152">
        <v>153553.39</v>
      </c>
      <c r="H104" s="151">
        <v>157146.14</v>
      </c>
      <c r="I104" s="154" t="s">
        <v>337</v>
      </c>
      <c r="J104" s="154" t="s">
        <v>248</v>
      </c>
      <c r="K104" s="151">
        <f>VLOOKUP(C104,'[10]PERIOD 7. OCT.'!$A$2:$I$128,9,0)</f>
        <v>310683.04</v>
      </c>
      <c r="L104" s="154" t="s">
        <v>348</v>
      </c>
      <c r="M104" s="154" t="s">
        <v>349</v>
      </c>
      <c r="N104" s="38"/>
      <c r="O104" s="38"/>
      <c r="P104" s="38"/>
      <c r="Q104" s="38"/>
      <c r="R104" s="103" t="s">
        <v>107</v>
      </c>
      <c r="S104" s="103">
        <v>5402</v>
      </c>
    </row>
    <row r="105" spans="1:19" ht="16.5" thickBot="1">
      <c r="A105" s="37">
        <v>4009</v>
      </c>
      <c r="B105" s="37">
        <v>10141</v>
      </c>
      <c r="C105" s="47">
        <v>938445</v>
      </c>
      <c r="D105" s="40" t="s">
        <v>110</v>
      </c>
      <c r="E105" s="39"/>
      <c r="F105" s="83">
        <v>8216.26</v>
      </c>
      <c r="G105" s="92">
        <v>69761.66</v>
      </c>
      <c r="H105" s="83">
        <v>1315442.45</v>
      </c>
      <c r="I105" s="39"/>
      <c r="J105" s="39"/>
      <c r="K105" s="45">
        <f>VLOOKUP(C105,'[10]PERIOD 7. OCT.'!$A$2:$I$128,9,0)</f>
        <v>1307226.19</v>
      </c>
      <c r="L105" s="40" t="s">
        <v>325</v>
      </c>
      <c r="M105" s="40">
        <v>100745555</v>
      </c>
      <c r="N105" s="38"/>
      <c r="O105" s="38"/>
      <c r="P105" s="38"/>
      <c r="Q105" s="38"/>
      <c r="R105" s="103" t="s">
        <v>112</v>
      </c>
      <c r="S105" s="103">
        <v>5403</v>
      </c>
    </row>
    <row r="106" spans="1:19" ht="16.5" thickBot="1">
      <c r="A106" s="37">
        <v>5407</v>
      </c>
      <c r="B106" s="37">
        <v>10142</v>
      </c>
      <c r="C106" s="47">
        <v>938535</v>
      </c>
      <c r="D106" s="40" t="s">
        <v>111</v>
      </c>
      <c r="E106" s="39"/>
      <c r="F106" s="83">
        <f>7104.52-45.85</f>
        <v>7058.67</v>
      </c>
      <c r="G106" s="92">
        <v>-47125.94</v>
      </c>
      <c r="H106" s="83">
        <v>516174.08</v>
      </c>
      <c r="I106" s="39"/>
      <c r="J106" s="39"/>
      <c r="K106" s="45">
        <f>VLOOKUP(C106,'[10]PERIOD 7. OCT.'!$A$2:$I$128,9,0)</f>
        <v>509115.41</v>
      </c>
      <c r="L106" s="40" t="s">
        <v>327</v>
      </c>
      <c r="M106" s="40">
        <v>100746952</v>
      </c>
      <c r="N106" s="38"/>
      <c r="O106" s="38"/>
      <c r="P106" s="38"/>
      <c r="Q106" s="38"/>
      <c r="R106" s="106" t="s">
        <v>126</v>
      </c>
      <c r="S106" s="103">
        <v>5404</v>
      </c>
    </row>
    <row r="107" spans="1:19" ht="16.5" thickBot="1">
      <c r="A107" s="37">
        <v>5403</v>
      </c>
      <c r="B107" s="37">
        <v>10143</v>
      </c>
      <c r="C107" s="47">
        <v>938515</v>
      </c>
      <c r="D107" s="40" t="s">
        <v>112</v>
      </c>
      <c r="E107" s="39"/>
      <c r="F107" s="83">
        <v>5728.26</v>
      </c>
      <c r="G107" s="92">
        <v>-167735.37</v>
      </c>
      <c r="H107" s="83">
        <v>320359.62</v>
      </c>
      <c r="I107" s="39"/>
      <c r="J107" s="39"/>
      <c r="K107" s="45">
        <f>VLOOKUP(C107,'[10]PERIOD 7. OCT.'!$A$2:$I$128,9,0)</f>
        <v>314631.36</v>
      </c>
      <c r="L107" s="40" t="s">
        <v>320</v>
      </c>
      <c r="M107" s="40">
        <v>100740933</v>
      </c>
      <c r="N107" s="38"/>
      <c r="O107" s="38"/>
      <c r="P107" s="38"/>
      <c r="Q107" s="38"/>
      <c r="R107" s="103" t="s">
        <v>102</v>
      </c>
      <c r="S107" s="103">
        <v>5405</v>
      </c>
    </row>
    <row r="108" spans="1:19" ht="16.5" thickBot="1">
      <c r="A108" s="37">
        <v>5404</v>
      </c>
      <c r="B108" s="37">
        <v>10148</v>
      </c>
      <c r="C108" s="47">
        <v>938520</v>
      </c>
      <c r="D108" s="40" t="s">
        <v>126</v>
      </c>
      <c r="E108" s="39"/>
      <c r="F108" s="83">
        <f>10430.41-129.54</f>
        <v>10300.869999999999</v>
      </c>
      <c r="G108" s="92">
        <v>20633.84</v>
      </c>
      <c r="H108" s="83">
        <v>197624.44</v>
      </c>
      <c r="I108" s="39"/>
      <c r="J108" s="39"/>
      <c r="K108" s="45">
        <f>VLOOKUP(C108,'[10]PERIOD 7. OCT.'!$A$2:$I$128,9,0)</f>
        <v>187323.57</v>
      </c>
      <c r="L108" s="40" t="s">
        <v>327</v>
      </c>
      <c r="M108" s="40">
        <v>100747435</v>
      </c>
      <c r="N108" s="38"/>
      <c r="O108" s="38"/>
      <c r="P108" s="38"/>
      <c r="Q108" s="38"/>
      <c r="R108" s="106" t="s">
        <v>96</v>
      </c>
      <c r="S108" s="103">
        <v>5406</v>
      </c>
    </row>
    <row r="109" spans="1:19" ht="16.5" thickBot="1">
      <c r="A109" s="37">
        <v>4012</v>
      </c>
      <c r="B109" s="37">
        <v>10144</v>
      </c>
      <c r="C109" s="47">
        <v>938450</v>
      </c>
      <c r="D109" s="40" t="s">
        <v>113</v>
      </c>
      <c r="E109" s="39"/>
      <c r="F109" s="83">
        <f>25595.16-130.13</f>
        <v>25465.03</v>
      </c>
      <c r="G109" s="92">
        <v>157139.26</v>
      </c>
      <c r="H109" s="83">
        <v>691794.12</v>
      </c>
      <c r="I109" s="39"/>
      <c r="J109" s="39"/>
      <c r="K109" s="45">
        <f>VLOOKUP(C109,'[10]PERIOD 7. OCT.'!$A$2:$I$128,9,0)</f>
        <v>666329.09</v>
      </c>
      <c r="L109" s="40" t="s">
        <v>327</v>
      </c>
      <c r="M109" s="40">
        <v>100747458</v>
      </c>
      <c r="N109" s="38"/>
      <c r="O109" s="38"/>
      <c r="P109" s="38"/>
      <c r="Q109" s="38"/>
      <c r="R109" s="103" t="s">
        <v>111</v>
      </c>
      <c r="S109" s="103">
        <v>5407</v>
      </c>
    </row>
    <row r="110" spans="1:19" ht="16.5" thickBot="1">
      <c r="A110" s="37">
        <v>7010</v>
      </c>
      <c r="B110" s="37">
        <v>10159</v>
      </c>
      <c r="C110" s="47">
        <v>938575</v>
      </c>
      <c r="D110" s="40" t="s">
        <v>114</v>
      </c>
      <c r="E110" s="39"/>
      <c r="F110" s="83">
        <f>4676.56-10.28</f>
        <v>4666.280000000001</v>
      </c>
      <c r="G110" s="92">
        <v>53485.2</v>
      </c>
      <c r="H110" s="83">
        <v>295328.63</v>
      </c>
      <c r="I110" s="39"/>
      <c r="J110" s="39"/>
      <c r="K110" s="45">
        <f>VLOOKUP(C110,'[10]PERIOD 7. OCT.'!$A$2:$I$128,9,0)</f>
        <v>290662.35</v>
      </c>
      <c r="L110" s="40" t="s">
        <v>322</v>
      </c>
      <c r="M110" s="40">
        <v>100741860</v>
      </c>
      <c r="N110" s="38"/>
      <c r="O110" s="38"/>
      <c r="P110" s="38"/>
      <c r="Q110" s="38"/>
      <c r="R110" s="103" t="s">
        <v>97</v>
      </c>
      <c r="S110" s="103">
        <v>5408</v>
      </c>
    </row>
    <row r="111" spans="1:19" ht="16.5" thickBot="1">
      <c r="A111" s="37">
        <v>7005</v>
      </c>
      <c r="B111" s="37">
        <v>10157</v>
      </c>
      <c r="C111" s="47">
        <v>938565</v>
      </c>
      <c r="D111" s="40" t="s">
        <v>115</v>
      </c>
      <c r="E111" s="39"/>
      <c r="F111" s="83">
        <f>2190.27-3.08</f>
        <v>2187.19</v>
      </c>
      <c r="G111" s="92">
        <v>-13982.91</v>
      </c>
      <c r="H111" s="83">
        <v>214453.52</v>
      </c>
      <c r="I111" s="83"/>
      <c r="J111" s="39"/>
      <c r="K111" s="45">
        <f>VLOOKUP(C111,'[10]PERIOD 7. OCT.'!$A$2:$I$128,9,0)</f>
        <v>212266.33</v>
      </c>
      <c r="L111" s="40" t="s">
        <v>321</v>
      </c>
      <c r="M111" s="40">
        <v>100741831</v>
      </c>
      <c r="N111" s="38"/>
      <c r="O111" s="38"/>
      <c r="P111" s="38"/>
      <c r="Q111" s="38"/>
      <c r="R111" s="103" t="s">
        <v>104</v>
      </c>
      <c r="S111" s="103">
        <v>5409</v>
      </c>
    </row>
    <row r="112" spans="1:19" ht="16.5" thickBot="1">
      <c r="A112" s="37">
        <v>7009</v>
      </c>
      <c r="B112" s="37">
        <v>10158</v>
      </c>
      <c r="C112" s="47">
        <v>938570</v>
      </c>
      <c r="D112" s="40" t="s">
        <v>116</v>
      </c>
      <c r="E112" s="39"/>
      <c r="F112" s="83">
        <f>3120.75-4.18</f>
        <v>3116.57</v>
      </c>
      <c r="G112" s="92">
        <v>6599.82</v>
      </c>
      <c r="H112" s="83">
        <v>497499.43</v>
      </c>
      <c r="I112" s="39"/>
      <c r="J112" s="39"/>
      <c r="K112" s="45">
        <f>VLOOKUP(C112,'[10]PERIOD 7. OCT.'!$A$2:$I$128,9,0)</f>
        <v>494382.86</v>
      </c>
      <c r="L112" s="40" t="s">
        <v>323</v>
      </c>
      <c r="M112" s="40">
        <v>100742157</v>
      </c>
      <c r="N112" s="38"/>
      <c r="O112" s="38"/>
      <c r="P112" s="38"/>
      <c r="Q112" s="38"/>
      <c r="R112" s="106" t="s">
        <v>59</v>
      </c>
      <c r="S112" s="103">
        <v>5948</v>
      </c>
    </row>
    <row r="113" spans="1:19" ht="16.5" thickBot="1">
      <c r="A113" s="37">
        <v>7000</v>
      </c>
      <c r="B113" s="37">
        <v>10156</v>
      </c>
      <c r="C113" s="47">
        <v>938560</v>
      </c>
      <c r="D113" s="40" t="s">
        <v>117</v>
      </c>
      <c r="E113" s="39"/>
      <c r="F113" s="83">
        <v>13790.2</v>
      </c>
      <c r="G113" s="92">
        <v>15991.06</v>
      </c>
      <c r="H113" s="83">
        <v>90089.91</v>
      </c>
      <c r="I113" s="39"/>
      <c r="J113" s="39"/>
      <c r="K113" s="45">
        <f>VLOOKUP(C113,'[10]PERIOD 7. OCT.'!$A$2:$I$128,9,0)</f>
        <v>76299.70999999992</v>
      </c>
      <c r="L113" s="40" t="s">
        <v>328</v>
      </c>
      <c r="M113" s="40">
        <v>100747474</v>
      </c>
      <c r="N113" s="38"/>
      <c r="O113" s="38"/>
      <c r="P113" s="38"/>
      <c r="Q113" s="38"/>
      <c r="R113" s="103" t="s">
        <v>61</v>
      </c>
      <c r="S113" s="103">
        <v>5949</v>
      </c>
    </row>
    <row r="114" spans="1:19" ht="16.5" thickBot="1">
      <c r="A114" s="37">
        <v>1000</v>
      </c>
      <c r="B114" s="37">
        <v>10130</v>
      </c>
      <c r="C114" s="47">
        <v>938000</v>
      </c>
      <c r="D114" s="40" t="s">
        <v>132</v>
      </c>
      <c r="E114" s="39"/>
      <c r="F114" s="83">
        <v>272.48</v>
      </c>
      <c r="G114" s="92">
        <v>1134.05</v>
      </c>
      <c r="H114" s="83">
        <v>162399.18</v>
      </c>
      <c r="I114" s="39"/>
      <c r="J114" s="39"/>
      <c r="K114" s="45">
        <f>VLOOKUP(C114,'[10]PERIOD 7. OCT.'!$A$2:$I$128,9,0)</f>
        <v>162126.7</v>
      </c>
      <c r="L114" s="40" t="s">
        <v>322</v>
      </c>
      <c r="M114" s="40">
        <v>100741857</v>
      </c>
      <c r="N114" s="38"/>
      <c r="O114" s="38"/>
      <c r="P114" s="38"/>
      <c r="Q114" s="38"/>
      <c r="R114" s="103" t="s">
        <v>117</v>
      </c>
      <c r="S114" s="103">
        <v>7000</v>
      </c>
    </row>
    <row r="115" spans="1:19" ht="16.5" thickBot="1">
      <c r="A115" s="37">
        <v>1001</v>
      </c>
      <c r="B115" s="37">
        <v>10131</v>
      </c>
      <c r="C115" s="47">
        <v>938005</v>
      </c>
      <c r="D115" s="40" t="s">
        <v>133</v>
      </c>
      <c r="E115" s="39"/>
      <c r="F115" s="83">
        <v>752.58</v>
      </c>
      <c r="G115" s="92">
        <v>7352.39</v>
      </c>
      <c r="H115" s="83">
        <v>177663.47</v>
      </c>
      <c r="I115" s="39"/>
      <c r="J115" s="39"/>
      <c r="K115" s="45">
        <f>VLOOKUP(C115,'[10]PERIOD 7. OCT.'!$A$2:$I$128,9,0)</f>
        <v>176910.89</v>
      </c>
      <c r="L115" s="40" t="s">
        <v>328</v>
      </c>
      <c r="M115" s="40">
        <v>100747798</v>
      </c>
      <c r="N115" s="38"/>
      <c r="O115" s="38"/>
      <c r="P115" s="38"/>
      <c r="Q115" s="38"/>
      <c r="R115" s="103" t="s">
        <v>115</v>
      </c>
      <c r="S115" s="103">
        <v>7005</v>
      </c>
    </row>
    <row r="116" spans="1:19" ht="16.5" thickBot="1">
      <c r="A116" s="37">
        <v>1002</v>
      </c>
      <c r="B116" s="37">
        <v>10132</v>
      </c>
      <c r="C116" s="47">
        <v>938010</v>
      </c>
      <c r="D116" s="40" t="s">
        <v>134</v>
      </c>
      <c r="E116" s="39"/>
      <c r="F116" s="83">
        <v>768.44</v>
      </c>
      <c r="G116" s="92">
        <v>-1694.55</v>
      </c>
      <c r="H116" s="83">
        <v>161761.06</v>
      </c>
      <c r="I116" s="39"/>
      <c r="J116" s="39"/>
      <c r="K116" s="45">
        <f>VLOOKUP(C116,'[10]PERIOD 7. OCT.'!$A$2:$I$128,9,0)</f>
        <v>160992.62</v>
      </c>
      <c r="L116" s="40" t="s">
        <v>322</v>
      </c>
      <c r="M116" s="40">
        <v>100741837</v>
      </c>
      <c r="N116" s="38"/>
      <c r="O116" s="38"/>
      <c r="P116" s="38"/>
      <c r="Q116" s="38"/>
      <c r="R116" s="103" t="s">
        <v>116</v>
      </c>
      <c r="S116" s="103">
        <v>7009</v>
      </c>
    </row>
    <row r="117" spans="1:19" ht="15.75">
      <c r="A117" s="37">
        <v>1003</v>
      </c>
      <c r="B117" s="37">
        <v>10133</v>
      </c>
      <c r="C117" s="47">
        <v>938015</v>
      </c>
      <c r="D117" s="40" t="s">
        <v>135</v>
      </c>
      <c r="E117" s="39"/>
      <c r="F117" s="83">
        <v>368.14</v>
      </c>
      <c r="G117" s="92">
        <v>-6994.09</v>
      </c>
      <c r="H117" s="83">
        <v>148601.02</v>
      </c>
      <c r="I117" s="39"/>
      <c r="J117" s="146" t="s">
        <v>248</v>
      </c>
      <c r="K117" s="45">
        <f>VLOOKUP(C117,'[10]PERIOD 7. OCT.'!$A$2:$I$128,9,0)</f>
        <v>148232.88</v>
      </c>
      <c r="L117" s="40" t="s">
        <v>332</v>
      </c>
      <c r="M117" s="40" t="s">
        <v>333</v>
      </c>
      <c r="N117" s="38"/>
      <c r="O117" s="38"/>
      <c r="P117" s="38"/>
      <c r="Q117" s="38"/>
      <c r="R117" s="106" t="s">
        <v>114</v>
      </c>
      <c r="S117" s="103">
        <v>7010</v>
      </c>
    </row>
    <row r="118" spans="2:18" ht="15.75">
      <c r="B118" s="38"/>
      <c r="C118" s="42"/>
      <c r="D118" s="43" t="s">
        <v>139</v>
      </c>
      <c r="E118" s="92">
        <f aca="true" t="shared" si="0" ref="E118:K118">SUM(E3:E117)</f>
        <v>0</v>
      </c>
      <c r="F118" s="96">
        <f t="shared" si="0"/>
        <v>502097.55</v>
      </c>
      <c r="G118" s="96">
        <f t="shared" si="0"/>
        <v>327544.0100000002</v>
      </c>
      <c r="H118" s="96">
        <f>SUM(H3:H117)</f>
        <v>27233252</v>
      </c>
      <c r="I118" s="96">
        <f>SUM(I3:I117)</f>
        <v>0</v>
      </c>
      <c r="J118" s="96">
        <f t="shared" si="0"/>
        <v>0</v>
      </c>
      <c r="K118" s="96">
        <f t="shared" si="0"/>
        <v>27189644.500000015</v>
      </c>
      <c r="L118" s="42"/>
      <c r="M118" s="38"/>
      <c r="N118" s="38"/>
      <c r="O118" s="38"/>
      <c r="P118" s="38"/>
      <c r="Q118" s="38"/>
      <c r="R118" s="38"/>
    </row>
    <row r="119" spans="2:18" ht="15.75">
      <c r="B119" s="38"/>
      <c r="C119" s="42"/>
      <c r="D119" s="41"/>
      <c r="E119" s="39"/>
      <c r="F119" s="39"/>
      <c r="G119" s="39"/>
      <c r="H119" s="39"/>
      <c r="I119" s="39"/>
      <c r="J119" s="39"/>
      <c r="K119" s="39"/>
      <c r="L119" s="38"/>
      <c r="M119" s="38"/>
      <c r="N119" s="38"/>
      <c r="O119" s="38"/>
      <c r="P119" s="38"/>
      <c r="Q119" s="38"/>
      <c r="R119" s="38"/>
    </row>
    <row r="120" spans="3:18" ht="15.75">
      <c r="C120" s="1">
        <f>COUNT(C3:C117)</f>
        <v>115</v>
      </c>
      <c r="D120" s="86">
        <f>COUNT(A3:A117)-COUNTA(M3:M117)</f>
        <v>1</v>
      </c>
      <c r="E120" s="37"/>
      <c r="F120" s="37" t="s">
        <v>175</v>
      </c>
      <c r="G120" s="38"/>
      <c r="H120" s="38"/>
      <c r="I120" s="38"/>
      <c r="J120" s="64"/>
      <c r="K120" s="85"/>
      <c r="L120" s="38"/>
      <c r="M120" s="38"/>
      <c r="N120" s="38"/>
      <c r="O120" s="38"/>
      <c r="P120" s="38"/>
      <c r="Q120" s="38"/>
      <c r="R120" s="38"/>
    </row>
    <row r="121" spans="4:18" ht="15.75">
      <c r="D121" s="86">
        <f>C120-D120</f>
        <v>114</v>
      </c>
      <c r="E121" s="38"/>
      <c r="F121" s="38" t="s">
        <v>174</v>
      </c>
      <c r="G121" s="38"/>
      <c r="H121" s="38"/>
      <c r="I121" s="38"/>
      <c r="J121" s="38"/>
      <c r="K121" s="85"/>
      <c r="L121" s="38"/>
      <c r="M121" s="38"/>
      <c r="N121" s="38"/>
      <c r="O121" s="38"/>
      <c r="P121" s="38"/>
      <c r="Q121" s="38"/>
      <c r="R121" s="38"/>
    </row>
    <row r="122" spans="4:18" ht="15.75">
      <c r="D122" s="41"/>
      <c r="F122" s="40"/>
      <c r="G122" s="40"/>
      <c r="H122" s="40"/>
      <c r="I122" s="38"/>
      <c r="J122" s="38"/>
      <c r="K122" s="85"/>
      <c r="L122" s="38"/>
      <c r="M122" s="38"/>
      <c r="N122" s="38"/>
      <c r="O122" s="38"/>
      <c r="P122" s="38"/>
      <c r="Q122" s="38"/>
      <c r="R122" s="38"/>
    </row>
    <row r="123" spans="4:18" ht="15.75">
      <c r="D123" s="38"/>
      <c r="E123" s="40"/>
      <c r="F123" s="45"/>
      <c r="G123" s="40"/>
      <c r="H123" s="40"/>
      <c r="I123" s="38"/>
      <c r="J123" s="38"/>
      <c r="K123" s="85"/>
      <c r="L123" s="38"/>
      <c r="M123" s="38"/>
      <c r="N123" s="38"/>
      <c r="O123" s="38"/>
      <c r="P123" s="38"/>
      <c r="Q123" s="38"/>
      <c r="R123" s="38"/>
    </row>
    <row r="124" spans="6:18" ht="15.75">
      <c r="F124" s="150">
        <f>F118-F56-F100-F104</f>
        <v>495577.88</v>
      </c>
      <c r="G124" s="40"/>
      <c r="H124" s="40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6:18" ht="15.75">
      <c r="F125" s="40"/>
      <c r="G125" s="40"/>
      <c r="H125" s="40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6:18" ht="15.75">
      <c r="F126" s="40"/>
      <c r="G126" s="40"/>
      <c r="H126" s="40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6:18" ht="15.75">
      <c r="F127" s="40"/>
      <c r="G127" s="40"/>
      <c r="H127" s="40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6:18" ht="15.75">
      <c r="F128" s="40"/>
      <c r="G128" s="40"/>
      <c r="H128" s="40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6:18" ht="15.75">
      <c r="F129" s="40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6:18" ht="15.75">
      <c r="F130" s="40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6:18" ht="15.75">
      <c r="F131" s="40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6:18" ht="15.75">
      <c r="F132" s="40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6:18" ht="15.75">
      <c r="F133" s="40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6:18" ht="15.75">
      <c r="F134" s="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6:18" ht="15.75">
      <c r="F135" s="40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6:18" ht="15.75">
      <c r="F136" s="40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6:18" ht="15.75">
      <c r="F137" s="40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6:18" ht="15.75">
      <c r="F138" s="40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6:18" ht="15.75">
      <c r="F139" s="40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6:18" ht="15.75">
      <c r="F140" s="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6:18" ht="15.75">
      <c r="F141" s="40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6:18" ht="15.75">
      <c r="F142" s="40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6:18" ht="15.75">
      <c r="F143" s="40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6:18" ht="15.75">
      <c r="F144" s="40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6:18" ht="15.75">
      <c r="F145" s="40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6:18" ht="15.75">
      <c r="F146" s="40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6:18" ht="15.75">
      <c r="F147" s="40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6:18" ht="15.75">
      <c r="F148" s="40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6:18" ht="15.75">
      <c r="F149" s="40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6:18" ht="15.75">
      <c r="F150" s="40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6:18" ht="15.75">
      <c r="F151" s="40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6:18" ht="15.75">
      <c r="F152" s="40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6:18" ht="15.75">
      <c r="F153" s="40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6:18" ht="15.75">
      <c r="F154" s="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6:18" ht="15.75">
      <c r="F155" s="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6:18" ht="15.75">
      <c r="F156" s="40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6:18" ht="15.75">
      <c r="F157" s="40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6:18" ht="15.75">
      <c r="F158" s="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6:18" ht="15.75">
      <c r="F159" s="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6:18" ht="15.75">
      <c r="F160" s="4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6:18" ht="15.75">
      <c r="F161" s="40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6:18" ht="15.75">
      <c r="F162" s="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6:18" ht="15.75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6:18" ht="15.75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6:18" ht="15.75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6:18" ht="15.75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6:18" ht="15.75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6:18" ht="15.75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6:18" ht="15.75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6:18" ht="15.75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6:18" ht="15.75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6:18" ht="15.75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6:18" ht="15.75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6:18" ht="15.75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6:18" ht="15.75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6:18" ht="15.75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6:18" ht="15.75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6:18" ht="15.75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6:18" ht="15.75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6:18" ht="15.75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6:18" ht="15.75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6:18" ht="15.75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6:18" ht="15.75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6:18" ht="15.75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6:18" ht="15.75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6:18" ht="15.75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6:18" ht="15.75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6:18" ht="15.75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6:18" ht="15.75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6:18" ht="15.75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6:18" ht="15.75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6:18" ht="15.75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6:18" ht="15.75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</sheetData>
  <sheetProtection/>
  <autoFilter ref="A2:S118"/>
  <mergeCells count="9">
    <mergeCell ref="E1:E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D3:D117">
    <cfRule type="expression" priority="1" dxfId="2" stopIfTrue="1">
      <formula>M3&lt;1</formula>
    </cfRule>
  </conditionalFormatting>
  <conditionalFormatting sqref="F92 E118:K118 G3:G4 H5 F56 G6:G117">
    <cfRule type="cellIs" priority="2" dxfId="1" operator="lessThan" stopIfTrue="1">
      <formula>0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2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Barnet</dc:creator>
  <cp:keywords/>
  <dc:description/>
  <cp:lastModifiedBy>Barnet</cp:lastModifiedBy>
  <cp:lastPrinted>2011-01-31T10:05:39Z</cp:lastPrinted>
  <dcterms:created xsi:type="dcterms:W3CDTF">2001-04-19T07:42:32Z</dcterms:created>
  <dcterms:modified xsi:type="dcterms:W3CDTF">2011-02-08T11:30:26Z</dcterms:modified>
  <cp:category/>
  <cp:version/>
  <cp:contentType/>
  <cp:contentStatus/>
</cp:coreProperties>
</file>